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Export Option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<sst xmlns="http://schemas.openxmlformats.org/spreadsheetml/2006/main" count="18103" uniqueCount="4543">
  <si>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</si>
  <si>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</si>
  <si>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</si>
  <si>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</si>
  <si>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</si>
  <si>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</si>
  <si>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</si>
  <si>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</si>
  <si>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</si>
  <si>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</si>
  <si>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</si>
  <si>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</si>
  <si>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</si>
  <si>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</si>
  <si>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</si>
  <si>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</si>
  <si>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</si>
  <si>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</si>
  <si>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</si>
  <si>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</si>
  <si>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</si>
  <si>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</si>
  <si>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</si>
  <si>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</si>
  <si>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</si>
  <si>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</si>
  <si>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</si>
  <si>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</si>
  <si>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</si>
  <si>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</si>
  <si>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</si>
  <si>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</si>
  <si>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</si>
  <si>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</si>
  <si>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</si>
  <si>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</si>
  <si>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</si>
  <si>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</si>
  <si>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</si>
  <si>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</si>
  <si>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</si>
  <si>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</si>
  <si>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</si>
  <si>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</si>
  <si>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</si>
  <si>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</si>
  <si>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</si>
  <si>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</si>
  <si>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</si>
  <si>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</si>
  <si>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</si>
  <si>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</si>
  <si>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</si>
  <si>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</si>
  <si>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</si>
  <si>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</si>
  <si>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</si>
  <si>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</si>
  <si>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</si>
  <si>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</si>
  <si>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</si>
  <si>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</si>
  <si>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</si>
  <si>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</si>
  <si>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</si>
  <si>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</si>
  <si>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</si>
  <si>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</si>
  <si>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</si>
  <si>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</si>
  <si>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</si>
  <si>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</si>
  <si>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</si>
  <si>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</si>
  <si>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</si>
  <si>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</si>
  <si>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</si>
  <si>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</si>
  <si>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</si>
  <si>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</si>
  <si>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</si>
  <si>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</si>
  <si>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</si>
  <si>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</si>
  <si>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</si>
  <si>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</si>
  <si>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</si>
  <si>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</si>
  <si>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</si>
  <si>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</si>
  <si>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</si>
  <si>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</si>
  <si>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</si>
  <si>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</si>
  <si>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</si>
  <si>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</si>
  <si>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</si>
  <si>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</si>
  <si>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</si>
  <si>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</si>
  <si>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</si>
  <si>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</si>
  <si>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</si>
  <si>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</si>
  <si>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</si>
  <si>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</si>
  <si>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</si>
  <si>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</si>
  <si>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</si>
  <si>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</si>
  <si>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</si>
  <si>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</si>
  <si>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</si>
  <si>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</si>
  <si>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</si>
  <si>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</si>
  <si>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</si>
  <si>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</si>
  <si>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</si>
  <si>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</si>
  <si>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</si>
  <si>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</si>
  <si>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</si>
  <si>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</si>
  <si>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</si>
  <si>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</si>
  <si>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</si>
  <si>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</si>
  <si>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</si>
  <si>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</si>
  <si>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</si>
  <si>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</si>
  <si>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</si>
  <si>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</si>
  <si>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</si>
  <si>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</si>
  <si>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</si>
  <si>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</si>
  <si>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</si>
  <si>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</si>
  <si>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</si>
  <si>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</si>
  <si>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</si>
  <si>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</si>
  <si>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</si>
  <si>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</si>
  <si>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</si>
  <si>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</si>
  <si>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</si>
  <si>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</si>
  <si>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</si>
  <si>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</si>
  <si>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</si>
  <si>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</si>
  <si>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</si>
  <si>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</si>
  <si>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</si>
  <si>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</si>
  <si>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</si>
  <si>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</si>
  <si>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</si>
  <si>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</si>
  <si>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</si>
  <si>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</si>
  <si>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</si>
  <si>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</si>
  <si>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</si>
  <si>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</si>
  <si>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</si>
  <si>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</si>
  <si>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</si>
  <si>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</si>
  <si>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</si>
  <si>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</si>
  <si>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</si>
  <si>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</si>
  <si>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</si>
  <si>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</si>
  <si>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</si>
  <si>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</si>
  <si>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</si>
  <si>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</si>
  <si>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</si>
  <si>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</si>
  <si>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</si>
  <si>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</si>
  <si>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</si>
  <si>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</si>
  <si>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</si>
  <si>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</si>
  <si>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</si>
  <si>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</si>
  <si>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</si>
  <si>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</si>
  <si>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</si>
  <si>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</si>
  <si>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WG-2YlvlFpc</t>
  </si>
  <si>
    <t>7mRmKENnKBI</t>
  </si>
  <si>
    <t>gosAf_2vX5A</t>
  </si>
  <si>
    <t>hOqZN-pxO_8</t>
  </si>
  <si>
    <t>eRYYarKw7I4</t>
  </si>
  <si>
    <t>bSu_MhKfryM</t>
  </si>
  <si>
    <t>a9vvM16zP-4</t>
  </si>
  <si>
    <t>-1UXkUEh-do</t>
  </si>
  <si>
    <t>E3ZnDpJBvtM</t>
  </si>
  <si>
    <t>2LedAZUSnc8</t>
  </si>
  <si>
    <t>6mGyDTIRqH8</t>
  </si>
  <si>
    <t>s07HxmMwrBE</t>
  </si>
  <si>
    <t>DRRWa_kBGB8</t>
  </si>
  <si>
    <t>g58qUHEq6fU</t>
  </si>
  <si>
    <t>xYUQ3DTuNl4</t>
  </si>
  <si>
    <t>b-BEQB993Oc</t>
  </si>
  <si>
    <t>fkoM1ygxdto</t>
  </si>
  <si>
    <t>Tl8nt2HgoLY</t>
  </si>
  <si>
    <t>8wvF4MTv45k</t>
  </si>
  <si>
    <t>GkgtDmCuMDg</t>
  </si>
  <si>
    <t>0YxNa8SnT-g</t>
  </si>
  <si>
    <t>71jpFGkoyf8</t>
  </si>
  <si>
    <t>0dAoMPiQ-so</t>
  </si>
  <si>
    <t>fKt2DixbTkc</t>
  </si>
  <si>
    <t>4uaWo9B5ej8</t>
  </si>
  <si>
    <t>RjRS4e-l18I</t>
  </si>
  <si>
    <t>nheoNBGTiuk</t>
  </si>
  <si>
    <t>uDO-5UeCEas</t>
  </si>
  <si>
    <t>FAQD6SNNisk</t>
  </si>
  <si>
    <t>KPG4f4bVRDM</t>
  </si>
  <si>
    <t>Zaowh_CrGl0</t>
  </si>
  <si>
    <t>ZLEyyR4IR6A</t>
  </si>
  <si>
    <t>w23HBKjVJnE</t>
  </si>
  <si>
    <t>guiH-4YVio4</t>
  </si>
  <si>
    <t>sGJbL0sA9t0</t>
  </si>
  <si>
    <t>PBAmJBL1SvI</t>
  </si>
  <si>
    <t>yaVwQWw8LHs</t>
  </si>
  <si>
    <t>LtN-oGOM8Q0</t>
  </si>
  <si>
    <t>P6xcukDRhMY</t>
  </si>
  <si>
    <t>ZF1wpchHEC8</t>
  </si>
  <si>
    <t>dP-E77vupbI</t>
  </si>
  <si>
    <t>eBkAL2C14R0</t>
  </si>
  <si>
    <t>kmXob1zhCls</t>
  </si>
  <si>
    <t>iVQc6XQwHzA</t>
  </si>
  <si>
    <t>szQziyMTPtc</t>
  </si>
  <si>
    <t>gVILmwjLEAA</t>
  </si>
  <si>
    <t>w4K2wmdGNls</t>
  </si>
  <si>
    <t>kNPKb9ouoIg</t>
  </si>
  <si>
    <t>f7AVZOrCFEI</t>
  </si>
  <si>
    <t>rgJ9YNI7GbQ</t>
  </si>
  <si>
    <t>qTHy6yu1ffY</t>
  </si>
  <si>
    <t>zBFlaQmHGyw</t>
  </si>
  <si>
    <t>EUCIKfNINYU</t>
  </si>
  <si>
    <t>hZcVzJxbVRE</t>
  </si>
  <si>
    <t>D8UWsFMVj_Q</t>
  </si>
  <si>
    <t>Wn-VdZ4LEKg</t>
  </si>
  <si>
    <t>7HDeem-JaSY</t>
  </si>
  <si>
    <t>Y274jZs5s7s</t>
  </si>
  <si>
    <t>96TCZDtzfOM</t>
  </si>
  <si>
    <t>ckmPfn-KCGg</t>
  </si>
  <si>
    <t>tFdnCzfJPJ0</t>
  </si>
  <si>
    <t>5WH-PSs9hI8</t>
  </si>
  <si>
    <t>AjLKTz81bj8</t>
  </si>
  <si>
    <t>SQIgkcBjPFI</t>
  </si>
  <si>
    <t>PWmJhh_qTSY</t>
  </si>
  <si>
    <t>kKmx7fMJnsc</t>
  </si>
  <si>
    <t>QPL8dh6b1M0</t>
  </si>
  <si>
    <t>JhEZM2qQWDE</t>
  </si>
  <si>
    <t>-zCcef-SB2A</t>
  </si>
  <si>
    <t>_6wEu5AQTeE</t>
  </si>
  <si>
    <t>6v0QGQh9GCk</t>
  </si>
  <si>
    <t>lc5XDJIgz1s</t>
  </si>
  <si>
    <t>I197x8cVcpI</t>
  </si>
  <si>
    <t>orx4adUXXhU</t>
  </si>
  <si>
    <t>CudUi46zWfk</t>
  </si>
  <si>
    <t>UUN7MUSZyyY</t>
  </si>
  <si>
    <t>JmiARS9TIj8</t>
  </si>
  <si>
    <t>ZDwyDPl6Nmc</t>
  </si>
  <si>
    <t>1jv8wHDoliA</t>
  </si>
  <si>
    <t>pUIiq9Yzltg</t>
  </si>
  <si>
    <t>MbOIjsjBirI</t>
  </si>
  <si>
    <t>1QHMNOIjlss</t>
  </si>
  <si>
    <t>34awnW3ayZ4</t>
  </si>
  <si>
    <t>dTxLxs8WEXc</t>
  </si>
  <si>
    <t>5EckUtwkfo8</t>
  </si>
  <si>
    <t>wwJvM0sWsBg</t>
  </si>
  <si>
    <t>69cMZGDjCTM</t>
  </si>
  <si>
    <t>paON6JRcCLo</t>
  </si>
  <si>
    <t>KDWJ28gNUOM</t>
  </si>
  <si>
    <t>QiCQxKHYv6Q</t>
  </si>
  <si>
    <t>_aEip07Y4js</t>
  </si>
  <si>
    <t>AnvuZYDE9KQ</t>
  </si>
  <si>
    <t>iA_PhwvAhsY</t>
  </si>
  <si>
    <t>SnJuB08EOnA</t>
  </si>
  <si>
    <t>JOrRIDX0ZLc</t>
  </si>
  <si>
    <t>pViLb3O30vM</t>
  </si>
  <si>
    <t>Mdqjg5wvam0</t>
  </si>
  <si>
    <t>JzV4y9xOwJc</t>
  </si>
  <si>
    <t>EH0s6guGfeg</t>
  </si>
  <si>
    <t>tXuaunUqvGM</t>
  </si>
  <si>
    <t>heTBvSZRwdE</t>
  </si>
  <si>
    <t>b2HQVmZ_b3c</t>
  </si>
  <si>
    <t>zlzeXBQRoGY</t>
  </si>
  <si>
    <t>XW1JiEploys</t>
  </si>
  <si>
    <t>B_HU2zYciwY</t>
  </si>
  <si>
    <t>iYoEJsYGI3g</t>
  </si>
  <si>
    <t>dkDazMMN5zU</t>
  </si>
  <si>
    <t>pze1xw9VrBU</t>
  </si>
  <si>
    <t>tAFtPy5PaAk</t>
  </si>
  <si>
    <t>mk57k4SMkb4</t>
  </si>
  <si>
    <t>POiSDHRTOqA</t>
  </si>
  <si>
    <t>wytDunVxNx0</t>
  </si>
  <si>
    <t>IJvekYhVB5g</t>
  </si>
  <si>
    <t>iNgrR6vl3Fw</t>
  </si>
  <si>
    <t>7b0aUDs8jvU</t>
  </si>
  <si>
    <t>8_Bxq0f7TvA</t>
  </si>
  <si>
    <t>4OAkDFppc-U</t>
  </si>
  <si>
    <t>Up1SRPo0G4o</t>
  </si>
  <si>
    <t>NELV90nQqnY</t>
  </si>
  <si>
    <t>AKwn4AdgCIU</t>
  </si>
  <si>
    <t>dp09rmQPaCs</t>
  </si>
  <si>
    <t>nvLBMlJfxJ4</t>
  </si>
  <si>
    <t>dh4jW19jPqg</t>
  </si>
  <si>
    <t>vKm_JYZt75E</t>
  </si>
  <si>
    <t>UaxsmJ2aYnI</t>
  </si>
  <si>
    <t>GguFY2xXXko</t>
  </si>
  <si>
    <t>QLc22unQOfI</t>
  </si>
  <si>
    <t>XV4_W8YLBMM</t>
  </si>
  <si>
    <t>ohBPTJrZwP8</t>
  </si>
  <si>
    <t>eVp7hIdB2pQ</t>
  </si>
  <si>
    <t>oJE_Sxe5DY8</t>
  </si>
  <si>
    <t>5KegcfwmMeE</t>
  </si>
  <si>
    <t>cT58QBtFwzk</t>
  </si>
  <si>
    <t>JyVvljU1e5M</t>
  </si>
  <si>
    <t>0sBIvbfMu4I</t>
  </si>
  <si>
    <t>BELKgnF3bNw</t>
  </si>
  <si>
    <t>a2az9ums4t8</t>
  </si>
  <si>
    <t>6uYQHyEURgw</t>
  </si>
  <si>
    <t>MsEqdwmeG2s</t>
  </si>
  <si>
    <t>_ffIqN2eiK8</t>
  </si>
  <si>
    <t>HSiku4eiJqo</t>
  </si>
  <si>
    <t>AIDJRx9wgMc</t>
  </si>
  <si>
    <t>UC5Jz2F1zh0</t>
  </si>
  <si>
    <t>AX7mXtQt1Yo</t>
  </si>
  <si>
    <t>39rHi9sYrqc</t>
  </si>
  <si>
    <t>j0OfCwNVeiU</t>
  </si>
  <si>
    <t>bG6XQwfIyXs</t>
  </si>
  <si>
    <t>kpDoDI38ta0</t>
  </si>
  <si>
    <t>5zj8ZsyaCA4</t>
  </si>
  <si>
    <t>NUTRnXHBy34</t>
  </si>
  <si>
    <t>hidZpGoNaMI</t>
  </si>
  <si>
    <t>NtYpCMLqHeQ</t>
  </si>
  <si>
    <t>ujRAJBCxTic</t>
  </si>
  <si>
    <t>eSENq-qSEVo</t>
  </si>
  <si>
    <t>rRGiqnBlar8</t>
  </si>
  <si>
    <t>R_HtA3fNpAM</t>
  </si>
  <si>
    <t>lXnF7T4JcJs</t>
  </si>
  <si>
    <t>bVdWXNmkWag</t>
  </si>
  <si>
    <t>hktaeU98ImQ</t>
  </si>
  <si>
    <t>b0xjrtlphGs</t>
  </si>
  <si>
    <t>CeRBj5u5eAA</t>
  </si>
  <si>
    <t>i78bvQ__NTw</t>
  </si>
  <si>
    <t>iN_eR8J1wNE</t>
  </si>
  <si>
    <t>UneBEQ_cXR4</t>
  </si>
  <si>
    <t>DGqdIGQnia8</t>
  </si>
  <si>
    <t>cGfGBAX7nw0</t>
  </si>
  <si>
    <t>s6BtgBV0Nm8</t>
  </si>
  <si>
    <t>NHpBxe-DlLM</t>
  </si>
  <si>
    <t>Z4Flg6TUPTY</t>
  </si>
  <si>
    <t>NzbyzGiY_v0</t>
  </si>
  <si>
    <t>_HaQoSb1QKU</t>
  </si>
  <si>
    <t>fQ-U50daTcE</t>
  </si>
  <si>
    <t>9dQQrsoJM-g</t>
  </si>
  <si>
    <t>3WfG6QRrmXI</t>
  </si>
  <si>
    <t>DatYiiSxxUE</t>
  </si>
  <si>
    <t>BLD0Syj6goQ</t>
  </si>
  <si>
    <t>pePFZ2Tw5aY</t>
  </si>
  <si>
    <t>R3RQIn_smFY</t>
  </si>
  <si>
    <t>LUt42r5-5AE</t>
  </si>
  <si>
    <t>WcE8CmaYTHY</t>
  </si>
  <si>
    <t>tEnbnBJSXXI</t>
  </si>
  <si>
    <t>Sa8zUrMRDzU</t>
  </si>
  <si>
    <t>-g1cokBP6fU</t>
  </si>
  <si>
    <t>ChbLcYWk-iw</t>
  </si>
  <si>
    <t>F8wQwyjvYD8</t>
  </si>
  <si>
    <t>5kIrWMmb-KE</t>
  </si>
  <si>
    <t>FZz5qf2c92E</t>
  </si>
  <si>
    <t>b5Scq2UTyoY</t>
  </si>
  <si>
    <t>ynMc1UpCKJ0</t>
  </si>
  <si>
    <t>R8A5c_HO3qA</t>
  </si>
  <si>
    <t>3xPOF1Mxa_I</t>
  </si>
  <si>
    <t>z3BptEdGoOw</t>
  </si>
  <si>
    <t>U6Y9WTyPgG0</t>
  </si>
  <si>
    <t>izqEfjx9pFU</t>
  </si>
  <si>
    <t>4bTa-0worBg</t>
  </si>
  <si>
    <t>Oc38zgAFrzY</t>
  </si>
  <si>
    <t>Ne9LarSTueI</t>
  </si>
  <si>
    <t>uOi8fNrPAkc</t>
  </si>
  <si>
    <t>zfOkraUuVig</t>
  </si>
  <si>
    <t>0zwXAzfGnFg</t>
  </si>
  <si>
    <t>oQLlrVcQoPc</t>
  </si>
  <si>
    <t>bh8xXOxtOvs</t>
  </si>
  <si>
    <t>u40d8uH2DV8</t>
  </si>
  <si>
    <t>S8043fEHmxk</t>
  </si>
  <si>
    <t>Kwa1H_u8NdQ</t>
  </si>
  <si>
    <t>aku0QeDd2KQ</t>
  </si>
  <si>
    <t>JWw2w1P-ySE</t>
  </si>
  <si>
    <t>f_VSxl7w22E</t>
  </si>
  <si>
    <t>U5SIXiaJ4_c</t>
  </si>
  <si>
    <t>BRnzhPd0a_A</t>
  </si>
  <si>
    <t>cWbC66USN0g</t>
  </si>
  <si>
    <t>3sgWvQVJjSE</t>
  </si>
  <si>
    <t>t3bXO8A9iDg</t>
  </si>
  <si>
    <t>lY-YLxOD6BQ</t>
  </si>
  <si>
    <t>rxQ5OJD9lwQ</t>
  </si>
  <si>
    <t>1eWzD6vds4w</t>
  </si>
  <si>
    <t>s4o0Mt3WUTs</t>
  </si>
  <si>
    <t>rsA5cr9aeps</t>
  </si>
  <si>
    <t>42QT8GkpRnk</t>
  </si>
  <si>
    <t>RiH_ow_DY0k</t>
  </si>
  <si>
    <t>kTsp38TRAgo</t>
  </si>
  <si>
    <t>DhIJDg1ON8s</t>
  </si>
  <si>
    <t>VW0LwbRiyhM</t>
  </si>
  <si>
    <t>eprqHTrsZfI</t>
  </si>
  <si>
    <t>7IhSxhLDUTQ</t>
  </si>
  <si>
    <t>WE3aarT0fP8</t>
  </si>
  <si>
    <t>GufldX73YiA</t>
  </si>
  <si>
    <t>MxUvEsCPhnU</t>
  </si>
  <si>
    <t>omDF5k8YVBk</t>
  </si>
  <si>
    <t>wHrg7sJE26s</t>
  </si>
  <si>
    <t>UWSFAs_pvJE</t>
  </si>
  <si>
    <t>GiCLYyMgdlM</t>
  </si>
  <si>
    <t>9eM1mg5NWUU</t>
  </si>
  <si>
    <t>J0ZsnhNGmxo</t>
  </si>
  <si>
    <t>ewojufO8dvE</t>
  </si>
  <si>
    <t>t9WYQ0Twvx0</t>
  </si>
  <si>
    <t>YA6HvAJAcUQ</t>
  </si>
  <si>
    <t>w-MSmkfbYco</t>
  </si>
  <si>
    <t>I7yagE88gjU</t>
  </si>
  <si>
    <t>0MX9SZOkOJk</t>
  </si>
  <si>
    <t>HPS0IWINvc4</t>
  </si>
  <si>
    <t>2Y0wMtgcnbQ</t>
  </si>
  <si>
    <t>IALGmb5PlR4</t>
  </si>
  <si>
    <t>EQgWuqveG3I</t>
  </si>
  <si>
    <t>ImGKTLxMIZ4</t>
  </si>
  <si>
    <t>dUOzpw7Snco</t>
  </si>
  <si>
    <t>soDZmW39l7o</t>
  </si>
  <si>
    <t>_JduIwSlL3g</t>
  </si>
  <si>
    <t>5MhMOH6a13E</t>
  </si>
  <si>
    <t>KQKH_4dybPA</t>
  </si>
  <si>
    <t>NmEnwaAhFnc</t>
  </si>
  <si>
    <t>j9IoozdRM_4</t>
  </si>
  <si>
    <t>qrVTmmQNDmE</t>
  </si>
  <si>
    <t>xKs0DPmmpho</t>
  </si>
  <si>
    <t>EQL3Ks0yL_E</t>
  </si>
  <si>
    <t>kb76xeguY5Y</t>
  </si>
  <si>
    <t>ezTB3iPmm6E</t>
  </si>
  <si>
    <t>IDvTp4cQU1U</t>
  </si>
  <si>
    <t>nvCP8j_3fMY</t>
  </si>
  <si>
    <t>8OVHLaBl1QY</t>
  </si>
  <si>
    <t>9aOLNk8Nsw0</t>
  </si>
  <si>
    <t>iMr7jsUyQ1Y</t>
  </si>
  <si>
    <t>YHpY7QvTu_4</t>
  </si>
  <si>
    <t>c-Rz13B18X8</t>
  </si>
  <si>
    <t>bnIq8dqjmHs</t>
  </si>
  <si>
    <t>CUUWG2iZmuA</t>
  </si>
  <si>
    <t>Bamy1cBWBiY</t>
  </si>
  <si>
    <t>PEtjAKRg9rA</t>
  </si>
  <si>
    <t>1w1PlRjfRhs</t>
  </si>
  <si>
    <t>XrsSzrOS1wk</t>
  </si>
  <si>
    <t>onCV4vOkQl4</t>
  </si>
  <si>
    <t>Cd17kA8hOow</t>
  </si>
  <si>
    <t>C39oIsltUvw</t>
  </si>
  <si>
    <t>mMESf_ruHgE</t>
  </si>
  <si>
    <t>BoBxncrzB2E</t>
  </si>
  <si>
    <t>iy5WhowQ8AE</t>
  </si>
  <si>
    <t>NuucR7THLzM</t>
  </si>
  <si>
    <t>iCP5cyfb-uE</t>
  </si>
  <si>
    <t>47JU6W3HALM</t>
  </si>
  <si>
    <t>B_WI3OXVyek</t>
  </si>
  <si>
    <t>0e6SsZYuNwQ</t>
  </si>
  <si>
    <t>IpzdvY7mBCU</t>
  </si>
  <si>
    <t>VmwRXG9gDZo</t>
  </si>
  <si>
    <t>FdLaghEdYkE</t>
  </si>
  <si>
    <t>WPWr05C5PSE</t>
  </si>
  <si>
    <t>DnT2zpKmjKc</t>
  </si>
  <si>
    <t>0vafeW8xkfo</t>
  </si>
  <si>
    <t>TG05WcPagi0</t>
  </si>
  <si>
    <t>-E_EZnD7n_U</t>
  </si>
  <si>
    <t>9uidfsnXxPA</t>
  </si>
  <si>
    <t>tTQIMz_9pTE</t>
  </si>
  <si>
    <t>5SDGH9J4Lho</t>
  </si>
  <si>
    <t>MYC8B-vqCqw</t>
  </si>
  <si>
    <t>46W4SUgqIlw</t>
  </si>
  <si>
    <t>UgBlMkQogLw</t>
  </si>
  <si>
    <t>-ntm1SlKF0A</t>
  </si>
  <si>
    <t>421LQ-ieino</t>
  </si>
  <si>
    <t>5YvWXkpjV94</t>
  </si>
  <si>
    <t>mb6IkOfoaW0</t>
  </si>
  <si>
    <t>9JrLgM5HyLg</t>
  </si>
  <si>
    <t>oAptJa_uu7w</t>
  </si>
  <si>
    <t>_wrAfdx5F38</t>
  </si>
  <si>
    <t>DOfWbOzf_NU</t>
  </si>
  <si>
    <t>qmr0QH0XTqI</t>
  </si>
  <si>
    <t>W_q3-CRF6SM</t>
  </si>
  <si>
    <t>A40DmgtQjp4</t>
  </si>
  <si>
    <t>LbuFPFvOEqg</t>
  </si>
  <si>
    <t>cnWBTecpf-8</t>
  </si>
  <si>
    <t>yPN2Jb5RcZ4</t>
  </si>
  <si>
    <t>wqJP6_8Jdis</t>
  </si>
  <si>
    <t>-0ngKr0GyGw</t>
  </si>
  <si>
    <t>oc-W8q0ViIc</t>
  </si>
  <si>
    <t>vOHp2Gj5KhA</t>
  </si>
  <si>
    <t>B22wNQjerzo</t>
  </si>
  <si>
    <t>nJzseWUFE4g</t>
  </si>
  <si>
    <t>tGdgcvXFIuc</t>
  </si>
  <si>
    <t>C4jGOHW4r84</t>
  </si>
  <si>
    <t>nANXKZW8kSM</t>
  </si>
  <si>
    <t>Y30D1NE1ZKg</t>
  </si>
  <si>
    <t>tdJRVxgn5wE</t>
  </si>
  <si>
    <t>ukrOHHmzHBo</t>
  </si>
  <si>
    <t>ViPq7yHa6zk</t>
  </si>
  <si>
    <t>X3q03R9OR_c</t>
  </si>
  <si>
    <t>yEDqVxT_0cs</t>
  </si>
  <si>
    <t>XZ9hCfMMFpE</t>
  </si>
  <si>
    <t>I8un3ZRh7Cs</t>
  </si>
  <si>
    <t>WQvSZCIHGa0</t>
  </si>
  <si>
    <t>zxTYnyj3-zo</t>
  </si>
  <si>
    <t>1XNjPw4cq0A</t>
  </si>
  <si>
    <t>kcJwY6uAlH0</t>
  </si>
  <si>
    <t>Rsa8cKNzl9o</t>
  </si>
  <si>
    <t>UU94N2yi294</t>
  </si>
  <si>
    <t>c3nd_bW9N6E</t>
  </si>
  <si>
    <t>nwFqAqeGRGU</t>
  </si>
  <si>
    <t>-Jhfx8tu1fk</t>
  </si>
  <si>
    <t>PC16qeIdLtE</t>
  </si>
  <si>
    <t>2Qd4cVU8cwo</t>
  </si>
  <si>
    <t>tzbEYqmwQjo</t>
  </si>
  <si>
    <t>OBeYzIo6KEo</t>
  </si>
  <si>
    <t>fy-BQgp1Mmk</t>
  </si>
  <si>
    <t>pvf0IDxTgwA</t>
  </si>
  <si>
    <t>Dj7bQ1qBjKk</t>
  </si>
  <si>
    <t>k9k807CcqxQ</t>
  </si>
  <si>
    <t>U4-d8mGXySc</t>
  </si>
  <si>
    <t>A3j6ZZcu04Y</t>
  </si>
  <si>
    <t>GAdiqTHSzZM</t>
  </si>
  <si>
    <t>zsux-k1Jdxg</t>
  </si>
  <si>
    <t>1ruCytPSb5A</t>
  </si>
  <si>
    <t>JtdLiq5NCmU</t>
  </si>
  <si>
    <t>yCFKXQaKzV8</t>
  </si>
  <si>
    <t>CIg2fFhMBsY</t>
  </si>
  <si>
    <t>oX-nSQkIl5Y</t>
  </si>
  <si>
    <t>-merjqmlYo8</t>
  </si>
  <si>
    <t>-uzmgu9l-o0</t>
  </si>
  <si>
    <t>Oc9QZF-YyJQ</t>
  </si>
  <si>
    <t>ZNSDhr5GH3I</t>
  </si>
  <si>
    <t>B1fafhrM3V4</t>
  </si>
  <si>
    <t>TB6ZBBCaaTk</t>
  </si>
  <si>
    <t>P51dv-endVY</t>
  </si>
  <si>
    <t>1_9d5VMrR_Q</t>
  </si>
  <si>
    <t>1w8lPOgFxt4</t>
  </si>
  <si>
    <t>bQXOPITY9XM</t>
  </si>
  <si>
    <t>-aqpmb6FZaI</t>
  </si>
  <si>
    <t>1gVjLXkj4gs</t>
  </si>
  <si>
    <t>wbCNjOTUNr8</t>
  </si>
  <si>
    <t>c4dGMLuEtAE</t>
  </si>
  <si>
    <t>HiI78c7kkaM</t>
  </si>
  <si>
    <t>gaAdSGVgd3Y</t>
  </si>
  <si>
    <t>wlUNlaqgs3A</t>
  </si>
  <si>
    <t>WJiVJueiuog</t>
  </si>
  <si>
    <t>W5nH0F_LFNI</t>
  </si>
  <si>
    <t>ZjM6wXLfiQM</t>
  </si>
  <si>
    <t>QsS1YiTSiEo</t>
  </si>
  <si>
    <t>x0XrskV86HU</t>
  </si>
  <si>
    <t>W-Fo08OoIVI</t>
  </si>
  <si>
    <t>jtECx0JX9iM</t>
  </si>
  <si>
    <t>LHsVx80aC-c</t>
  </si>
  <si>
    <t>T9-VtJ_GmzM</t>
  </si>
  <si>
    <t>qe4c5UuYtZo</t>
  </si>
  <si>
    <t>6yeT2qHptiY</t>
  </si>
  <si>
    <t>CbCrhiltfpo</t>
  </si>
  <si>
    <t>lprutJ72maE</t>
  </si>
  <si>
    <t>VuipiqDd7d8</t>
  </si>
  <si>
    <t>i-pHi_hU_WI</t>
  </si>
  <si>
    <t>6mQ-IeHM2-I</t>
  </si>
  <si>
    <t>sq-BClVRH3E</t>
  </si>
  <si>
    <t>L64jPavVYjU</t>
  </si>
  <si>
    <t>OpXLUTp2PwA</t>
  </si>
  <si>
    <t>rHDTSeSaQMc</t>
  </si>
  <si>
    <t>K94_xuqw9GE</t>
  </si>
  <si>
    <t>y0wrW-9_cH4</t>
  </si>
  <si>
    <t>E-xDR9rdrs4</t>
  </si>
  <si>
    <t>QFt_5kSUQyM</t>
  </si>
  <si>
    <t>uizelyjZrAw</t>
  </si>
  <si>
    <t>dy_lJEdsEmE</t>
  </si>
  <si>
    <t>nv2dnysNRtw</t>
  </si>
  <si>
    <t>qK2X1u4-bHM</t>
  </si>
  <si>
    <t>1Eb4lxjTq_E</t>
  </si>
  <si>
    <t>zJ6yegVE7WM</t>
  </si>
  <si>
    <t>qmMYsVaZ0zo</t>
  </si>
  <si>
    <t>4PI04RtSK2A</t>
  </si>
  <si>
    <t>tEz2a97MASQ</t>
  </si>
  <si>
    <t>Pja61FskVBg</t>
  </si>
  <si>
    <t>ewSanmWGKJk</t>
  </si>
  <si>
    <t>0cKfe0vyW50</t>
  </si>
  <si>
    <t>hdvUMWybupY</t>
  </si>
  <si>
    <t>KA-QZHjmMx8</t>
  </si>
  <si>
    <t>F7h-2oevM7I</t>
  </si>
  <si>
    <t>EFeYH_Goa90</t>
  </si>
  <si>
    <t>tdFUYsGvEuU</t>
  </si>
  <si>
    <t>ugTHq-MZ5vs</t>
  </si>
  <si>
    <t>uMdDB8Gxono</t>
  </si>
  <si>
    <t>UXLevZs2xXM</t>
  </si>
  <si>
    <t>EucwpTJMpqk</t>
  </si>
  <si>
    <t>Recommended Video</t>
  </si>
  <si>
    <t>Title</t>
  </si>
  <si>
    <t>Description</t>
  </si>
  <si>
    <t>Tags</t>
  </si>
  <si>
    <t>Author</t>
  </si>
  <si>
    <t>Created Date (UTC)</t>
  </si>
  <si>
    <t>Views</t>
  </si>
  <si>
    <t>Comments</t>
  </si>
  <si>
    <t>Likes Count</t>
  </si>
  <si>
    <t>Dislikes Count</t>
  </si>
  <si>
    <t>Custom Menu Item Text</t>
  </si>
  <si>
    <t>Custom Menu Item Action</t>
  </si>
  <si>
    <t>Richard Jefferson has a candid discussion on Ja Morant</t>
  </si>
  <si>
    <t>Karol G: Tiny Desk Concert</t>
  </si>
  <si>
    <t>Ghost - Phantom Of The Opera (Official Audio)</t>
  </si>
  <si>
    <t>(여자)아이들((G)I-DLE) - '퀸카 (Queencard)' Official Music Video</t>
  </si>
  <si>
    <t>EXTRACTION 2 | Official Trailer | Netflix</t>
  </si>
  <si>
    <t>Builder Base 2.0 Is Here! Clash of Clans Official</t>
  </si>
  <si>
    <t>This Is Why a Psychopath Is a Stellar Detective</t>
  </si>
  <si>
    <t>This is the Dumbest Product I've Ever Reviewed</t>
  </si>
  <si>
    <t>Inside RuPaul’s Fabulous Beverly Hills Mansion | Open Door | Architectural Digest</t>
  </si>
  <si>
    <t>Haunted Mansion | Official Trailer</t>
  </si>
  <si>
    <t>Ja Morant suspended from all Grizzlies activities after flashing gun on IG Live | NBA | UNDISPUTED</t>
  </si>
  <si>
    <t>Shakira - Acróstico (Official Video)</t>
  </si>
  <si>
    <t>Amanda the Adventurer</t>
  </si>
  <si>
    <t>Merrimack Valley Gas Explosions: What Really Happened?</t>
  </si>
  <si>
    <t>hobbies.</t>
  </si>
  <si>
    <t>Autism II B Sc Nursing 3rd Year II Mental Health Nursing II</t>
  </si>
  <si>
    <t>Conduct disorder||CD||child psychiatric disorder||behavioural disorder||explained in Hindi</t>
  </si>
  <si>
    <t>Notes of Conduct Disorder in Hindi in Mental Health Nursing (Psychiatric).</t>
  </si>
  <si>
    <t>Childhood Behavioral Disorders (Psychiatry) - USMLE Step 1</t>
  </si>
  <si>
    <t>Take 5; on Conduct Disorder</t>
  </si>
  <si>
    <t>More than just naughty kids: Getting to know Conduct Disorder</t>
  </si>
  <si>
    <t>Externalizing Disorders (ODD, CD, IED, and DMDD) Mnemonics (Memorable Psychiatry Lecture)</t>
  </si>
  <si>
    <t>Conduct Disorder: Types, Causes, Symptoms, Diagnosis And Treatment</t>
  </si>
  <si>
    <t>Disruptive, impulse control and conduct disorders.</t>
  </si>
  <si>
    <t>Medical vocabulary: What does Disruptive, Impulse Control, and Conduct Disorders mean</t>
  </si>
  <si>
    <t>Behavior Management Strategies for Oppositional Defiant Disorder</t>
  </si>
  <si>
    <t>Disruptive Impulse Cont. Disorders: Conduct Disorders (Part 1)</t>
  </si>
  <si>
    <t>COUN 5313 Disruptive, Impulse-Control, and Conduct Disorders; T&amp;Z codes</t>
  </si>
  <si>
    <t>Neurodevelopmental disorders: Sufficient and necessary causes | NCLEX-RN | Khan Academy</t>
  </si>
  <si>
    <t>DSM-5 Disruptive, Impulse-Control and Conduct Disorders</t>
  </si>
  <si>
    <t>The 10 Personality Disorders (with Examples)</t>
  </si>
  <si>
    <t>Chapter 11 Disruptive, Impulse Control and Conduct Disorders</t>
  </si>
  <si>
    <t>Anxiety Disorders Mnemonics (Memorable Psychiatry Lecture)</t>
  </si>
  <si>
    <t>What is Conduct Disorder?</t>
  </si>
  <si>
    <t>Types of Disruptive Behavior Disorders</t>
  </si>
  <si>
    <t>Oppositional Defiant Disorder: Raising a Child with ODD and ADHD</t>
  </si>
  <si>
    <t>What is Oppositional Defiant Disorder?</t>
  </si>
  <si>
    <t>Schizophrenia vs. Schizophreniform vs. Schizoaffective vs. Schizoid vs. Schizotypal</t>
  </si>
  <si>
    <t>Psychology And Neuroscience Professor Explains Conduct Disorders | Megyn Kelly TODAY</t>
  </si>
  <si>
    <t>Bipolar and Related disorders</t>
  </si>
  <si>
    <t>Personality Disorders</t>
  </si>
  <si>
    <t>Psychosis &amp; Schizophrenia Mnemonics (Memorable Psychiatry Lecture)</t>
  </si>
  <si>
    <t>Anxiety Disorders</t>
  </si>
  <si>
    <t>Oppositional Defiant Disorder</t>
  </si>
  <si>
    <t>What Is Oppositional Defiant Disorder?</t>
  </si>
  <si>
    <t>Conduct Disorder</t>
  </si>
  <si>
    <t>Conduct Disorders</t>
  </si>
  <si>
    <t>why we go school every day</t>
  </si>
  <si>
    <t>You Won't Believe What Makes or Breaks a Child's Confidence!</t>
  </si>
  <si>
    <t>Strategies For Oppositional &amp; Defiant Behavior</t>
  </si>
  <si>
    <t>Oppositional Defiant, Conduct and Intermittent Explosive Disorder |a Trauma Informed Perspective</t>
  </si>
  <si>
    <t>How To Discipline A Child With Oppositional Defiant Disorder</t>
  </si>
  <si>
    <t>How To Deal With Child With ODD</t>
  </si>
  <si>
    <t>Oppositional Defiant Disorder (ODD)</t>
  </si>
  <si>
    <t>8 Discipline Rules for Parents of Children with Oppositional Defiant Disorder</t>
  </si>
  <si>
    <t>The Neuropsychology of Conduct Disorder in Children | Kalina Michalska | TEDxUCR</t>
  </si>
  <si>
    <t>The Childhood Disorder That Could Lead to Psychopathy: What You Need to Know</t>
  </si>
  <si>
    <t>Conduct Disorder : Tips For Teachers : Nip in the Bud</t>
  </si>
  <si>
    <t>Oppositional Defiant Disorder: The Disorder That Makes You Defy Authority</t>
  </si>
  <si>
    <t>Understanding existentialism &amp; it's aims | Guide to concept of teacher &amp; student in existentialism</t>
  </si>
  <si>
    <t>MHN Part 16| Conduct disorders</t>
  </si>
  <si>
    <t>Charmadi Ghat Chickmagalur(2)</t>
  </si>
  <si>
    <t>MENTAL HEALTH  RELATED  TO SEXUALITY AND REPRODUCTIVE HEALTH</t>
  </si>
  <si>
    <t>NF 39|Family oriented  nursing</t>
  </si>
  <si>
    <t>NF 40|Problem oriented  nursing</t>
  </si>
  <si>
    <t>NF 36|Community oriented nursing</t>
  </si>
  <si>
    <t>maja mulga jeva fit yaych Teva aai kalubai chya ashirvada mule fit yaych band jal om kaleshvari _xD83C__xDF39__xD83D__xDE4F__xD83D__xDE4F_</t>
  </si>
  <si>
    <t>আজ এরকম ভিডিও আপলোড করতে হবে আমি ভাবতেই পারিনি #Bengali vlog#Tumpa Roy vlog_xD83D__xDE14_</t>
  </si>
  <si>
    <t>Hindi speakers of Kerala need to counter The Kerala Story's narrative</t>
  </si>
  <si>
    <t>spoken English</t>
  </si>
  <si>
    <t>objects</t>
  </si>
  <si>
    <t>FERMENTATION ORGANIC CHEMISTRY 1//BSC CHEM HONS 6TH SEM PRESENTATION // ANKITA(120127090014)</t>
  </si>
  <si>
    <t>Story telling method to improve english speaking _xD83D__xDDE3_#nehakushwaha ‎@naughtynehavlogs  #englishspeaking</t>
  </si>
  <si>
    <t>What is an effective communication| Communication Skills</t>
  </si>
  <si>
    <t>SKIN CARE ✨ | Thatti koot skin care video _xD83E__xDEE2_ |</t>
  </si>
  <si>
    <t>Sociology unit 7 solved question paper from 2011-2021 scheme</t>
  </si>
  <si>
    <t>NF 41|Progressive patient care</t>
  </si>
  <si>
    <t>Drugs of Abuse (Mechanism, Intoxication, Withdrawal, &amp; Associations)</t>
  </si>
  <si>
    <t>Disruptive, Impulse-Control, and Conduct Disorders</t>
  </si>
  <si>
    <t>Explaining The Pros And Cons Of Pre-Marital Counselling with Dr. Tunji Babajide</t>
  </si>
  <si>
    <t>Disruptive, Impulse Control &amp; Conduct Disorders - Psychological Disorders | Class 12 Psychology Ch 4</t>
  </si>
  <si>
    <t>Psychodynamic Therapy - Therapeutic Approaches | Class 12 Psychology Chapter 5</t>
  </si>
  <si>
    <t>Nature &amp; Process of Psychotherapy | Class 12 Psychology Chapter 5</t>
  </si>
  <si>
    <t>Relaxation Procedures - Therapeutic Approaches | Class 12 Psychology Chapter 5</t>
  </si>
  <si>
    <t>Client-Centred Therapy and Gestalt Therapy | Class 12 Psychology Chapter 5</t>
  </si>
  <si>
    <t>Therapeutic Approaches - Introduction | Class 12 Psychology Chapter 5</t>
  </si>
  <si>
    <t>Type of Therapies - Therapeutic Approaches | Class 12 Psychology Chapter 5</t>
  </si>
  <si>
    <t>Behaviour Therapy - Therapeutic Approaches | Class 12 Psychology Chapter 5</t>
  </si>
  <si>
    <t>Substance Related &amp; Addictive Disorders - Psychological Disorders | Class 12 Psychology Chapter 4</t>
  </si>
  <si>
    <t>Feeding and Eating Disorders - Psychological Disorders | Class 12 Psychology Chapter 4</t>
  </si>
  <si>
    <t>Conduct Disorder in Hindi Children Causes Symptoms Treatment बच्चों में व्यवहार की समस्या PART 1</t>
  </si>
  <si>
    <t>Conduct Disorders: Assessment &amp; Diagnosis 11</t>
  </si>
  <si>
    <t>Notes Of Personality Disorder Of Mental Health Nursing (Psychiatric)  in Hindi.(Chapter 10)</t>
  </si>
  <si>
    <t>Crisis II B Sc Nursing 3rd Year II Mental Health Nursing II</t>
  </si>
  <si>
    <t>Psychiatric Emergency II B Sc Nursing 3rd Year II Mental Health Nursing II</t>
  </si>
  <si>
    <t>Conduct Disorders: Assessment &amp; Diagnosis 08</t>
  </si>
  <si>
    <t>Recording #337</t>
  </si>
  <si>
    <t>Disruptive, Impulse Control, and conduct disorders 1+</t>
  </si>
  <si>
    <t>What Is a Disruptive Behavior Disorder? | Child Psychology</t>
  </si>
  <si>
    <t>DISRUPTIVE, IMPULSE-CONTROL AND CONDUCT DISORDERS</t>
  </si>
  <si>
    <t>VERBAL LEARNING</t>
  </si>
  <si>
    <t>THE LEVELS OF PROCESSING</t>
  </si>
  <si>
    <t>THEORIES OF INTELLIGENCE- Psychometric approach &amp; Information processing approach !</t>
  </si>
  <si>
    <t>Healthy Ice breaking</t>
  </si>
  <si>
    <t>Ask Yourself</t>
  </si>
  <si>
    <t>Photos with Commentary</t>
  </si>
  <si>
    <t>Recontruct the Reality</t>
  </si>
  <si>
    <t>Three Piece Puzzle</t>
  </si>
  <si>
    <t>The Bank &amp; Sorting</t>
  </si>
  <si>
    <t>Adaptive Handle</t>
  </si>
  <si>
    <t>Yarn Winding &amp; Sorting</t>
  </si>
  <si>
    <t>Rhonda and Jeffery Abusive Relationship</t>
  </si>
  <si>
    <t>Magazine Folding con't &amp; Lacing Cards</t>
  </si>
  <si>
    <t>Magazine Folding</t>
  </si>
  <si>
    <t>Stenciling</t>
  </si>
  <si>
    <t>Color Patterns</t>
  </si>
  <si>
    <t>Warm Damp Cloth</t>
  </si>
  <si>
    <t>Paper Balling &amp; Rolling</t>
  </si>
  <si>
    <t>Push Ball</t>
  </si>
  <si>
    <t>Conduct Disorders: Assessment &amp; Diagnosis 12</t>
  </si>
  <si>
    <t>Conduct Disorders: Assessment &amp; Diagnosis 10</t>
  </si>
  <si>
    <t>What Is Oppositional Defiant Disorder? | Child Psychology</t>
  </si>
  <si>
    <t>Conduct Disorder   Adolescent Onset Type</t>
  </si>
  <si>
    <t>Scent Therapy</t>
  </si>
  <si>
    <t>Concentration Game &amp; Same and Different Cards</t>
  </si>
  <si>
    <t>Phrasing Questions</t>
  </si>
  <si>
    <t>Treating the Coming Out LGBTQ Conflict 01 - COC</t>
  </si>
  <si>
    <t>Styrofoam Ball &amp; Days Diary</t>
  </si>
  <si>
    <t>How To Recognise Symptoms of Conduct Disorder Pt Two : Nip in the Bud</t>
  </si>
  <si>
    <t>Damien - Autism, expectations and Adapting</t>
  </si>
  <si>
    <t>"ADHD and Oppositional Defiance" Q&amp;A Session for Parents on Discipline Strategies</t>
  </si>
  <si>
    <t>Gangguan Disruptive-Impulse, Control and Conduct Disorders</t>
  </si>
  <si>
    <t>Diskusi DDIP Kelompok 5 (Sabtu, 13 Mei 2023)</t>
  </si>
  <si>
    <t>Presentasi Kelompok 4 Etika Bisnis</t>
  </si>
  <si>
    <t>Seminar Pendidikan Dan Pembangunan Nasional</t>
  </si>
  <si>
    <t>PIE II "Presentasi Kelompok 1 &amp; 2" (05/05/23)</t>
  </si>
  <si>
    <t>Kelompok 3  Pengembangan Paragraf 1080p</t>
  </si>
  <si>
    <t>Kelompok 3  Pengembangan Paragraf</t>
  </si>
  <si>
    <t>KELOMPOK 3 | Strategi Sistem Pengendalian Manajemen dan Sistem Pengendalian Eksternal Manajemen</t>
  </si>
  <si>
    <t>SEMINAR PROPOSAL KIRANTY NURHALIMAH (211292) 10 MEI 2023</t>
  </si>
  <si>
    <t>Pelatihan Manajemen Puskesmas Tkt Kab. Donggala</t>
  </si>
  <si>
    <t>Conduct Disorders: Assessment &amp; Diagnosis 09</t>
  </si>
  <si>
    <t>What Is Conduct Disorder? | Child Psychology</t>
  </si>
  <si>
    <t>Oppositional Defiant Disorder, Conduct Disorder, &amp; Antisocial Personality Disorder</t>
  </si>
  <si>
    <t>This is Conduct Disorder  | Kati Morton</t>
  </si>
  <si>
    <t>Early intervention 2 : How can the school help?</t>
  </si>
  <si>
    <t>Oppositional Defiant Disorder &amp; Conduct Disorder</t>
  </si>
  <si>
    <t>Trauma and Children</t>
  </si>
  <si>
    <t>O.D.D./ADHD Defiant Child?!? Teenage boy shares his PERSONAL experience of healing</t>
  </si>
  <si>
    <t>Living with ADHD - Debbie's story</t>
  </si>
  <si>
    <t>Oppositional Defiant Disorder?</t>
  </si>
  <si>
    <t>Never lose Hope - Fathers of children with Autism</t>
  </si>
  <si>
    <t>Bulimia: Susannah's story</t>
  </si>
  <si>
    <t>Parenting a child with PANS or PANDAS</t>
  </si>
  <si>
    <t>Understanding Eating Disorders</t>
  </si>
  <si>
    <t>Boys get Anorexia too</t>
  </si>
  <si>
    <t>Autism and Co-existing Conditions</t>
  </si>
  <si>
    <t>Why Do Children Fight &amp; Bite? | Child Psychology</t>
  </si>
  <si>
    <t>Insomnia - causes, symptoms, diagnosis, treatment &amp; pathology</t>
  </si>
  <si>
    <t>Depression Symptoms in Children &amp; Teens | Child Psychology</t>
  </si>
  <si>
    <t>What Is Bipolar Disorder? | Child Psychology</t>
  </si>
  <si>
    <t>What Is Social Anxiety? | Child Psychology</t>
  </si>
  <si>
    <t>Conduct Disorders: Assessment &amp; Diagnosis 13</t>
  </si>
  <si>
    <t>Conduct Disorders: Assessment &amp; Diagnosis 14</t>
  </si>
  <si>
    <t>PSYCHOLOGICAL/MENTAL  CHILDHOOD - CONDUCT DISORDERS-what, types and causes(Behavioral Disorders)</t>
  </si>
  <si>
    <t>TURNER SYNDROME</t>
  </si>
  <si>
    <t>Turner Syndrome  NURSING MANAGEMENT</t>
  </si>
  <si>
    <t>The MAMI Global Network - who we are: presented by Dr Martha Mwangome</t>
  </si>
  <si>
    <t>Remote Exercise Interventions on Physical Activity, Mobility &amp; Gait: Adults w/ Parkinson Disease</t>
  </si>
  <si>
    <t>Breastfeeding Video 30 second ENG</t>
  </si>
  <si>
    <t>Turner Syndrome- NCLEX QUESTIONS</t>
  </si>
  <si>
    <t>Pregnancy Malnutrition/Adolescent health/Anemia/Infant,Under5 children/Nutritional imbalances</t>
  </si>
  <si>
    <t>Borderline Personality Disorder Mnemonics (Memorable Psychiatry Lecture)</t>
  </si>
  <si>
    <t>Conduct Disorders: Assessment &amp; Diagnosis 04</t>
  </si>
  <si>
    <t>Conduct Disorders: Assessment &amp; Diagnosis 05</t>
  </si>
  <si>
    <t>Anorexia Nervosa &amp; Bulimia Nursing | Patho, Symptoms, Intervention, Pharm NCLEX</t>
  </si>
  <si>
    <t>Personality Disorder Mnemonics (Memorable Psychiatry Lecture)</t>
  </si>
  <si>
    <t>What You Need To Know About Obesophobia: The Fear Of Gaining Weight</t>
  </si>
  <si>
    <t>Sleep Interrupted: How Nighttime Urination Impacts Your Rest and What You Can Do About It</t>
  </si>
  <si>
    <t>Don't Ignore Your Ankle Pain: Understanding Ankle Arthritis</t>
  </si>
  <si>
    <t>botcaster bot Live Stream</t>
  </si>
  <si>
    <t>epiglottis video Dictionary meaning and pronunciation</t>
  </si>
  <si>
    <t>I highly recommend you go check it out &amp; follw along for #restock with #findyourrare #restockasmr #g</t>
  </si>
  <si>
    <t>Abdomen Anatomy | Easiest way to Learn | #radiography #anatomy #Abdomen #ct #xrays #ctscan</t>
  </si>
  <si>
    <t>Medical vocabulary: What does Implosive Therapy mean</t>
  </si>
  <si>
    <t>DSM5-6 Somantic, eating, Impulse, and Conduct Disorders</t>
  </si>
  <si>
    <t>DSM5-7 Substance Use and Addictive Disorders</t>
  </si>
  <si>
    <t>IACAPAP MOOC: 7. Oppositional Defiant Disorder and Conduct Disorders (Yi Zheng, China)</t>
  </si>
  <si>
    <t>IACAPAP MOOC: 8. Substance abuse (Olivier Pham, France)</t>
  </si>
  <si>
    <t>Psychology - Difference between Conduct Disorder and Oppositional Defiant Disorder</t>
  </si>
  <si>
    <t>[SIT 15] ShareIT - Product Ecosystem, holistic thinking for digital products - Kandan Muthukumar</t>
  </si>
  <si>
    <t>Differential Diagnosis IN FCPS-II Exam</t>
  </si>
  <si>
    <t>Assignment2 Group work</t>
  </si>
  <si>
    <t>A1 Group Mixed</t>
  </si>
  <si>
    <t>ISACA Full Recording April 2023</t>
  </si>
  <si>
    <t>A4_Presentation Week_Tutorial 3_Group 13_Facial Recognition for Public Transport​</t>
  </si>
  <si>
    <t>Business Intelligence &amp; Analytics Systems - Overview of Business Intelligence, Analytics &amp; Big Data</t>
  </si>
  <si>
    <t>ISCTE CVTT - European Electronic Health Record exchange Format EEHRxF, what it is and why it matters</t>
  </si>
  <si>
    <t>CIAS - Panel Discussion on "Battle of the Seats: Choosing an Effective Seat of Arbitration"</t>
  </si>
  <si>
    <t>Economic Theories, Data, and Graphs (Chapter 2 - Part - 2)</t>
  </si>
  <si>
    <t>UT Physicians CARE Clinic</t>
  </si>
  <si>
    <t>BIOSTATISTICS: JEKELS EPIDEMIOLOGY CHAPTER 1 AND 4</t>
  </si>
  <si>
    <t>SOWK 5430 Disruptive Impulse Control and Conduct Disorders</t>
  </si>
  <si>
    <t>Conduct Disorders: Assessment &amp; Diagnosis 03</t>
  </si>
  <si>
    <t>Conduct Disorders: Assessment &amp; Diagnosis 02</t>
  </si>
  <si>
    <t>Kryptonite for Conduct Disorders: Parent Abuse or Teen Terrorism</t>
  </si>
  <si>
    <t>George Whitefield</t>
  </si>
  <si>
    <t>Daily Devotional - May 10, 2023</t>
  </si>
  <si>
    <t>Why Trauma Doesn't Heal on Its Own</t>
  </si>
  <si>
    <t>Lunch and Learn - The Syllabus, an Impact or Barrier to Student Success</t>
  </si>
  <si>
    <t>ETSU Quillen College of Medicine Commencement Ceremony Livestream 2023</t>
  </si>
  <si>
    <t>Quillen College of Medicine Match Day 2023</t>
  </si>
  <si>
    <t>SOWK 5430 Schizophrenia Spectrum and Psychotic Disorders</t>
  </si>
  <si>
    <t>Conduct Disorders: Assessment &amp; Diagnosis 01</t>
  </si>
  <si>
    <t>Notes Of Sources Of Literature Review in Nursing Research in Hindi (Bsc Nursing)</t>
  </si>
  <si>
    <t>Personality Disorder II Mental Health Nursing II B Sc Nursing 3rd Year II</t>
  </si>
  <si>
    <t>Crises Intervention II B Sc Nursing 3rd Year II Mental Health Nursing II</t>
  </si>
  <si>
    <t>Notes Of Research Assumption ( Introduction Definition, Uses, Types) in Bsc Nursing And GNM.</t>
  </si>
  <si>
    <t>Wilms Tumor II B Sc Nursing 3rd Year II Child Health Nursing II</t>
  </si>
  <si>
    <t>Notes Of Alcohol Dependence Syndrome in Mental Health Nursing (Psychiatric) in Hindi.(Chapter 9)</t>
  </si>
  <si>
    <t>Notes Of Mental Status Examination in Mental Health Nursing (Psychiatric) in Hindi.</t>
  </si>
  <si>
    <t>Notes Of Types Of  Schizophrenia in Mental Health Nursing (Psychiatric)  in Hindi.</t>
  </si>
  <si>
    <t>Notes Of Introduction To Substance Use Disorder in Mental Health Nursing (Chapter 9) in Hindi.</t>
  </si>
  <si>
    <t>Notes Of Schizophrenia In Mental Health Nursing (Psychiatric) in Hindi .</t>
  </si>
  <si>
    <t>Notes Of Introduction To Nursing Research (Chapter 1st)  Defination/Types / Characterstics in Hindi</t>
  </si>
  <si>
    <t>Notes Of Dementia (Organic Brain Disorder) in Mental Health Nursing (Psychiatric)  in Hindi.</t>
  </si>
  <si>
    <t>Notes of TIC Disorder (Tourette 's Syndrome)  in Hindi in Mental Health Nursing (Psychiatric).</t>
  </si>
  <si>
    <t>Delyth Hughes talks about children's mental health &amp; wellbeing in relation to conduct disorders</t>
  </si>
  <si>
    <t>SSA Early Career Research Network</t>
  </si>
  <si>
    <t>Instructional Coaching: Framing the action step in terms of goal and strategy.</t>
  </si>
  <si>
    <t>Preview of our Fire Warden training for school staff</t>
  </si>
  <si>
    <t>Health and Safety - Specialist View Series - Interview with Sam Preston</t>
  </si>
  <si>
    <t>2. Phishing emails</t>
  </si>
  <si>
    <t>Brain Fog Session 7</t>
  </si>
  <si>
    <t>Brain Fog Session 4 II</t>
  </si>
  <si>
    <t>Nudgeathon 2023 Second Place Pitch</t>
  </si>
  <si>
    <t>Mental fitness courses: information session</t>
  </si>
  <si>
    <t>Fit4DigiLinE MOOC / Module 6, part 1/3: Helping the learners create their own digital materials</t>
  </si>
  <si>
    <t>Careers Guidance Facilitator - Jenny Beaumont Complete-Careers LLP</t>
  </si>
  <si>
    <t>Complete-Careers LLP Conference May 2023 - Work Readiness</t>
  </si>
  <si>
    <t>Secondary Behaviour: Creating the Climate - Establishing and reinforcing expectations and routines</t>
  </si>
  <si>
    <t>Contracts with Other Businesses</t>
  </si>
  <si>
    <t>Delyth Hughes talks about children's mental health &amp; wellbeing in relation to ADHD.</t>
  </si>
  <si>
    <t>Early intervention 4 : How to apply for an EHCP (Education Health &amp; Care Plan)</t>
  </si>
  <si>
    <t>Anxiety in children: Tips For Teachers : Nip in the Bud</t>
  </si>
  <si>
    <t>Conduct Disorders: What to do with your Oppositional Defiant Child</t>
  </si>
  <si>
    <t>GMT20220317 230115 Recording 640x360</t>
  </si>
  <si>
    <t>Behavior &amp; Conduct Disorders Mini Lecture</t>
  </si>
  <si>
    <t>Understanding the Most Misunderstood verses in the Bible Rev. 3:20</t>
  </si>
  <si>
    <t>Devotional with Pastor Tim - Proverbs 5:16</t>
  </si>
  <si>
    <t>WTPW?! Telling stories with a point</t>
  </si>
  <si>
    <t>negotiation time pt1</t>
  </si>
  <si>
    <t>Video 4 for Buyers: Closing Disclosure (CD), Signing, Closing &amp; Possession</t>
  </si>
  <si>
    <t>How to thrive as a small church pastor ￼</t>
  </si>
  <si>
    <t>Midweek Update—May 3, 2023</t>
  </si>
  <si>
    <t>Conformity-Chapter 6</t>
  </si>
  <si>
    <t>490T Presentation</t>
  </si>
  <si>
    <t>MEST6222 Collab 10 05</t>
  </si>
  <si>
    <t>OBLICON - M6 Reporting | DIFFERENT KINDS OF OBLIGATION SEC. 3 ALTERNATIVE OBLIGATIONS</t>
  </si>
  <si>
    <t>Analysis of Frankenstein</t>
  </si>
  <si>
    <t>Promosi Kesehatan Mental</t>
  </si>
  <si>
    <t>Call to Action PPT</t>
  </si>
  <si>
    <t>PODCAST 6</t>
  </si>
  <si>
    <t>Five Factor Model Costa McCrae part 2</t>
  </si>
  <si>
    <t>McCrae &amp; Costa Five Factor Trait Theory - Personality Psychology 2</t>
  </si>
  <si>
    <t>Five Factor Theory (Big Five) by McCrae and Costa</t>
  </si>
  <si>
    <t>Openness to Experience: Five Factor Theory (Big Five)</t>
  </si>
  <si>
    <t>NURS 238: Session 6 - Attention Deficit &amp; Disruptive Behavior Conduct Disorders</t>
  </si>
  <si>
    <t>*ROLL BACK STROKE*: The way forward for Physicians and Patients.</t>
  </si>
  <si>
    <t>how to know #ratioscale#2023 #ugcnet</t>
  </si>
  <si>
    <t>Presenter: Thobekani Lose</t>
  </si>
  <si>
    <t>AFROHUN TA Essential Foundation Skills Orientation and Training Series</t>
  </si>
  <si>
    <t>Conduct Disorders|Causes Riskfactors|Symptoms Diagnosis|Treatment</t>
  </si>
  <si>
    <t>What is Chlorophyll Water? This is Chlorophyll Water...with Essential Vitamins</t>
  </si>
  <si>
    <t>Amniotic Fluid Embolism</t>
  </si>
  <si>
    <t>What Causes dizziness??</t>
  </si>
  <si>
    <t>You may get Achilles Tendon Infection if you are unawared!!</t>
  </si>
  <si>
    <t>Causes of Pelvic Pain|#shorts #pelvicpain</t>
  </si>
  <si>
    <t>Testicular Pain|Causes|Symptoms&amp;Home Remedies |Surgical Methods</t>
  </si>
  <si>
    <t>Aichmophobia|causes,symptoms|diagnosis&amp;treatment</t>
  </si>
  <si>
    <t>What causes a fishy smell in vagina??</t>
  </si>
  <si>
    <t>Adenoidectomy|Complications of adenoids in children’s</t>
  </si>
  <si>
    <t>Pain After Surgery|Causes,Symptoms|Management</t>
  </si>
  <si>
    <t>Common causes of azoospermia!!</t>
  </si>
  <si>
    <t>Mothers Open Up About Concerns For Their Children With Brain Disorders | Megyn Kelly TODAY</t>
  </si>
  <si>
    <t>"The Mystery of Consciousness: Exploring the Nature of Human Experience" #consciousness</t>
  </si>
  <si>
    <t>What AI can do!| Aarohi's FIRE Journey</t>
  </si>
  <si>
    <t>Research methodology</t>
  </si>
  <si>
    <t>What is Abnormal Psychology? and How it affects our routine life?</t>
  </si>
  <si>
    <t>What is Psychology?  How it seeks to understand human thought, emotion, and behavior?</t>
  </si>
  <si>
    <t>Types/branches of psychology| definitions| briefly explained| by @Lady_Psychologist</t>
  </si>
  <si>
    <t>Counselling Adolescents for Their Career and Personal Problems//adolescences</t>
  </si>
  <si>
    <t>Neurodevelopmental Disorder in Dsm 5 ||Introduction|| Chapter 01 in Dsm 5#neurodevelopment</t>
  </si>
  <si>
    <t>Bumps on Vagina: 7 Vaginal Lumps Symptoms and Causes</t>
  </si>
  <si>
    <t>Amniotic Fluid Embolism Survivor</t>
  </si>
  <si>
    <t>Itchy Penis|Causes,symptoms|treatment&amp;home remedies</t>
  </si>
  <si>
    <t>Common Clitoris Problems|Causes,symptoms|Management</t>
  </si>
  <si>
    <t>How to examine your testicles - all you need to know</t>
  </si>
  <si>
    <t>Dissociative disorder|part 1|dissociative Amnesia|Causes Riskfactors|Symptoms| Diagnosis|Treatment</t>
  </si>
  <si>
    <t>Treating Co-occurring FASD and Conduct Disorders in Youth</t>
  </si>
  <si>
    <t>Using Inclusive Language When Writing IEP Goals | IEP Basics | Undivided</t>
  </si>
  <si>
    <t>Creating an economic corridor in northern Alberta - April 27, 2023</t>
  </si>
  <si>
    <t>banana</t>
  </si>
  <si>
    <t>Tim Arnold | EXPOSURE THERAPY | The Photography Podcast | Ep. 15</t>
  </si>
  <si>
    <t>Sturgeon Lake Wildfire Continues - Alberta, May 6th, 2023</t>
  </si>
  <si>
    <t>Downtown Calgary, Alberta _xD83C__xDDE8__xD83C__xDDE6_</t>
  </si>
  <si>
    <t>May 16 update</t>
  </si>
  <si>
    <t>Carbon Capture Amine Process Overview</t>
  </si>
  <si>
    <t>How Do I Report Elder Abuse?</t>
  </si>
  <si>
    <t>Alberta is Calling ☎️</t>
  </si>
  <si>
    <t>The Oil Sands Explained ... in 10 minutes</t>
  </si>
  <si>
    <t>Mining the Alberta Oil Sands — Course Preview</t>
  </si>
  <si>
    <t>Alberta wildfire update – May 9, 2023 at 3:00 p.m.</t>
  </si>
  <si>
    <t>Alberta wildfire update – May 13, 2023 at 3:00 p.m.</t>
  </si>
  <si>
    <t>Alberta wildfire update – May 14, 2023 at 3:00 p.m.</t>
  </si>
  <si>
    <t>Alberta wildfire update – May 12, 2023 at 3:00 p.m.</t>
  </si>
  <si>
    <t>Alberta wildfire update – May 10, 2023 at 3:00 p.m.</t>
  </si>
  <si>
    <t>Alberta wildfire update – May 6, 2023 at noon</t>
  </si>
  <si>
    <t>Alberta wildfire update – May 5, 2023 at 10:30 a.m.</t>
  </si>
  <si>
    <t>Alberta wildfire update – May 16, 2023 at 3:00 p.m.</t>
  </si>
  <si>
    <t>Alberta wildfire update – May 11, 2023 at 3:00 p.m.</t>
  </si>
  <si>
    <t>Alberta wildfire update – May 8, 2023 at 3:00 pm</t>
  </si>
  <si>
    <t>What is a PACS (Picture Archiving Communication System)? | Integration with RIS</t>
  </si>
  <si>
    <t>Alberta wildfire update – May 6, 2023 at 5:00 p.m.</t>
  </si>
  <si>
    <t>Alberta wildfire update – May 15, 2023 at 3:00 p.m.</t>
  </si>
  <si>
    <t>Alberta wildfire update – May 7, 2023 at 3:30 p.m.</t>
  </si>
  <si>
    <t>Indigenous partnerships to support addiction recovery – April 24, 2023</t>
  </si>
  <si>
    <t>Recognizing and Preventing Abuse, Neglect, and Exploitation</t>
  </si>
  <si>
    <t>Working with Women Who Have Addiction Issues</t>
  </si>
  <si>
    <t>Notes Of Mental Retardation (Chapter 11) in Mental Health Nursing  (psychiatric)  in Hindi.</t>
  </si>
  <si>
    <t>Notes Of Sexual Disorder Of Mental Health Nursing (Psychiatric)  in Hindi (Chapter 10)</t>
  </si>
  <si>
    <t>Personality Disorders || Etiology &amp;  Types in hindi || Psychiatric nursing</t>
  </si>
  <si>
    <t>Post Traumatic Stress Disorder II B Sc Nursing 3rd Year II Mental Health Nursing II</t>
  </si>
  <si>
    <t>CONDUCT DISORDERS - CHILD PSYCHIATRY</t>
  </si>
  <si>
    <t>ILLNESS ANXIETY DISORDER - SHORT CASE DISCUSSION</t>
  </si>
  <si>
    <t>SUICIDE RISK ASSESSMENT - PSYCHIATRY</t>
  </si>
  <si>
    <t>MOTOR SYSTEM EXAMINATION DEMONSTRATION - NEUROLOGY FOR MBBS MD STUDENTS</t>
  </si>
  <si>
    <t>CRANIAL NERVES EXAMINATION - DEMONSTRATION FOR MBBS AND MD STUDENTS</t>
  </si>
  <si>
    <t>ELECTRO ENCEPHALOGRAPHY BASICS - PSYCHIATRY</t>
  </si>
  <si>
    <t>FACING THE PSYCHIATRY VIVA</t>
  </si>
  <si>
    <t>PSYCHIATRIC INTERVIEW &amp; HISTORY TAKING IN PSYCHIATRY</t>
  </si>
  <si>
    <t>GENERALIZED ANXIETY DISORDER - SHORT CASE DISCUSSION</t>
  </si>
  <si>
    <t>Pharmacology - Psychiatric Medications for nursing RN PN (MADE EASY)</t>
  </si>
  <si>
    <t>CATATONIA - SIGNS DEMONSTRATION - BUSH FRANCIS SCALE</t>
  </si>
  <si>
    <t>HABIT AND IMPULSE CONTROL DISORDERS - PSYCHIATRY</t>
  </si>
  <si>
    <t>Anxiety Disorders powerpoint 1</t>
  </si>
  <si>
    <t>Somatic Symptom Disorders 1a</t>
  </si>
  <si>
    <t>Schizophrenia Spectrum and Other Psychotic Disorders</t>
  </si>
  <si>
    <t>DSM Intellectual Developmental Disorder; Global Developmental Delay</t>
  </si>
  <si>
    <t>Understanding Attention Deficit Hyperactivity Disorder (ADHD)</t>
  </si>
  <si>
    <t>Sedative-Hypnotics &amp; CNS Depressants</t>
  </si>
  <si>
    <t>DSM Sexual Disorders</t>
  </si>
  <si>
    <t>DSM-5 Feeding and Eating Disorders</t>
  </si>
  <si>
    <t>CSolisPAD6101</t>
  </si>
  <si>
    <t>Fluid and Electrolyte Balance Disorders</t>
  </si>
  <si>
    <t>Anderson</t>
  </si>
  <si>
    <t>Mnemonics for Every Major Psychiatric Diagnosis! (Memorable Psychiatry Lecture)</t>
  </si>
  <si>
    <t>Tourette's syndrome &amp; tic disorders - definition, symptoms, diagnosis, treatment</t>
  </si>
  <si>
    <t>Neurocognitive Disorders - CRASH! Medical Review Series</t>
  </si>
  <si>
    <t>Case Conceptualization and Treatment Planning</t>
  </si>
  <si>
    <t>CONDUCT DISORDERS  - define , causes, types, signs ,symptoms , diagnostic, treatment, nursing care</t>
  </si>
  <si>
    <t>Notes Of Obsessive Compulsive Disorder (OCD) in Mental Health Nursing (Psychiatric) in Hindi.</t>
  </si>
  <si>
    <t>Distinction between Myalgia and Fibromyalgia</t>
  </si>
  <si>
    <t>MALARIA TESTS - - Medical  Lab Tests -  What is?  , Uses , Need ,  Preparation , Results</t>
  </si>
  <si>
    <t>TICS Disorder II B Sc Nursing 3rd Year II Mental Health Nursing II</t>
  </si>
  <si>
    <t>Somatoform Disorders (Somatic Symptom, Conversion, Illness Anxiety, Factitious, Malingering)</t>
  </si>
  <si>
    <t>Autism Spectrum Disorder Mnemonics (Memorable Psychiatry Lecture)</t>
  </si>
  <si>
    <t>CARE OF RUBBER  GOODS - Nursing Foundations</t>
  </si>
  <si>
    <t>Distinction Between Pulled Muscle and Pinched Nerve</t>
  </si>
  <si>
    <t>NATIONAL MENTAL HEALTH PROGRAMME - Aims of NMHP, Objectives ,Strategies, Approaches, Mental Care,</t>
  </si>
  <si>
    <t>Difference Between Alzheimer’s Disease. and Dementia with Lewy Bodies</t>
  </si>
  <si>
    <t>THE MENTAL HEALTH ACT</t>
  </si>
  <si>
    <t>Antisocial Personality Disorder (ASPD) Mnemonics (Memorable Psychiatry Lecture)</t>
  </si>
  <si>
    <t>Pediatric Surgical Education Proposal Presentation</t>
  </si>
  <si>
    <t>How Oppositional Defiant Disorder Ruptures Families — and How to Manage It (w/ Dr. William Dodson)</t>
  </si>
  <si>
    <t>Comm 2</t>
  </si>
  <si>
    <t>Employee Retention</t>
  </si>
  <si>
    <t>Final project geb</t>
  </si>
  <si>
    <t>Poisoning   Assessment, Management, and Prevention</t>
  </si>
  <si>
    <t>Psychopathology and Diagnosis Introduction</t>
  </si>
  <si>
    <t>Schizophrenia Spectrum Disorders</t>
  </si>
  <si>
    <t>Obsessive Complusive Disorders</t>
  </si>
  <si>
    <t>My Life With Schizoaffective Disorder: How It Started</t>
  </si>
  <si>
    <t>Delirium Mnemonics (Memorable Psychiatry Lecture)</t>
  </si>
  <si>
    <t>Obsessive-Compulsive Disorder (OCD) Mnemonics (Memorable Psychiatry Lecture)</t>
  </si>
  <si>
    <t>Cluster C (Dependent, Obsessive-Compulsive, and Avoidant) Personality Disorders</t>
  </si>
  <si>
    <t>Schizoaffective Disorder Mnemonics (Memorable Psychiatry Lecture)</t>
  </si>
  <si>
    <t>Mental Status Exam Mnemonics (Memorable Psychiatry Lecture)</t>
  </si>
  <si>
    <t>Mania &amp; Bipolar Disorder Mnemonics (Memorable Psychiatry Lecture)</t>
  </si>
  <si>
    <t>Illness Anxiety, Conversion, Factitious, and Malingering Mnemonics (Memorable Psychiatry Lecture)</t>
  </si>
  <si>
    <t>Post-Traumatic Stress Disorder (PTSD) Mnemonics (Memorable Psychiatry Lecture)</t>
  </si>
  <si>
    <t>Psychopathy Mnemonics (Memorable Psychiatry Lecture)</t>
  </si>
  <si>
    <t>IRRITABLE LATELY? You May Struggling Burnout</t>
  </si>
  <si>
    <t>Minimizing depression, anxiety or our mental illness. Do you do this? #anxiety #depression</t>
  </si>
  <si>
    <t>6 things that you may not know are ADHD related! #adhd #adhdproblems #mentalhealth #shorts</t>
  </si>
  <si>
    <t>What Bipolar Disorder Feels Like (360 Video) | WebMD</t>
  </si>
  <si>
    <t>The 5 signs of social anxiety #socialanxiety #anxiety #mentalhealth</t>
  </si>
  <si>
    <t>Delirium - causes, symptoms, diagnosis, treatment &amp; pathology</t>
  </si>
  <si>
    <t>Are You Addicted to TikTok?</t>
  </si>
  <si>
    <t>Eating Disorders (Anorexia, Bulimia, and Binge Eating) Mnemonics (Memorable Psychiatry Lecture)</t>
  </si>
  <si>
    <t>Teratomas: Tumours With Eyes, Hair and Teeth</t>
  </si>
  <si>
    <t>Gaslighting - The Manipulation of the Mind</t>
  </si>
  <si>
    <t>Why are periods starting earlier than they used to?</t>
  </si>
  <si>
    <t>Superbugs Under Examination - MRSA</t>
  </si>
  <si>
    <t>Cluster A (Paranoid, Schizoid, Schizotypal) Personality Disorders (Memorable Psychiatry Lecture)</t>
  </si>
  <si>
    <t>Caffeine vs. alcohol: What happens when you mix the two?</t>
  </si>
  <si>
    <t>ADD vs ADHD</t>
  </si>
  <si>
    <t>Adjustment Disorders</t>
  </si>
  <si>
    <t>Trauma and Stressor Related Disorders</t>
  </si>
  <si>
    <t>Early Intervention 1: Does my child Need help?</t>
  </si>
  <si>
    <t>Conduct Disorders in Children : Nip in the Bud</t>
  </si>
  <si>
    <t>Emily...her journey to recovery from Self-Harm</t>
  </si>
  <si>
    <t>The Oppositional Child</t>
  </si>
  <si>
    <t>#ESPN #NBAonESPN #NBAToday</t>
  </si>
  <si>
    <t>[MESSAGE FROM THE CLERGY]
We wish to inform you Ghost's cover of "Phantom Of The Opera" by Iron Maiden is out now: https://i.ghost-official.com/POTO
Ghost's new Phantomime EP is a devilish debut of 5 incorrigible covers. Out everywhere May 19th and available for pre-order here: https://i.ghost-official.com/Phantomime
Follow Ghost:
Subscribe to Ghost's YouTube: https://found.ee/Ghost_YTSubscribe
Instagram: https://found.ee/Ghost_Instagram
Twitter: https://found.ee/Ghost_Twitter
Facebook: https://found.ee/Ghost_Facebook
Site: https://ghost-official.com/
#Ghost #PhantomOfTheOpera #Phantomime</t>
  </si>
  <si>
    <t>(여자)아이들((G)I-DLE) - '퀸카 (Queencard)' Official Music Video
[_xD83C__xDFA7_] [I feel]
▫Melon http://kko.to/VMbOLGvKmy
▫https://ingrv.es/ifeel
Episode : '#퀸카 (#Queencard)'
눈부신 조명 속 모두가 기다리던 파티가 시작되고···
피드 뒤로 숨겨진 진정한 나를 찾기 위한 퀸카들의 노력이 시작된다.
미치도록 동경하던 누군가와 마주하게 되며 느끼는 것
'가끔 나는 열등감에 빠져 나 자신을 놓치고 있었던 건 아닐까?'
화려한 파티가 끝난 뒤, 긴 잠에서 깨어난 SY
이제 누군가의 퀸카가 되지 않아도 진짜 퀸카가 될 수 있는 '나'를 찾았다.
Composed by 소연, Pop Time, Daily, Likey
Lyrics by 소연
Arranged by Pop Time, Daily, Likey, 소연
Hey you
뭘 보니? 내가 좀 Sexy Sexy 반했니
Ye you
뭐 하니? 너도 내 Kiss Kiss 원하니
월 화 수 목 금 토 일 미모가 쉬지를 않네
머리부터 발끝까지 눈부셔 빛이 나네
Oh 저기 언니야들 내 Fashion을 따라 하네
아름다운 여자의 하루는 다 아름답네
이 Party에 준비된 Birthday cake
태어나서 감사해 Every day
I don’t need them
그래 내가 봐도 난
퀸카 I’m hot
My boob and booty is hot
Spotlight 날 봐
I’m a star star star
퀸카 I’m the top
I’m twerking on the runway
I am a 퀸카
You wanna be the 퀸카
I’m a 퀸카
I’m a 퀸카
I’m a I’m a I’m a 퀸카
I’m a 퀸카 (Take a photo)
I’m a 퀸카
I’m a 퀸카
I’m a I’m a I’m a 퀸카
I’m a 퀸카
Look so cool look so sexy like Kim Kardashian
Look so cute look so pretty like Ariana
I wanna with you 뽀뽀
I wanna with you 포옹
자꾸 예뻐져 거울 속 너어~
이 Party에 준비된 Blue Champagne
태어난 걸 축하해 Every day
I don’t need them
그래 내가 봐도 난
퀸카 I’m hot
My boob and booty is hot
Spotlight 날 봐
I’m a star star star
퀸카 I’m the top
I’m twerking on the runway
I am a 퀸카
You wanna be the 퀸카
I’m a 퀸카
I’m a 퀸카
I’m a I’m a I’m a 퀸카
I’m a 퀸카 (Take a photo)
I’m a 퀸카
I’m a 퀸카
I’m a I’m a I’m a 퀸카
I’m a 퀸카
아무거나 걸친 Girl 퀸카카카
마르거나 살찐 Girl 퀸카카카
자신감 넘치는 Girl 퀸카카카
I am a 퀸카
You wanna be the 퀸카
(G)I-DLE Official YouTube: http://www.youtube.com/@official_g_i_dle
(G)I-DLE Official Twitter: https://twitter.com/G_I_DLE
(G)I-DLE Official Facebook: https://facebook.com/G.I.DLE.CUBE
(G)I-DLE Official Instagram: https://instagram.com/official_g_i_dle
(G)I-DLE Official Weibo: http://weibo.com/cubegidle
(G)I-DLE Official Weverse: https://weverse.io/gidle
#여자아이들 #GIDLE #I_feel</t>
  </si>
  <si>
    <t>PREPARE FOR THE RIDE OF YOUR LIFE. Chris Hemsworth is Tyler Rake in EXTRACTION 2 - only on Netflix, June 16.
Hemsworth reunites with director Sam Hargrave, with Joe and Anthony Russo's AGBO producing and Joe Russo writing. Golshifteh Farahani reprises her role from the first film, with Daniel Bernhardt and Tinatin Dalakishvili also co-starring.
This is a sequel to the first film that was based on the graphic novel 'Ciudad' by Ande Parks, from a story by Ande Parks, Joe Russo &amp; Anthony Russo, with illustrations by Fernando León González. EXTRACTION 2 is produced by Anthony Russo, Joe Russo, Mike Larocca, Chris Hemsworth, Patrick Newall and Sam Hargrave, with Angela Russo-Otstot, Jake Aust, Benjamin Grayson, Steven Scavelli, Christopher Markus and Stephen McFeely as executive producers.
Watch EXTRACTION now, only on Netflix.
SUBSCRIBE: http://bit.ly/29qBUt7
About Netflix:
Netflix is one of the world's leading entertainment services with 233 million paid memberships in over 190 countries enjoying TV series, films and games across a wide variety of genres and languages. Members can play, pause and resume watching as much as they want, anytime, anywhere, and can change their plans at any time.
EXTRACTION 2 | Official Trailer | Netflix
https://www.youtube.com/@Netflix
Back from the brink of death, highly skilled commando Tyler Rake takes on another dangerous mission: saving the imprisoned family of a ruthless gangster.</t>
  </si>
  <si>
    <t>Get ready for the next stage of attacks with Builder Base 2.0! 
Follow us on our Socials!
Twitter ► https://twitter.com/ClashofClans/
Instagram ► https://www.instagram.com/clashofclans 
Facebook ► https://www.facebook.com/ClashofClans 
TikTok ► https://www.tiktok.com/@clashofclans
Attack. Defend. Strategize. Download for free for mobile devices. http://supr.cl/ThisArmy
From rage-­filled Barbarians with glorious mustaches to pyromaniac wizards, raise your own army and lead your clan to victory! Build your village to fend off raiders, battle against millions of players worldwide, and forge a powerful clan with others to destroy enemy clans.
PLEASE NOTE! Clash of Clans is free to download and play, however some game items can also be purchased for real money 
Also, under our Terms of Service and Privacy Policy, you must be at least 13 years of age to play or download Clash of Clans.
A network connection is also required.
FEATURES
- Build your village into an unbeatable fortress 
- Raise your own army of Barbarians, Archers, Hog Riders, Wizards, Dragons and other mighty fighters
- Battle with players worldwide and take their Trophies
- Join together with other players to form the ultimate Clan
- Fight against rival Clans in epic Clan Wars 
- Build 18 unique units with multiple levels of upgrades
- Discover your favorite attacking army from countless combinations of troops, spells, Heroes and Clan reinforcements 
- Defend your village with a multitude of Cannons, Towers, Mortars, Bombs, Traps and Walls
- Fight against the Goblin King in a campaign through the realm
Chief, are you having problems? Visit https://help.supercellsupport.com/clash-of-clans/en/
Privacy Policy:
https://supercell.com/en/privacy-policy/
Terms of Service:
https://supercell.com/en/terms-of-service/
Parent’s Guide:
https://supercell.com/en/parents/
#clashofclans #builderbase #builderhall10</t>
  </si>
  <si>
    <t>This thing blows
Check out Dr. Mike at https://www.youtube.com/@DoctorMike
MKBHD Merch: http://shop.MKBHD.com
Tech I'm using right now: https://www.amazon.com/shop/MKBHD
Playlist of MKBHD Intro music: https://goo.gl/B3AWV5
~
http://twitter.com/MKBHD
http://instagram.com/MKBHD
http://facebook.com/MKBHD</t>
  </si>
  <si>
    <t>Take the ride to the other side. Watch the brand-new trailer for Haunted Mansion, appearing only in theaters July 28.
Directed by Justin Simien, the film features an all-star cast ensemble cast including LaKeith Stanfield, Tiffany Haddish, Owen Wilson, Danny DeVito, Rosario Dawson, Chase W. Dillon and Dan Levy, with Jamie Lee Curtis and Jared Leto as The Hatbox Ghost.
Inspired by the classic theme park attraction, “Haunted Mansion” is about a woman and her son who enlist a motley crew of so-called spiritual experts to help rid their home of supernatural squatters. The film’s producers are Dan Lin and Jonathan Eirich, with Nick Reynolds and Tom Peitzman serving as executive producers.
SOCIAL MEDIA:
#HauntedMansion
IG: @HauntedMansion
TW: @HauntedMansion
FB: @HauntedMansion</t>
  </si>
  <si>
    <t>Grab some popcorn and turn out the lights! It's Amanda time!</t>
  </si>
  <si>
    <t>Play World of Tanks PC for free:  https://tanks.ly/3yLKdf6
Use invite code "COMBAT" to get a Premium Tank Cromwell B, 250,000 credits, 7 days premium account time and a bunch of other stuff!
-------------------------------------------------
Many Kudos: https://www.youtube.com/channel/UC2Egt30phfTNZO5Yxb-sbyw
-------------------------------------------------
Twitter:  twitter.com/nethistorian
Patreon: patreon.com/internethistorian</t>
  </si>
  <si>
    <t>Autism II B Sc Nursing 3rd Year II Mental Health Nursing II Alka Madam II
Plz Download our App " ONLINE NURSING CLASSES "  from the below link 
https://play.google.com/store/apps/details?id=co.bran.tmc
This app will provide video lectures, Notes and MCQ. 
Jeevan Jyothi Foundation is a grass root level working NGO from Gwalior, Madhya Pradesh. India registered as an NGO under Section 8 of Indian Company Act, Ministry of Corporate Affairs, Govt of India.
One of the main objectives of Jeevan Jyothi Foundation is to uplift the standard of Nursing by conducting seminars, workshops, Awareness campaigns and taking online classes. 
Jeevan Jyothi Foundation is having 12A and 80G of from Income Tax Department and also registered with NITI Aayog, Govt of India. 
Link of all the charitable activities are given below:
Introduction of Jeevan Jyothi Foundation:
https://youtu.be/SCunpIrBb1Q
Food Distribution in Hospitals:
https://youtu.be/uldn7McYUlU
Food Distribution in Streets: 
https://youtu.be/CeqBxE9PGQ4
Covid 19 Relief Works:</t>
  </si>
  <si>
    <t>This educational video explains about the conduct disorder, a behavioural disorder in children. It explains about it's definition, incidence, types, etiologlical factors, symptoms and treatment of a child with conduct disorder. It is explained in a very simple language in Hindi and English mix, which makes it easy for the students to understand.</t>
  </si>
  <si>
    <t>Notes of Conduct Disorder in Hindi in Mental Health Nursing (Psychiatric). 
I have explained  11th chapter of psychiatric nursing. 
#conductdisorder
#mentalretardation 
#childhoodautism
#autism 
#mentalhealthnursing
# psychiatricnursing
#hypersomnia 
#nursingnotes 
#bscnursingnotes 
#psychiatricnotes
#nursingnotes 
#gnm 
#nursingofficer 
If you really liked my video then don't forget to like and subscribe to my YouTube channel and also comment below and don't forget to hit the bell icon to get notifications of the new video.</t>
  </si>
  <si>
    <t>Hey Everyone! 
Thank you for watching our video about medical school! If you enjoyed our medical school videos, please leave a comment below, like our videos, and please SUBSCRIBE to the channel! 
About Us:
Mad Medicine was started to talk about many aspects of medicine, from medical school and premed, to nursing, PA, NP and much, much more. On our channel, we sit down and talk about relevant medical topics, issues that many medical professionals are facing, ways to be successful through your education and career, and (again) much, much more.
We started this channel as medical students in medical school in order to help premeds get into the medical schools of their choice. Whether you want to got to medical school in Harvard, or to a local medical school, we try to provide you with the best video content that will help you achieve your goal. Our medical school trips to become a medical student have to pertain to questions such as, "Do you need research for medical school?", "Is Clinical Experience required for medical school" and much much more. Along with medical school tips and tricks, we also plan to provide you guys with videos that have to do with medical school requirements, medical school rankings, how to be a medical student, as well as fun (yet informative) sessions. Who knows, maybe we will even do medical school and medical student vlogs one day!
 We are always looking for ways to grow our channel so if you ever have any ideas or want us to talk about specific topics, or heck, even if you have a guest you want us to talk to, leave a comment below! Thank you for the support!
Instagram: www.instagram.com/mad.medicine
#medicine #medicalstudent #medicalschool</t>
  </si>
  <si>
    <t>Buy "Memorable Psychiatry," "Memorable Psychopharmacology,” and "Memorable Neurology" on Amazon! http://memorablepsych.com/books 
Externalizing disorders (known formally as "Disruptive, Impulse-Control, and Conduct Disorders" in the DSM) include oppositional defiant disorder (ODD), conduct disorder (CD), intermittent explosive disorder (IED), and disruptive mood dysregulation disorder (DMDD). These diagnoses capture a wide range of pathology involving disruptive behavior in children and adolescents who do not qualify for a diagnosis of antisocial personality disorder. In this video, we will go over how to differentiate between these 4 disorders using a simple mnemonic! 
Learn more externalizing disorders, including their core signs and symptoms, prognosis, and treatment, in this high-yield talk intended for all healthcare providers, including doctors, medical students, psychologists, nurses, nurse practitioners, physician assistants, social workers, and more!
Link to video on antisocial personality disorder: https://www.youtube.com/watch?v=W-Fo08OoIVI&amp;list=PLeZk8BXkxXt8mSX-tE2WFheDdpSFBW7lk
Link to video on psychopathy: https://www.youtube.com/watch?v=uizelyjZrAw&amp;list=PLeZk8BXkxXt8mSX-tE2WFheDdpSFBW7lk
ATTRIBUTIONS
Beauty Flow Kevin MacLeod (incompetech.com)
Licensed under Creative Commons: By Attribution 3.0 License
http://creativecommons.org/licenses/by/3.0/</t>
  </si>
  <si>
    <t>What does Disruptive, Impulse Control, and Conduct Disorders mean in English?</t>
  </si>
  <si>
    <t>Want tools for ADHD and ODD (oppositional defiant disorder)? Raise Healthy, Happy, Cooperative Kids - Visit http://www.learntospeakkid.com 
Want to help spread the word about Creating Champions For Life? 
Click Here and become a partner with the CCFL Ministry today: https://ccflfamilyministry.org/give/
Join the CCFL Outreach for ADHD and ODD Parents seeking solutions: https://www.facebook.com/groups/CCFLSupportGroup
Follow Us on Instagram: https://www.instagram.com/ccfl_parenting/
Many parents are searching for better Behavior Management Strategies for Oppositional Defiant Disorder, ADHD - Attention Deficit Hyperactivity Defiant Disorder, other behavior disorders, or just plain defiant behavior.
In this video, Bonnie Liotta and Thomas Liotta are working with the Parno Family in their home. Watch as Thomas guides the behavior of their three children who Mom describes as lazy, defiant and demanding. There are also the diagnoses of Oppositional Defiant Disorder and ADHD - Attention Deficit Hyperactivity Disorder.  
Mackenzie is ADHD and borderline Oppositional Defiant Disorder. Isabella had never slept in her own bed, and Sebastian is dealing with teenage emotional issues. See how they respond to the proactive and positive language of Creating Champions for Life.
This was the first time this family was able to enjoy a quiet dinner together as a family!
http://learntospeakkid.com Get the Learn to Speak Kid Ebook FREE today, while you still can!</t>
  </si>
  <si>
    <t>Disruptive, Impulse-Control and Conduct Disorders</t>
  </si>
  <si>
    <t>Check out that awesome FREE 3-in-1 personality quiz (and let me predict things about you): https://practicalpie.com/free-personality-test/
The full Personality Playlist: https://www.youtube.com/watch?v=dcsc_EsJmsA&amp;list=PLg999NlgHHrSm0uH_jPdx3a5gZghq31TU&amp;index=1
Learn more about personality disorders including the odd, anxious, and dramatic clusters: https://practicalpie.com/personality-disorders/
--- Invest in yourself ---
❤️ Psychology of Attraction: https://practicalpie.com/POA
⏰ Psychology of Productivity: https://practicalpie.com/psychology-of-productivity/
_xD83D__xDCB5_ Psychology of Selling: https://practicalpie.com/psychology-of-selling/
_xD83D__xDCB8_ Learn Persuasive writing with CopywritingKit!: https://practicalpie.com/copywritingkit-yt/
_xD83E__xDDE0_My Mastermind (Free $20 your first month): https://practicalpie.com/practical-growth-academy/</t>
  </si>
  <si>
    <t>Buy "Memorable Psychiatry," "Memorable Psychopharmacology,” and "Memorable Neurology" on Amazon! http://memorablepsych.com/books 
Anxiety disorders such as generalized anxiety disorder (GAD), panic attacks (including panic disorder and agoraphobia), specific phobias, and social anxiety disorder together make up the single most common group of mental disorders, so it’s important to have a framework for both diagnosing and treating them.
Learn more about anxiety disorders, including their DSM diagnostic criteria, epidemiology, prognosis, and treatment, in this high-yield mnemonics-filled lecture intended for all healthcare providers, including doctors, medical students, psychologists, nurses, nurse practitioners, physician assistants, social workers, and more!
ATTRIBUTIONS
Beauty Flow Kevin MacLeod (incompetech.com)
Licensed under Creative Commons: By Attribution 3.0 License
http://creativecommons.org/licenses/by/3.0/</t>
  </si>
  <si>
    <t>This video describes conduct disorder (CD) as defined in the Diagnostic and Statistical Manual (DSM). The symptom criteria for conduct disorder are divided into four categories. The first category is aggression to people and animals and there are seven symptom criteria in this category: threatens or intimidates others, often initiates physical fights, used a weapon to cause harm to another individual, demonstrated physical cruelty to people, demonstrated physical cruelty to animals, stolen while confronting a victim, and forced someone into sexual activity. The next category is destruction of property and this has two symptom criteria: set a fire with the intent of causing destruction, destroyed the property of others without involving fire. The next category is deceitfulness or theft and there are three symptom criteria here: broken into a house building or vehicle, often lies to obtain goods or to avoid obligations, stealing items without confrontation. The fourth category contains serious violations of rules and there are three symptom criteria: stays out all night, run away overnight at least twice or once if it's for lengthy period, and often truant from school. Three criteria have to be met in the last 12 months and at least one of those three has to also be met in the last six months. There also must be clinically significant impairment and if the individual is 18 years or older, that they do not meet the full criteria for antisocial personality disorder. Conduct disorder also has three subtypes: childhood onset type, adolescent onset type, and unspecified onset. There is also a “with limited pro-social emotions” specifier available.</t>
  </si>
  <si>
    <t>My goal is to reduce educational disparities by making education FREE.
These videos help you score extra points on medical school exams (USMLE, COMLEX, etc.)
For educational purposes only; NOT medical or other advice.
Some videos contain mild profanity and hyperbole solely used to assist with memorization. Viewer discretion advised. 
Opinions are entirely my own.</t>
  </si>
  <si>
    <t>Kent Kiehl, a professor of psychology and neuroscience at the University of New Mexico, joins Megyn Kelly TODAY to explain the implications of a conduct disorder diagnosis and the probability that a child will age out of the bad behavior.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Google+: http://on.today.com/PlusTODAY
Follow TODAY on Instagram: http://on.today.com/InstaTODAY
Follow TODAY on Pinterest: http://on.today.com/PinTODAY
Psychology And Neuroscience Professor Explains Conduct Disorders | Megyn Kelly TODAY</t>
  </si>
  <si>
    <t>A recorded lecture for a diagnosis and psychopathology course on the DSM-5-TR diagnoses related to bipolar and related disorders.</t>
  </si>
  <si>
    <t>Buy "Memorable Psychiatry," "Memorable Psychopharmacology,” and "Memorable Neurology" on Amazon! http://memorablepsych.com/books 
Psychosis and schizophrenia are complex and tricky syndromes. Let’s zero in on the symptoms of psychosis as they are seen in cases of schizophrenia, paying particular attention to the specific phenomenology of things like auditory hallucinations and delusions to help us better pick up these cases! 
Learn more about schizophrenia, brief psychotic disorder, schizophreniform disorder, and delusional disorder in this mnemonics-filled lecture intended for all healthcare providers, including doctors, medical students, psychologists, nurses, nurse practitioners, physician assistants, social workers, and more.
ATTRIBUTIONS
Beauty Flow Kevin MacLeod (incompetech.com)
Licensed under Creative Commons: By Attribution 3.0 License
http://creativecommons.org/licenses/by/3.0/</t>
  </si>
  <si>
    <t>Gestational Diabetes</t>
  </si>
  <si>
    <t>Oppositional defiant disorder is a condition marked by overt aggressiveness, hostility, and disobedience. People with ODD purposefully bother and irritate others; their behavior goes beyond "irritable." Some studies estimate that as many as 65 percent of kids with ADHD also have symptoms of ODD. Could yours? 
Learn more about the condition here: https://www.additudemag.com/category/understand-conditions/related-conditions/oppositional-defiant-disorder/
Related Resources:
1. Self-Test: ODD in Children: https://www.additudemag.com/screener-oppositional-defiant-disorder-symptoms-test-children/
2. Self-Test: ODD in Adults: https://www.additudemag.com/screener-oppositional-defiant-disorder-symptoms-test-adults/
3. Download: Does My Child Have Oppositional Defiant Disorder? https://www.additudemag.com/download/does-my-child-have-odd/
4. Download: The 15-Day Fix for Defiant Behavior: https://www.additudemag.com/download/adhd-defiant-behavior-fix-for-parents/
Subscribe to the ADDitude YouTube Channel: https://www.youtube.com/channel/UC_3d1NVczqxa-cQzFt2iVSw
Visit the ADDitude web site: https://www.additudemag.com
Follow ADDitude on Facebook: https://www.facebook.com/additudemag/
Follow ADDitude on Instagram: https://www.instagram.com/additudemag/
Follow ADDitude on Twitter: https://www.twitter.com/ADDitudeMag/</t>
  </si>
  <si>
    <t>--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</si>
  <si>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many Childs have question why we go school 
in video you will understand why we go school
and you can study with this and my other video
#chatgpt 
#steve.ai</t>
  </si>
  <si>
    <t>What is Oppositional Defiant Disorder, and how do I know if my child needs help? First off, let's clarify what this means. In this video, I'm going to explain to you what Oppositional Defiant Disorder is and how to manage it. You might be surprised that it's easier than expected. Watch on to learn how to discipline a child with this disorder.
00:17 The diagnosis of Oppositional Defiant Disorder
01:02 Consider that it's not a thing that you can just give a pill for
01:31 It's disciplining a child
02:00 Stage 1 - Oppositional
02:25 Stage 2 - Cooperation
02:44 Stage 3 - Responsibility
03:29 Please remain calm
04:23 3 Rules for the Power Struggle
05:29 Stay in control of timing, content, and emotion
05:44 Timing
07:52 Content
09:40 Emotion
10:57 Give them 2 choices
Find out more about Positive Parenting here:
http://parentingpowerup.com/
Watch and Enjoy!
Dr. Paul Jenkins
For a FREE digital copy of my mini-book, Portable Positivity, visit this link: 
https://bit.ly/2PoIDam
Schedule your FREE Parenting Breakthrough call here: 
https://calendly.com/liveonpurpose/parentingbreakthrough
LINKS &amp; RESOURCES:
========================
Website: http://www.drpauljenkins.com/
Books &amp; CD’s: http://drpauljenkins.com/products/
The Parenting Power-up Audio Course: http://parentingpowerup.com/
Free digital copy of Portable Positivity: https://bit.ly/2PoIDam
MUSIC
========================
Track: Kisma - We Are [NCS Release]
Music provided by NoCopyrightSounds.
Watch: https://youtu.be/WfluodjOkOk
Licensed under Creative Commons — Attribution 3.0
========================
Video by Nate Woodbury
BeTheHeroStudios.com
http://YouTube.com/c/NateWoodbury
#LiveOnPurpose
#PositiveParenting</t>
  </si>
  <si>
    <t>Oppositional defiant disorder is a real mental disorder in children. In this video, I share with you criteria of someone who is diagnosed with the disorder and how you can deal with it.
Watch and Enjoy!
Dr. Paul Jenkins
For a FREE digital copy of my mini-book, Portable Positivity, visit this link: 
https://bit.ly/2PoIDam
LINKS &amp; RESOURCES:
========================
Website: http://www.drpauljenkins.com/
Books &amp; CD’s: http://drpauljenkins.com/products/
The Parenting Power-up Audio Course: http://parentingpowerup.com/
Free digital copy of Portable Positivity: https://bit.ly/2PoIDam
MUSIC
========================
Track: Kisma - We Are [NCS Release]
Music provided by NoCopyrightSounds.
Watch: https://youtu.be/WfluodjOkOk
Licensed under Creative Commons — Attribution 3.0
========================
Video by Nate Woodbury
BeTheHeroStudios.com
http://YouTube.com/NateWoodburyHero
#LiveOnPurpose
#PositiveParenting</t>
  </si>
  <si>
    <t>Oppositional Defiant Disorder (ODD) explained.
What is ODD? When are people diagnosed with ODD?</t>
  </si>
  <si>
    <t>Learn more about oppositional defiant disorder in children here: https://www.additudemag.com/category/understand-conditions/related-conditions/oppositional-defiant-disorder/
Children with ADHD and oppositional defiant disorder are blatantly disobedient, disrespectful, and confrontational. 
Standard discipline doesn’t work. So what do you do? Follow the strategies in this video to restore order to your home.
Related Resources
1. Self-Test: Oppositional Defiant Disorder in Children https://www.additudemag.com/screener-oppositional-defiant-disorder-symptoms-test-children/
2. Free Download: Your 2-Week Guide to Ending Defiant Behavior https://www.additudemag.com/download/adhd-defiant-behavior-fix-for-parents/
3. Top Article: What Does Oppositional Defiant Disorder (ODD) Look Like in Children?  https://www.additudemag.com/oppositional-defiant-disorder-symptoms-in-children/
Subscribe to the ADDitude YouTube Channel: https://www.youtube.com/channel/UC_3d1NVczqxa-cQzFt2iVSw
Visit the ADDitude web site: https://www.additudemag.com
Follow ADDitude on Facebook: https://www.facebook.com/additudemag/
Follow ADDitude on Instagram: https://www.instagram.com/additudemag/
Follow ADDitude on Twitter: https://www.twitter.com/ADDitudeMag/</t>
  </si>
  <si>
    <t>Using a combination of neuroimaging, physiological and observational tools, Michalska explores the development of emotional empathy in children at risk for psychopathology, such as children with conduct problems and those with social anxiety.
Kalina Michalska is a professor of psychology and neuroscience at the University of California, Riverside and director of the Kids Interaction and Neuro Development (KIND) Lab. Her work aims at understanding how social and emotional development varies in children and what neurological and environmental factors give rise to such individual differences.
This talk was given at a TEDx event using the TED conference format but independently organized by a local community. Learn more at https://www.ted.com/tedx</t>
  </si>
  <si>
    <t>I'm Kati Morton, a licensed therapist making Mental Health videos!
#katimorton #therapist #therapy
MY BOOK
Are u ok? A Guide To Caring Your Mental Health
http://bit.ly/2s0mULy
JOURNALING CLUB
Every Tuesday &amp; Friday I post a journal prompt to help keep you motivated and working on yourself. Whether you add the prompts to your own journal at home or use the comment section under the prompt itself, this can be a great way to keep on track with journaling.  Join here: https://www.youtube.com/katimorton/join 
ONLINE THERAPY
I do not currently offer online therapy.  BetterHelp can connect you with a licensed, online counselor, please visit: https://betterhelp.com/kati
I receive commissions on referrals and recommend services I know and trust.
MY AMAZON RECOMMENDATIONS  https://www.amazon.com/shop/katimorton
PATREON
Are you interested in supporting the creation of mental health videos? If so, please visit: https://www.katimorton.com/kati-morton-patreon/
PODCASTS
Opinions That Don't Matter!  &amp;  Ask Kati Anything!
video: youtube.com/c/OpinionsThatDontMatter
Audio versions: 
https://opinonsthatdontmatter.buzzsprout.com/
https://askkatianything.buzzsprout.com/
BUSINESS EMAIL: Linnea Toney  linnea@underscoretalent.com
PO Box: 1223 Wilshire Blvd. #665 Santa Monica, CA 90403
PLEASE READ
If you or someone you know is in immediate danger, please call a local emergency telephone number or go immediately to the nearest emergency room.</t>
  </si>
  <si>
    <t>Get access to hundreds of LIVE workshops with MedCircle psychologists &amp; psychiatrists: https://watch.medcircle.com
Understand the childhood disorder that could lead to psychopathy, sociopathy or narcissism.
Children can be difficult: this is a given. But sometimes a child’s difficult behavior occurs so often and is so severe that it can hurt family relationships. This series covers the diagnosis that, believe it or not, is an opportunity to change your child’s life for the better. Welcome to the MedCircle Original Series, “Oppositional Defiant Disorder: Parenting Strategies for Combative Kids."
Thanks for watching our youtube video! Now,
FOLLOW US ON SOCIAL MEDIA:
INSTAGRAM: https://www.instagram.com/medcircleofficial
FACEBOOK: https://www.facebook.com/MedCircleOfficial
TWITTER: https://www.twitter.com/medcircle
Follow our host, Kyle Kittleson: 
WEBSITE: https://kylekittleson.com/
FACEBOOK: https://www.facebook.com/KyleKittleson/
TWITTER: https://www.twitter.com/kylekittleson
INSTAGRAM: https://www.instagram.com/kylekittleson
ABOUT THE SERIES:
Children can be difficult; this is a given. But sometimes a child’s difficult behavior occurs so often and is so severe that it can negatively impact family relationships. This series covers the diagnosis that, believe it or not, is an opportunity to change your child’s life for the better. While all children have symptoms of oppositional defiant disorder (ODD) from time to time, there are certain factors that differentiate whether a child’s difficult behavior can be managed at home, or whether there’s a need for outside intervention.  This series will walk you through how to recognize whether this behavior warrants professional help, how to find the right mental health providers if that’s the case, what treatment options are available, and how to successfully parent difficult behavior in the long-term. Welcome to your crash course for parenting combative kids.</t>
  </si>
  <si>
    <t>This is a video about the philosophy of existentialism &amp; its educational implications. This video consists of the main points of existentialism, on which it is based, aims of education according to existentialism, concept of teacher &amp; concept of student in this philosophy. Students will get a proper idea for understanding existentialism philosophy of education after watching this video.
#nursing 
#nursingeducation 
#nursingeducationnews 
#nursingexamprepration 
#medicalstudent 
#nursingstudent</t>
  </si>
  <si>
    <t>Online Learning on Psychiatric Nursing/Mental Health Nusing.
Lecture by Mrs Yogitha, MSc Nursing ( Psychiatric Nursing )</t>
  </si>
  <si>
    <t>Mrs. Yogitha
Associate Professor 
Department  of Mental Health Nursing</t>
  </si>
  <si>
    <t>Online Learning on
 Nursing Foundation
Lecture by Mrs Yogitha, MSc Nursing ( PGDC)</t>
  </si>
  <si>
    <t>A video in Malayalam in connection to the 'Kerala Story', where the speaker is sharing her views that facts and figures should also be propagated by the Hindi speaking people of Kerala - they could be people who have roots in the Hindi speaking parts of India who are working or settled in Kerala OR malayalees who are as fluent as native speakers in Hindi.</t>
  </si>
  <si>
    <t>#communicationskills #softskillsdevelopment #careergrowth #motivation #englishspeaking #educational</t>
  </si>
  <si>
    <t>Dr Rajiv Sharma -  Psychiatrist M.D. (AIIMS) ,Mobile - 742-8101-555
Clinic Address –A Beautiful Mind Clinic C-4C, 380, Janak Puri,New Delhi
For Appointments - http://abeautifulmindclinic.com
For Daily Updates Facebook Page - https://www.facebook.com/abeautifulmindclinic/
https://twitter.com/drrajiv_sharma
https://www.instagram.com/abeautifulmindclinic/?hl=en
https://youtu.be/q2VK1AQ3JKU
बुद्धि की कमी कारण लक्षण इलाज बच्चों में  Hindi Mental Retardation Intellectual Disability Children
https://youtu.be/wIw-r0hPkb4
Oppositional Defiant Disorder Child बच्चों में उल्टी बात करना ,बदतमीजी करना  लक्षण और इलाज in Hindi
https://youtu.be/bSu_MhKfryM
Conduct Disorder in Hindi Children Causes Symptoms Treatment बच्चों में व्यवहार की समस्या PART 1
https://youtu.be/rGslohJLdwE
Conduct Disorder in Hindi Children Causes Symptoms Treatment बच्चों में व्यवहार की समस्या PART 2
https://youtu.be/Cv_fIHE3zHs
Autism Spectrum Disorder in babies Children Hindi Symptom Assessment Treatment  लक्षण और इलाज India
https://youtu.be/7PPwrx4x_hI
Child &amp; Adult Speech Assessment बच्चों और बड़ों की बोलने की क्षमता की जांच Speech Therapist in Hindi
https://youtu.be/ePHTtRsoY6o
हकलाना / Stammering Problem Cure Treatment  Speech Therapy / Therapist in Hindi @Clinic or Phone
https://youtu.be/w3Gh-_JBXHE
Online/Clinic Occupational Therapy Assessment in children /बच्चों Ritika Depan OT &amp;Dr Rajiv in Hindi
https://youtu.be/6Vdvl9QQP8w
What is Occupational Therapy Therapist  in Hindi in Children , Adult &amp; OLD  Online Clinic - Ritika</t>
  </si>
  <si>
    <t>Track #11 - Identifying Four Thinking Errors - CDAD</t>
  </si>
  <si>
    <t>Notes Of Personality Disorder Of Mental Health Nursing (Psychiatric)  in Hindi.
I have explained  10th chapter of psychiatric nursing. 
#Personality 
#personalitydisorder 
#mentalhealthnursing
# psychiatricnursing
#nursingnotes 
#bscnursingnotes 
#psychiatricnotes
#nursingnotes 
#gnm 
#nursingofficer 
If you really liked my video then don't forget to like and subscribe to my YouTube channel and also comment below and don't forget to hit the bell icon to get notifications of the new video.</t>
  </si>
  <si>
    <t>Crisis II B Sc Nursing 3rd Year II Mental Health Nursing II Alka Mam II
Plz Download our App " ONLINE NURSING CLASSES "  from the below link 
https://play.google.com/store/apps/details?id=co.bran.tmc
This app will provide video lectures, Notes and MCQ. 
Jeevan Jyothi Foundation is a grass root level working NGO from Gwalior, Madhya Pradesh. India registered as an NGO under Section 8 of Indian Company Act, Ministry of Corporate Affairs, Govt of India.
One of the main objectives of Jeevan Jyothi Foundation is to uplift the standard of Nursing by conducting seminars, workshops, Awareness campaigns and taking online classes. 
Jeevan Jyothi Foundation is having 12A and 80G of from Income Tax Department and also registered with NITI Aayog, Govt of India. 
Link of all the charitable activities are given below:
Introduction of Jeevan Jyothi Foundation:
https://youtu.be/SCunpIrBb1Q
Food Distribution in Hospitals:
https://youtu.be/uldn7McYUlU
Food Distribution in Streets: 
https://youtu.be/CeqBxE9PGQ4
Covid 19 Relief Works:</t>
  </si>
  <si>
    <t>Psychiatric Emergency II  B Sc Nursing 3rd Year II Mental Health Nursing II Alka Madam II
Plz Download our App " ONLINE NURSING CLASSES "  from the below link 
https://play.google.com/store/apps/details?id=co.bran.tmc
This app will provide video lectures, Notes and MCQ. 
Jeevan Jyothi Foundation is a grass root level working NGO from Gwalior, Madhya Pradesh. India registered as an NGO under Section 8 of Indian Company Act, Ministry of Corporate Affairs, Govt of India.
One of the main objectives of Jeevan Jyothi Foundation is to uplift the standard of Nursing by conducting seminars, workshops, Awareness campaigns and taking online classes. 
Jeevan Jyothi Foundation is having 12A and 80G of from Income Tax Department and also registered with NITI Aayog, Govt of India. 
Link of all the charitable activities are given below:
Introduction of Jeevan Jyothi Foundation:
https://youtu.be/SCunpIrBb1Q
Food Distribution in Hospitals:
https://youtu.be/uldn7McYUlU
Food Distribution in Streets: 
https://youtu.be/CeqBxE9PGQ4
Covid 19 Relief Works:</t>
  </si>
  <si>
    <t>Track #8 - 6 Factors of Neuro-Psychological Functioning
of Antisocial Youth - CDAD</t>
  </si>
  <si>
    <t>Recorded with https://screenpal.com</t>
  </si>
  <si>
    <t>Watch more How to Understand Child Psychology videos: http://www.howcast.com/videos/507698-What-Is-a-Disruptive-Behavior-Disorder-Child-Psychology
So disruptive behavior disorders are several different disorders of childhood in which children don’t follow rules, they tend to be defiant, they tend to have difficulties in school and really have trouble making peer relationships. So one of the things we recognize, are three to four percent of the population of children have some type of type of disruptive behavior disorder. A disruptive behavior disorder is an attention hyperactivity deficit disorder, conduct disorder or, an oppositional defiant disorder. Categorically these children have trouble following the rules, they are impulsive, they can be aggressive and they are spending a lot of time getting into trouble. One of the things that we have to recognize that sometimes these disruptive behaviors co-occur, meaning that they happen simultaneously to one child. We see that children are more at risk for disruptive behavior disorders when they have lower IQs and educational difficulties, and there has been some link to social economic status with regards to these types of disorders. We need to recognize that these disorders are treatable and with parent and teacher intervention a child can move past this and be successful.</t>
  </si>
  <si>
    <t>Oppositional Deviant Disorder (ODD), Conduct Disorder &amp; Antisocial behaviour</t>
  </si>
  <si>
    <t>METHODS OF VERBAL LEARNING: PAIRED-ASSOCIATES LEARNING, SERIAL LEARNING &amp; FREE RECALL</t>
  </si>
  <si>
    <t>Structural, phonetic &amp; semantic</t>
  </si>
  <si>
    <t>UNI FACTOR/ONE FACTOR THEORY BY ALFRED BINET, TWO FACTOR THEORY BY CHARLES SPEARMAN &amp; THEORY OF PRIMARY MENTAL ABILITIES BY Louis THURSTONE, Also the meaning of the two approaches- Psychometric &amp; information processing approach.</t>
  </si>
  <si>
    <t>Healthy Ice breaking activity before starting class
#icebreaking
#healthy 
#activity</t>
  </si>
  <si>
    <t>Photos with Commentary -  AG15</t>
  </si>
  <si>
    <t>Three Piece Puzzle -  AG08</t>
  </si>
  <si>
    <t>The Bank &amp; Sorting - AG04</t>
  </si>
  <si>
    <t>Adaptive Handle - AG12</t>
  </si>
  <si>
    <t>Yarn Winding &amp; Sorting - AG07</t>
  </si>
  <si>
    <t>Magazine Folding con't &amp; Lacing Cards - AG10</t>
  </si>
  <si>
    <t>Magazine Folding AG09</t>
  </si>
  <si>
    <t>Stenciling - AG14</t>
  </si>
  <si>
    <t>Color Patterns - AG05</t>
  </si>
  <si>
    <t>Cradle Head, Room Lighting, Family Photo - AG01</t>
  </si>
  <si>
    <t>Paper Balling &amp; Rolling - AG06</t>
  </si>
  <si>
    <t>Caps, &amp; Working Surface - AG03</t>
  </si>
  <si>
    <t>Track #12 - Tools for Understanding that Problems can be Opportunitites  - CDAD</t>
  </si>
  <si>
    <t>Track #10 - Kolberg's Stages of Moral Development  - CDAD</t>
  </si>
  <si>
    <t>Watch to find out more about Conduct Disorder and what you can do!--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</si>
  <si>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Watch more How to Understand Child Psychology videos: http://www.howcast.com/videos/507701-What-Is-Oppositional-Defiant-Disorder-Child-Psychology
Oppositional defiant disorder, or as some people know as ODD, occurs in about 20 percent of the school age population, and is definitely more commonly seen in boys than girls. Children with ODD usually are diagnosed by the age of 8-years-old, and it's a consistent pattern of defying authority, being vengeful, seeking revenge, not following rules, and getting into trouble all of the time. I often consider that children who have these signs and symptoms of ODD, it's really secondary to a bigger problem; anxiety, depression, some type of school related difficulty.
When I see this pattern of behaviors, and when it may be discussed with different parents, we're often looking for other underlying causes of the ODD. Because it is a series of negative behaviors, ODD can be treated with behavioral therapies and behavioral management. It's important for the parents to seek professional help, so that they can learn some of the key factors to help manage the behavior. So while there are many other factors to consider with a child who's oppositional, these are some of the key points that parents should understand and recognize to help their children.</t>
  </si>
  <si>
    <t>Communication Board - AG02</t>
  </si>
  <si>
    <t>Concentration Game &amp; Same and Different Cards - AG11</t>
  </si>
  <si>
    <t>Track #1 - Causes of Homophobia</t>
  </si>
  <si>
    <t>Styrofoam Ball &amp; Days Diary - AG13</t>
  </si>
  <si>
    <t>ADHD expert Sharon Saline answers ADDitude readers' questions about parenting a child with ADHD who is oppositional and defiant. She discusses moving beyond conflict to connection with your child.  To learn more about Dr. Sharon Saline, visit https://www.drsharonsaline.com. This video was originally broadcast on 06/25/21.</t>
  </si>
  <si>
    <t>Kelompok 1- Psikologi Klinis C</t>
  </si>
  <si>
    <t>Assalamualaikum warahmatullahi wabarakatuh Kami dari kelompok 5 yang beranggotakan:
1. SALINA OCTAVIANI 22129220
2. SARIPAH AINI 22129361
3. SILVIA INDRIANI PUTRI 22129365
4. TIARA ARZHIKA NURFADDILAH 22129374
Kami disini membahas tentang :
UPAYA PEMBAHARUAN PENDIDIKAN DI INDONESIA
Sekian dari vidio kami, apabila terdapat kesalahan kami mohon maaf,wassalamualaikum wr.wb</t>
  </si>
  <si>
    <t>Presentasi Kelompok 3 dan 4</t>
  </si>
  <si>
    <t>Halo teman-teman, di video ini kami ingin membahas strategi sistem pengendalian manajemen dan sistem pengendalian eksternal manajemen sebagai syarat mengumpulkan tugas SPM kami. Seperti yang kita semua tahu, tugas-tugas ini memang memerlukan usaha dan kesabaran yang cukup, tapi dengan tekad dan disiplin yang tepat, kita pasti bisa melakukannya dengan baik.
Kami harap vidio presentasi ini dapat membantu teman-teman yang sedang mempersiapkan diri untuk ujian tengah semester. Jangan lupa untuk subscribe dan like video ini jika konten ini bermanfaat. Terima kasih sudah menonton!</t>
  </si>
  <si>
    <t>KIRANTY NURHALIMAH
21129234
PGSD
PENELITIAN PENDIDIKAN 
MAI SRI LENA, S.Pd, M.Pd
HANA SHILFIA IRAQI, M.Pd</t>
  </si>
  <si>
    <t>Track #9 - 6 Co-Occurring Diagnoses with Conduct Disorders - CDAD</t>
  </si>
  <si>
    <t>Watch more How to Understand Child Psychology videos: http://www.howcast.com/videos/507697-What-Is-Conduct-Disorder-Child-Psychology
Conduct disorder in children is very serious. It's a disorder of childhood and adolescence that is long term, that's chronic, where children have very aggressive impulses, where children are involved in difficulties with the law and really seem to have no regard for the rules or for authority. When children have conduct disorder they are definitely at risk of carrying these difficulties into adulthood which also brings about a myriad of different problems. Children with conduct disorder often have difficulties in schools, have difficulty with relationships and have difficulty with employment and lifelong long-term relationships. It's important to recognize that if your child is not doing well in school, if your child has had difficulties where legal action was necessary, if your child is bullying, getting into fights and this is constant and ongoing, if your child does not get help these complexities will really exacerbate into other major difficulties. Look for signs of your child's grades dropping, look for signs of repeated detentions, suspensions and brushes with the law. Parents please recognize that if your child has signs of conduct disorder the sooner you get help, the sooner your child can start to learn more adaptive behaviours.</t>
  </si>
  <si>
    <t>This is a Learning in 10 voice annotated presentation (VAP) on oppositional defiant disorder and conduct disorder.
To learn more about Learning in 10 (LIT), please visit learningin10.com.
--
Learning in 10 (LIT) Reviews is a collection of 10-minute, user-friendly video lectures covering topics in the United States Medical Licensing Exam (USMLE) Step 2CK examination. LIT Reviews can be used by medical students to supplement their lecture materials. LIT Reviews have been created by world-class clinical faculty and each video undergoes a peer-review process to ensure accuracy of information.</t>
  </si>
  <si>
    <t>Parents with ODD, ADHD and high intensity kids think there’s no solution. WRONG! Healing defiance and anger in children IS POSSIBLE. You use an INTEGRATIVE approach. Yes, you need to cease the inflammation caused by wrong foods. (This is critical.) But dousing a Brain on Fire is just one piece to the puzzle. Simultaneously, you must DELIBERATELY parent from a place of integrity, love and respect because you are shifting your child’s INDENTITY of themselves. 
The trick is slowly shifting your child’s identity so THEY see themselves as kind, respectful, amazing people. We can’t help but behave as we believe ourselves to be… change their perspective of THEMSELVES and watch their outward behavior transform. I use this strategy with the parents I coach—It works every time! ❤️ Visit Carolyn’s website https://www.livewithjoynow.com/ to learn how she healed two sons of Severe ADHD and ODD behaviors as well as relentless tics. For personal coaching Contact Carolyn Carrara on FB or email . For videos, encouragement and instructions on how to do what she did, join her FB group ‘Take Control of ADHD Now’ (https://www.facebook.com/groups/healingadhdtogether/).</t>
  </si>
  <si>
    <t>Are you seeing any of these signs or symptoms on your child or a child you know?
Hello and welcome to another video about behavior disorders. Today we’re going to talk about Oppositional Defiant Disorder. 
Oppositional Defiant Disorder, or simply ODD, usually affects children and is characterized by disobedience, anger, lack of control, and a recurring pattern of negative behavior. It is often challenging for caretakers and educators to deal with kids who suffer from this disorder. 
The oppositional defiant disorder is a common behavioral condition among school-age children and can be defined as a persistent pattern of negative, hostile, defiant, and disobedient behaviors observed in a child's social interactions with adults and authority figures in general, such as parents, uncles, grandparents, and teachers, and may also be present in their relationships with friends and schoolmates.
We all know that disobedience is an increasingly common problem in the school environment, which directly affects children's development and compromises their learning. It can be linked to several factors, including oppositional defiant disorder. ODD is little talked about, but awareness has grown alarmingly within society in recent years... continue watching to learn more about Oppositional Defiant Disorder.
Disclaimer: This video is for educational purposes. If you have further questions or concerns, consult with a licensed professional.
Check out my book on Parenting Children with Oppositional Defiant Disorder
https://amzn.to/3UFZyY0
#defiant #adhd #adhdkids #conduct #behavior #behaviour #oppositionaldefiantdisorder #parenting 
Check out my videos on ADHD and Autism
What is ADHD? https://youtu.be/fHLgrTBytL0
History of Autism and what it is : https://youtu.be/NjSQUnhnZXc</t>
  </si>
  <si>
    <t>Watch more How to Understand Child Psychology videos: http://www.howcast.com/videos/507699-Why-Do-Children-Fight-and-Bite-Child-Psychology
All children have aggressive feelings, so fighting or biting observed in your child is not necessarily uncommon. We'll see as early as a child's first birthday that they might bite a parent or an individual that's spending time with them just as a source of affection.
As children start to get older, around three to five years old, nursery school age, the biting may take on a different role. Children may become more aggressive or forceful and start to hit and poke also as a way to gain attention.
When children are persistently observed biting or hitting or pushing or kicking and these types of aggressive things, this is definitely a sign that there may be some underlying larger problem.
It's important to investigate. Talk to your child's pediatrician or someone at the school or in the community to see if you can get guidance on how to help this difficulty.
Parents should recognize that if you see your child fighting and biting, let them know immediately that this is not acceptable behavior. In some instances, you may have to restrain your child just a bit so that they don't hurt another individual.
But parents keep in mind if you see a persistent pattern of your child fighting, biting or anything else aggressive, this is not acceptable. You must contact your child's pediatrician, someone at the school or in the community to get help.</t>
  </si>
  <si>
    <t>What is insomnia? Insomnia's a type of sleep disorder where somebody has trouble falling asleep or wakes up throughout the night. Find more videos at http://osms.it/more.
Hundreds of thousands of current &amp; future clinicians learn by Osmosis. We have unparalleled tools and materials to prepare you to succeed in school, on board exams, and as a future clinician. Sign up for a free trial at http://osms.it/more.
Subscribe to our Youtube channel at http://osms.it/subscribe.  
Get early access to our upcoming video releases, practice questions, giveaways, and more when you follow us on social media:
Facebook: http://osms.it/facebook
Twitter: http://osms.it/twitter
Instagram: http://osms.it/instagram
Our Vision: Everyone who cares for someone will learn by Osmosis.
Our Mission: To empower the world’s clinicians and caregivers with the best learning experience possible. Learn more here: http://osms.it/mission
Medical disclaimer: Knowledge Diffusion Inc (DBA Osmosis) does not provide medical advice. Osmosis and the content available on Osmosis's properties (Osmosis.org, YouTube, and other channels) do not provide a diagnosis or other recommendation for treatment and are not a substitute for the professional judgment of a healthcare professional in diagnosis and treatment of any person or animal. The determination of the need for medical services and the types of healthcare to be provided to a patient are decisions that should be made only by a physician or other licensed health care provider. Always seek the advice of a physician or other qualified healthcare provider with any questions you have regarding a medical condition.</t>
  </si>
  <si>
    <t>Watch more How to Understand Child Psychology videos: http://www.howcast.com/videos/507742-Depression-Symptoms-in-Children-and-Teens-Child-Psychology
While the symptoms of clinical depression in adults might be quite obvious, it's very different in children. Children who are depressed are often irritable, grouchy, moody, have difficulty with their peer relationships. They don't enjoy things that they usually would be very excited about. Sometimes they'll be isolated and seem to be withdrawn from family and their peers. Children who are depressed may not perform as well in school. There may be a decline in grades, or teachers may comment that they're struggling to stay focused and pay attention. Other things include them having poor performance in sports or other extracurricular activities where they once performed very well. 
It's very easy, sometimes, for parents and other adults to overlook some of these signs and symptoms because it's commonly said, "Oh, well. This is adolescence, and this is teenage years." However, if these signs and symptoms carry on for several months, it's important to get clinical intervention. Contact your pediatrician, or school counselor or community professional to find a good clinical psychologist or psychiatrist for your child. So it's very important to pay attention to these signs and symptoms of childhood clinical depression.</t>
  </si>
  <si>
    <t>Watch more How to Understand Child Psychology videos: http://www.howcast.com/videos/507746-What-Is-Bipolar-Disorder-Child-Psychology
Bipolar disorder in children and teenagers is very complex to diagnose. What we do know is that it's a neurochemical disorder that creates a combination of different symptoms that range from manic behaviors to depressive behaviors. Other times, it's a very unique combination of manic and depressive symptoms.
When we think about the manic symptoms, sometimes, there is silliness and excessive laughter and giddiness. There's grandiosity. There are times and occasions where a child may have an idea in his or her head, and they absolutely have to conduct this task. They may stay up all night and not sleep.
When we thing about depressive symptoms, we think about the common irritability, grouchiness, difficulty sleeping. Again, these combination of manic and depressive symptoms can cycle highs and lows very rapidly or be very slow to observe.
The diagnosis of bipolar disorder must be conducted by a clinical professional, because, again, it's very complex. While it's a very complicated disorder, these are some of the basic factors in understanding childhood bipolar disorder.</t>
  </si>
  <si>
    <t>Watch more How to Understand Child Psychology videos: http://www.howcast.com/videos/507753-What-Is-Social-Anxiety-Child-Psychology
Social Anxiety Disorder is a very common disorder that can start as early as preschool and childhood years and carry on through adolscence and adulthood. Social anxiety disorder really is an intense fear, apprehension, and worry about being in sort of social situations. Children with social anxiety disorder have difficulty going to things they would normally enjoy like birthday parties or shopping malls and sporting events. Children with social anxiety disorder have an unrealistic fear of what might happen in this social situation. They fear being criticized, they fear being judged, sometimes they fear that others will hear their voice. This makes it very difficult for children and families sometimes to carry out day-to-day activities. Social anxiety disorder is treatable through behavioral therapy, psychotherapy, and sometimes medication interventions. While social anxiety disorder has many factors, these are just some of the key facts involved in understanding social anxiety disorder.</t>
  </si>
  <si>
    <t>Track #13 - Cost-Benefit System of Consequences  - CDAD</t>
  </si>
  <si>
    <t>Track #14 - Effective Assessment of Personality Type  - CDAD</t>
  </si>
  <si>
    <t>Conduct disorder (CD) is a mental disorder diagnosed in childhood or adolescence that presents itself through a repetitive and persistent pattern of behavior that includes theft, lies, physical violence that may lead to destruction, and reckless breaking of rules, in which the basic rights of others or major age-appropriate norms are violated. These behaviors are often referred to as "antisocial behaviors. 
 In this video, the causes and its types are explained.</t>
  </si>
  <si>
    <t>Turner syndrome, a condition that affects only females, results when one of the X chromosomes (sex chromosomes) is missing or partially missing. Turner syndrome can cause a variety of medical and developmental problems, including short height, failure of the ovaries to develop and heart defects.</t>
  </si>
  <si>
    <t>MAMI is the management of small &amp; nutritionally at-risk Infants under six months &amp; their mothers.
The MAMI Global Network is a group of programmers, researchers and policymakers working to build an effective and energetic network to enhance mutual capacity, bridge disciplines, address evidence gaps and champion MAMI care. Do watch and share our new video explaining the work of the network and come join a dedicated group of international collaborators working together for small and nutritionally at-risk infants under six months and their mothers. 
For more information on MAMI and how to become a member of the network please go to https://www.ennonline.net/ourwork/research/mami
Follow us on Twitter at  - @MAMIGlobalNet</t>
  </si>
  <si>
    <t>1920x1080</t>
  </si>
  <si>
    <t>Turner syndrome, a condition that affects only females, results when one of the X chromosomes (sex chromosomes) is missing or partially missing. Turner syndrome can cause a variety of medical and developmental problems, including short height, failure of the ovaries to develop and heart defects</t>
  </si>
  <si>
    <t>Buy "Memorable Psychiatry," "Memorable Psychopharmacology,” and "Memorable Neurology" on Amazon! http://memorablepsych.com/books 
Everything you’ve been taught about borderline personality disorder is wrong! BPD is not the unchangeable and untreatable disorder that it was long thought to be. Instead, the truth about BPD is much more nuanced and much more hopeful than we used to think! 
Learn more about borderline personality disorder, including its DSM diagnostic criteria, its epidemiology, its prognosis, and its treatment, in this high-yield mnemonics-filled lecture intended for all healthcare providers, including doctors, medical students, psychologists, nurses, nurse practitioners, physician assistants, social workers, and more!
ATTRIBUTIONS
Beauty Flow Kevin MacLeod (incompetech.com)
Licensed under Creative Commons: By Attribution 3.0 License
http://creativecommons.org/licenses/by/3.0/</t>
  </si>
  <si>
    <t>Track #4 - 7 Warning Signs for Very Young Offenders -CDAD</t>
  </si>
  <si>
    <t>Track #5 - Predictors of Substance Abuse in Adolescents  - CDAD</t>
  </si>
  <si>
    <t>Today’s video is all about covering nursing management of eating disorders for Nursing Students and NCLEX Review.
For your FREE quiz and access to more full-length videos, click here: https://simplenursing.com/free-trial/
The nursing management of eating disorders means handling serious mental illnesses that have a wide range of causes and consequences. The most common forms of eating disorders include anorexia nervosa and bulimia nervosa, and binge-eating disorder.
It’s crucial to note that a person suffering from an eating disorder is in a very delicate state, and any efforts to help them must be done with compassion.
#anorexianervosa #bulimia #eatingdisorders</t>
  </si>
  <si>
    <t>Buy "Memorable Psychiatry," "Memorable Psychopharmacology,” and "Memorable Neurology" on Amazon! http://memorablepsych.com/books 
Personality disorders among the most misunderstood and under diagnosed conditions in all of psychiatry. Learn more about the foundational science of personality as well as how inflexible, disabling, and extreme traits lead to the dysfunction of personality disorders in this high-yield talk intended for all healthcare providers, including doctors, medical students, psychologists, nurses, nurse practitioners, physician assistants, social workers, and more!
ATTRIBUTIONS
Beauty Flow Kevin MacLeod (incompetech.com)
Licensed under Creative Commons: By Attribution 3.0 License
http://creativecommons.org/licenses/by/3.0/
Ostrich https://freesvg.org/ostrich (public domain)</t>
  </si>
  <si>
    <t>if you liked the video, remember to like comment and subscribe!</t>
  </si>
  <si>
    <t>I highly recommend you go check it out &amp; follw along for #restock with #findyourrare #restockasmr #goodfinds #lifehack #temuhaul #shoppingspree</t>
  </si>
  <si>
    <t>What does Implosive Therapy mean in English?</t>
  </si>
  <si>
    <t>This class discusses Somatic Symptom Disorders, Eating Disorders, Impluse and Conduct Disorders as described in DSM5 from a Christian perspective.  This course gives an overview of the new Diagnostic and Statistical Manual of Mental Disorders Version 5 and lists the differences from Version IV.  It is the sexth class of ten in a course on psychopathology presented at Word of Life Counseling Training Institute.  For 15 additional free courses, CEUs, and low-cost certifications and college degrees in in-depth Christian counseling training visit www.freechristiancounselingtraining.com and www.faiththerapy.org.</t>
  </si>
  <si>
    <t>This class discusses Substgance Use and Addictive Disorders as described in DSM5 from a Christian perspective.  This course gives an overview of the new Diagnostic and Statistical Manual of Mental Disorders Version 5 and lists the differences from Version IV.  It is the seventh class of ten in a course on psychopathology presented at Word of Life Counseling Training Institute.  For 15 additional free courses, CEUs, and low-cost certifications and college degrees in in-depth Christian counseling training visit www.freechristiancounselingtraining.com and www.faiththerapy.org.</t>
  </si>
  <si>
    <t>IACAPAP is the "International Association for Child and Adolescent Psychiatry and the Allied Professions"
The MOOC "Essentials of Child and Adolescent Psychiatry across the World" is available at iacapap.org</t>
  </si>
  <si>
    <t>Etiology, diagnosis and management for Residents in Psychiatry (Academic Session by Prof. Dr Muhammad Nasar Sayeed Khan)</t>
  </si>
  <si>
    <t>In today’s world, customer wields the power of choice. The market is filled with products and the end consumer is spoilt for choice. To be successful in a dynamically changing market, the key to building products is ecosystem thinking. The approach to digital products has largely been associated with identifying product market fit, launching MVP, using metrics as indicators for customer behaviour and tweaking. Expanding the horizon to understand the ecosystem in which a product operates helps identify the evolution and adaptation of the product to changing market needs and conditions and to sustain product growth, adoption and engagement!</t>
  </si>
  <si>
    <t>An Academic Activityby Dr Muhammad Nasar Khan</t>
  </si>
  <si>
    <t>​Using Artificial Intelligence and Machine Learning to streamline Facial Recognition for Public Transport​
​Group 13 Tutorial 3 UTS
Insha Gillani 24605610 
Aditya Sharma 24875078 
Macdom Ugochukwu 24694402 
Muhammad Ali 14233264 
Haoqi Du 24714596</t>
  </si>
  <si>
    <t>This is the Topic 1 Overview of Business Intelligence, Analytics &amp; Big Data for the Course MGT7105E Business Intelligence &amp; Analytics Systems.
Please also visit my blog at https://alshaharudin.com/ and https://alshah.blogspot.com/.
Credit to the background music used in this video:
Weekend by LesFM | https://lesfm.net/acoustic-background-music/
Music promoted by https://www.chosic.com/free-music/all/
Creative Commons CC BY 3.0
https://creativecommons.org/licenses/by/3.0/</t>
  </si>
  <si>
    <t>The webinar hosted by XpanDH - Expanding Digital Health through a pan-European EHRxF-based ecosystem. The webinar will seek to answer the following questions: How has the adoption of European electronic health record exchange forma (EEHRxF) impacted healthcare delivery in the past year since the European Commission proposal was launched? - What are the key benefits of EEHRxF for patients, healthcare providers, and the healthcare system as a whole? - What are the key challenges that need to be addressed to ensure the successful implementation and adoption of EEHRxF? - What role do patients play in the use of EEHRxF, and how can they be empowered to take ownership of their health records?
Moderator: Anderson Carmo - ISCTE
Panelists:
Kyriacos Hatzaras - European Commission - EU Policies - DG CNECT
Marcello Melgara - ARIA / eHMSEG Semantic Task Force – Semantic WG
Catherine Chronaki - HL7 Europe and Vice President for IMIA at European Federation for Medical Informatics (EFMI)</t>
  </si>
  <si>
    <t>Cornell International Arbitration Society (CIAS) co-sponsored panel discussion with White &amp; Case LLP on "Battle of the Seats: Choosing an Effective Seat of Arbitration" with Samy Markbaoui , Estefanía San Juan and Opeyemi Longe. 
More about the speakers:
Samy Markbaoui is a Partner in the Paris office of White &amp; Case LLP and a member of the firm's international arbitration practice group. He has remarkable experience in international arbitration and in representing corporations and States in both commercial and investment treaty arbitrations, with particular focus on the Middle East and North Africa. Mr. Markbaoui has handled matters in a variety of industry sectors including construction, real estate, energy, telecommunications, and retail.
Estefanía San Juan is a partner in the Miami office of White &amp; Case LLP and a member of the firm's international arbitration practice group. She has extensive experience in international dispute resolution, international investment arbitrations and transnational disputes involving sovereign states and Latin America. Ms. San Juan sits on the Young Leaders in Alternative Dispute Resolution (Y-ADR) Steering Committee of the International Institute for Conflict Prevention and Resolution (CPR). 
Opeyemi Longe is an associate attorney in the London office of White &amp; Case LLP and a member of the firm's international arbitration practice group. His experience is primarily focused on international commercial arbitration and investment arbitration. Prior to joining White &amp; Case, Mr. Longe was an associate attorney in the dispute resolution practice of a leading commercial firm in Nigeria, during which he represented multinational corporations and financial institutions in litigations and arbitrations in Nigeria.
The panel discussion was moderated by Costanza Zaccarini, LL.M. Representative of the CIAS and took place in a hybrid format at Myron Taylor Hall (Room 186) on Tuesday, 14 March 2023 at 12:00 EST.</t>
  </si>
  <si>
    <t>Testing Theories
Endogenous - dependent variable.
Exogenous - independent variable
Scientific approach
Statistical Analysis
Correlation versus Causation
Controlled experiments 
Randomized controlled trials (RCT)</t>
  </si>
  <si>
    <t>Student Presentation
May 3, 2023</t>
  </si>
  <si>
    <t>Dr. Michael L. Burford
ETSU Online Programs - http://www.etsu.edu/online</t>
  </si>
  <si>
    <t>Track #3 - Learning to Differentiate Between Conduct Disorders
and Antisocial Behavior  - CDAD</t>
  </si>
  <si>
    <t>Track #2 - Understanding Severity Specifiers -CDAD</t>
  </si>
  <si>
    <t>Dr. Scott Sells, Founder of the Family Trauma Institute, shares why Parent Abuse or Teen Terrorism causes Oppositional or Conduct Disorders in children or teenagers and how the FST (Family Systems Trauma Model) can disarm it.</t>
  </si>
  <si>
    <t>"Christians Beware"
Matthew 18:15
Rev. Julian Scavetti</t>
  </si>
  <si>
    <t>Do you want to learn family trauma solutions and techniques that you can immediately use the next day at work with better outcomes?  I’m a marriage and family therapist, Dr. Scott Sells. And for the last 30 years, I have been researching how to treat the entire traumatized family, now just the individual child. This work culminated in the book, Treating the Traumatized Child: A Step-by-Step Family Systems Approach. Now, I enjoy making short videos that show you step-by-step tools on how to become an expert in family trauma like this one on Why Trauma Doesn’t Heal on Its Own? The answer will surprise you. Please enjoy our entire video library. 
Website ► https://familytrauma.com/
Facebook ► https://www.facebook.com/FamilyTraumaInstitute/
Email ► info@familytrauma.com  
FAMILY TRAUMA SOLUTIONS WITH DR. SELLS creates videos that educate and empower you to become a family trauma expert. 
All videos are provided for informational purposes only and do not constitute clinical advice.</t>
  </si>
  <si>
    <t>Track #1 - The 4 Criteria for Diagnosing Conduct Disorders  -CDAD</t>
  </si>
  <si>
    <t>Notes Of Sources Of Literature Review in Nursing Research in Hindi (Bsc Nursing)
This video is for Bsc Nursing And GNM Students. 
I have Explained About following in this video :-
Sources Of Literature review. 
#sourcesofliteraturereview
#assumptioninresearch
#delimitationinresearch
#limitationinresearch
#Nursingresearch
#notesofnursingresearch
#B.S.CNursing 
#gnm
#nursingnotes
#researchapternotes
. If you really liked my video then don't forget to like and subscribe to my YouTube channel and also comment on my YouTube channel .</t>
  </si>
  <si>
    <t>Personality Disorder II Mental Health Nursing II B Sc Nursing 3rd Year II Alka Madam
Plz Download our App " ONLINE NURSING CLASSES "  from the below link 
https://play.google.com/store/apps/details?id=co.bran.tmc
This app will provide video lectures, Notes and MCQ. 
Jeevan Jyothi Foundation is a grass root level working NGO from Gwalior, Madhya Pradesh. India registered as an NGO under Section 8 of Indian Company Act, Ministry of Corporate Affairs, Govt of India.
One of the main objectives of Jeevan Jyothi Foundation is to uplift the standard of Nursing by conducting seminars, workshops, Awareness campaigns and taking online classes. 
Jeevan Jyothi Foundation is having 12A and 80G of from Income Tax Department and also registered with NITI Aayog, Govt of India. 
Link of all the charitable activities are given below:
Introduction of Jeevan Jyothi Foundation:
https://youtu.be/SCunpIrBb1Q
Food Distribution in Hospitals:
https://youtu.be/uldn7McYUlU
Food Distribution in Streets: 
https://youtu.be/CeqBxE9PGQ4
Covid 19 Relief Works:</t>
  </si>
  <si>
    <t>Crises Intervention II B Sc Nursing 3rd Year II Mental Health Nursing II Alka Mam II
Plz Download our App " ONLINE NURSING CLASSES "  from the below link 
https://play.google.com/store/apps/details?id=co.bran.tmc
This app will provide video lectures, Notes and MCQ. 
Jeevan Jyothi Foundation is a grass root level working NGO from Gwalior, Madhya Pradesh. India registered as an NGO under Section 8 of Indian Company Act, Ministry of Corporate Affairs, Govt of India.
One of the main objectives of Jeevan Jyothi Foundation is to uplift the standard of Nursing by conducting seminars, workshops, Awareness campaigns and taking online classes. 
Jeevan Jyothi Foundation is having 12A and 80G of from Income Tax Department and also registered with NITI Aayog, Govt of India. 
Link of all the charitable activities are given below:
Introduction of Jeevan Jyothi Foundation:
https://youtu.be/SCunpIrBb1Q
Food Distribution in Hospitals:
https://youtu.be/uldn7McYUlU
Food Distribution in Streets: 
https://youtu.be/CeqBxE9PGQ4
Covid 19 Relief Works:</t>
  </si>
  <si>
    <t>Notes Of Research Assumption ( Introduction, Definition, Uses, Types) in Bsc Nursing And GNM. 
This video is for Bsc Nursing And GNM Students. 
I have Explained About following in this video :-
. Introduction to Assumption 
. Meaning Of Assumption 
Definition Of Assumption 
. Importance Of Assumption 
Types Of Assumption 
. Different Between Assumption And Hypotheses 
#assumptioninresearch
#Nursingresearch
#notesofnursingresearch
#B.S.CNursing 
#gnm
#nursingnotes
#researchapternotes
. If you really liked my video then don't forget to like and subscribe to my YouTube channel and also comment on my YouTube channel .</t>
  </si>
  <si>
    <t>Wilms Tumor II B Sc Nursing 3rd Year II Child Health Nursing II
Plz Download our App " ONLINE NURSING CLASSES "  from the below link 
https://play.google.com/store/apps/details?id=co.bran.tmc
This app will provide video lectures, Notes and MCQ. 
Jeevan Jyothi Foundation is a grass root level working NGO from Gwalior, Madhya Pradesh. India registered as an NGO under Section 8 of Indian Company Act, Ministry of Corporate Affairs, Govt of India.
One of the main objectives of Jeevan Jyothi Foundation is to uplift the standard of Nursing by conducting seminars, workshops, Awareness campaigns and taking online classes. 
Jeevan Jyothi Foundation is having 12A and 80G of from Income Tax Department and also registered with NITI Aayog, Govt of India. 
Link of all the charitable activities are given below:
Introduction of Jeevan Jyothi Foundation:
https://youtu.be/SCunpIrBb1Q
Food Distribution in Hospitals:
https://youtu.be/uldn7McYUlU
Food Distribution in Streets: 
https://youtu.be/CeqBxE9PGQ4
Covid 19 Relief Works: 
https://youtu.be/dPZu8gNU7kU
Free Mask Distribution:
https://youtu.be/7JGjbOuVHkc
Blanket Distribution:
https://youtu.be/OCqrhAeiBuQ
Medical Relief:
https://youtu.be/pWcmymrp6mI
Any queries plz call 07771077722 ya e mail @ onlinenursingclassesforall@gmail.com
Any Reproduction or copy of the video with out proper permission is not allowed.</t>
  </si>
  <si>
    <t>Notes Of Alcohol Dependence Syndrome in Psychiatric Nursing (Mental Health Nursing) in Hindi.
I have explained  9th chapter of psychiatric nursing. 
#substanceuse
#substanceusedisorder 
#alcoholdependencesyndrome
#acuteintoxication
#withdrawalsyndrom
#amnesticdisorder
# psychiatricnursing
#nursingnotes 
#bscnursingnotes 
#psychiatricnotes
#nursingnotes 
#gnm 
#nursingofficer 
If you really liked my video then don't forget to like and subscribe to my YouTube channel and also comment below and don't forget to hit the bell icon to get notifications of the new video.</t>
  </si>
  <si>
    <t>Notes Of Mental Status Examination in Mental Health Nursing (Psychiatric) in Hindi.
I have explained  3rd  chapter of psychiatric nursing. 
#mse 
#mentalstatusexamination
#mentalhealthnursing
# psychiatricnursing
#nursingnotes 
#bscnursingnotes 
#psychiatricnotes
#nursingnotes 
#gnm 
#nursingofficer 
If you really liked my video then don't forget to like and subscribe to my YouTube channel and also comment below and don't forget to hit the bell icon to get notifications of the new video.</t>
  </si>
  <si>
    <t>Notes Of Types Of  Schizophrenia in Mental Health Nursing (Psychiatric)  in Hindi.
I have explained  6th chapter of psychiatric nursing. 
#typesofshizophrenia
#schizophrenia 
#mentalhealthnursing
# psychiatricnursing
#nursingnotes 
#bscnursingnotes 
#psychiatricnotes
#nursingnotes 
#gnm 
#nursingofficer 
If you really liked my video then don't forget to like and subscribe to my YouTube channel and also comment below and don't forget to hit the bell icon to get notifications of the new video.</t>
  </si>
  <si>
    <t>Notes Of Introduction To Substance Use Disorder in Psychiatric Nursing in Hindi.
I have explained  9th chapter of psychiatric nursing. 
#substanceusedisorder 
#multidisciplinaryteam
# psychiatricnursing
#nursingnotes 
#bscnursingnotes 
#psychiatricnotes
#nursingnotes 
#gnm 
#nursingofficer 
If you really liked my video then don't forget to like and subscribe to my YouTube channel and also comment below and don't forget to hit the bell icon to get notifications of the new video.</t>
  </si>
  <si>
    <t>Notes Of Schizophrenia In Mental Health Nursing (Psychiatric) in Hindi .
I have explained  6th chapter of psychiatric nursing. 
#schizophrenia 
#mentalhealthnursing
# psychiatricnursing
#nursingnotes 
#bscnursingnotes 
#psychiatricnotes
#nursingnotes 
#gnm 
#nursingofficer 
If you really liked my video then don't forget to like and subscribe to my YouTube channel and also comment below and don't forget to hit the bell icon to get notifications of the new video.</t>
  </si>
  <si>
    <t>Notes Of Introduction To Nursing Research (Chapter 1st)  Defination/Types / Characterstics in Hindi
This video is for Bsc Nursing And Gnm students. 
I have Explained About following in this video :-
. Meaning of nursing research 
. Defination of research 
. Types of research 
. Purpose of research 
. Characterstics of research 
#Nursingresearch
#notesofnursingresearch
#B.S.CNursing 
#gnm
#nursingnotes
#research1stchapternotes
. If you really liked my video then don't forget to like and subscribe to my YouTube channel and also comment on my YouTube channel .</t>
  </si>
  <si>
    <t>Notes Of Dementia (Organic Brain Disorder) in Mental Health Nursing (Psychiatric)  in Hindi.
I have explained  12th chapter of psychiatric nursing. 
#organicbraindisorder
#dementia
#delirium 
#mentalretardation 
#mentalhealthnursing
# psychiatricnursing
#hypersomnia 
#nursingnotes 
#bscnursingnotes 
#psychiatricnotes
#nursingnotes 
#gnm 
#nursingofficer 
If you really liked my video then don't forget to like and subscribe to my YouTube channel and also comment below and don't forget to hit the bell icon to get notifications of the new video.</t>
  </si>
  <si>
    <t>Notes of TIC Disorder in Hindi in Mental Health Nursing (Psychiatric). 
I have explained  11th chapter of psychiatric nursing. 
#ticdisorder
#tourettesyndrome 
#mentalretardation 
#mentalhealthnursing
# psychiatricnursing
#hypersomnia 
#nursingnotes 
#bscnursingnotes 
#psychiatricnotes
#nursingnotes 
#gnm 
#nursingofficer 
If you really liked my video then don't forget to like and subscribe to my YouTube channel and also comment below and don't forget to hit the bell icon to get notifications of the new video.</t>
  </si>
  <si>
    <t>Delyth Hughes talks about children's​ health &amp; wellbeing in relation to conduct disorders with top tips on how schools staff can deliver practical support.
Find out more about SSS Learning as: https://ssscpd.co.uk/education
Find out more about our safeguarding training at: https://ssscpd.co.uk/education/safeguarding-training
#mentalhealth, #MentalHealthAwareness, #MentalHealthMatters, #Wellbeing, #safeguarding, #CPD, #DMHL, #ChildMentalHealthWeek</t>
  </si>
  <si>
    <t>How to get published - Top Tips</t>
  </si>
  <si>
    <t>The nexus of any instructional coaching conversation is the action step, which states exactly what the teacher will do differently to improve their teaching and pupil outcomes. And yet, action steps are devilishly difficult to get right. This module aims to help you understand what makes an action step most effective through guiding you through a process of improving an action step so it is more likely to have impact.
This module is suitable for anyone who has a responsibility as an instructional coach, but also middle leaders and senior leaders, especially those responsible for teaching and learning.
See the full module at https://blueskylearning.co.uk/courses/125</t>
  </si>
  <si>
    <t>This is a short demo of the animations in our 'Fire Warden in Educational Setting' training. A safeguarding children &amp; Duty of Care course for school and education staff.
This is a short demo of the animations in our 'Fire Safety Awareness in Educational Setting' training. A safeguarding children course for school and education staff.
Find out more about this course at: https://ssscpd.co.uk/education/safeguarding-training/fire-warden
Find out more about SSS Learning as: https://ssscpd.co.uk/education</t>
  </si>
  <si>
    <t>Sam Preston, Safeguarding Director, discusses the wide remit of Health and Safety and importance of staff training within an educational setting.
Check SSS Learning's ‘Health and Safety in Educational Settings’ safeguarding training for school staff: https://ssscpd.co.uk/education/safeguarding-training/health-and-safety</t>
  </si>
  <si>
    <t>This video series has been created by West Yorkshire Trading Standards in collaboration with KLTV.  In this video you will find information and advice around staying protected from phishing emails. 
If you see something suspicious: For emails, forward to report@phishing.gov.uk
If you think you have been a victim of a scam, you can report this to Action Fraud UK on 0300 123 2040 or visit https://www.actionfraud.police.uk/ 
Report to Trading standards via the Citizens Advice Bureau.
Citizens Advice consumer helpline: 0808 223 1133
Relay UK - if you can't hear or speak on the phone, you can type what you want to say: 18001 then 0808 223 1133</t>
  </si>
  <si>
    <t>.</t>
  </si>
  <si>
    <t>This recording is of an information session about the courses I run. These courses focus on reducing stress and anxiety, and increasing well-being.
My next course starts on Monday 12th June 2023 and is specifically for women. Booking details are here: https://www.tickettailor.com/events/headlinecommunicationltd/901141?</t>
  </si>
  <si>
    <t>This playlist and its videos are part of the learning material developed in Erasmus+ project "Fit 4 Digital Linguistic Education (2020 – 2023). The free training course can be accessed at the following link: https://www.bit-academy.eu/group/1924/?wt=a8e231a6-d5a6-40a0-8da9-936c1f2ae67c 
The vision of the project is to achieve an enhancement of competencies for digital teaching in the European language landscape. More information about the project can be found on the following website: https://www.fit4digiline.eu/ 
Disclaimer Erasmus+:  _This project has been funded with support from the European Commission. This publication reflects the views only of the author, and the Commission cannot be held responsible for any use which may be made of the information contained therein._</t>
  </si>
  <si>
    <t>Utilising your Careers Guidance Practitioner to measure work-readiness. 
The session built on the theme explored on guidance in the main conference but highlighted how the careers programme can better support the guidance process. It also provoked thoughts as to how you could utilise your Guidance Practitioner to give you feedback on learners career and work readiness.</t>
  </si>
  <si>
    <t>In this session we will explore a range of practical strategies to establish better behaviour in the secondary classroom. We will think about clarity of expectations and the way in which these can best be set. We will explore the importance of modelling in establishing effective behaviours for learning. In addition, the session looks at ways in which teachers can take a confident approach and create a perception of clarity and assertiveness for their classes. We will also examine ways in which expectations can be revisited and reinforced over time and consider subject specific routines for different curriculum areas.
This module is suitable for Teachers, Early Career Teachers, ECT Mentors, Teaching Assistants, Learning Support Assistants and Senior Leaders supporting staff with behaviour. See the full module at https://learning.blueskyeducation.co.uk//course/view.php?id=165</t>
  </si>
  <si>
    <t>Partnering with other organizations to share services or resources can be advantageous for your business—and theirs. In these instances, contracts are needed to ensure the details of the agreement are clearly defined and understood by all parties involved. Today, we’ll go over the importance of contracts and when they are necessary for you and your business.</t>
  </si>
  <si>
    <t>Delyth Hughes talks about children's​ health &amp; wellbeing in relation to ADHD(Attention deficit hyperactivity disorder) with top tips on how schools staff can deliver practical support.
Find out more about SSS Learning as: https://ssscpd.co.uk/education
Find out more about our safeguarding training at: https://ssscpd.co.uk/education/safeguarding-training
#mentalhealth, #MentalHealthAwareness, #MentalHealthMatters, #Wellbeing, #safeguarding, #CPD, #DMHL, #ChildMentalHealthWeek</t>
  </si>
  <si>
    <t>Conduct Disorders: What to do with your Oppositional Defiant Child
by Humberto Nagera MD
Accompanying slides (PDF): http://www.thecjc.org/pdf/conduct_disorders.pdf
Comment on our blogsite: https://carterjenkinscenter.wordpress.com/2018/05/02/conduct-disorders-what-to-do-with-your-oppositional-defiant-child
For more programs like this, visit: http://www.thecjc.org</t>
  </si>
  <si>
    <t>Eminent Psychotherapists Revealed with Frank Yeomans</t>
  </si>
  <si>
    <t>Revelation 3:20- Behold, I stand at the door and knock. If anyone hears My voice and opens the door, I will come in to him and dine with him, and he with Me.</t>
  </si>
  <si>
    <t>Should your springs be dispersed abroad,
Streams of water in the streets?
(NASB1995)</t>
  </si>
  <si>
    <t>Stories are great ... especially when they’re relevant and move people to action. Otherwise, what’s the point?!</t>
  </si>
  <si>
    <t>Using Time to Your advantage during negotiations.</t>
  </si>
  <si>
    <t>Pastor
God
Jesus
Pastoring
Ministry</t>
  </si>
  <si>
    <t>In this PowerPoint, I will discuss increasing end-of-life options for terminally ill patients.</t>
  </si>
  <si>
    <t>Materi ini diambil dari buku
Feist, J., Feist, G. J., &amp; Roberts, T.A. (2017). Teori Kepribadian Edisi 8 Buku 2. Jakarta: Penerbit Salemba Humanika. (Bab 13)
#psikologi #kepribadian #personality #OCEAN #NEO-PI</t>
  </si>
  <si>
    <t>Video ini berisi paparan umum mengenai hasil riset yang dilakukan bersama antara peneliti dari Jurusan Psikologi dan School of Computer Science – BINUS University.
Penelitian berupa analisis kepribadian Big Five melalui pendekatan big data lewat analisis teks Twitter. Pada Penelitian ini diketahui bahwa analisis kepribadian seseorang lewat teks Twitter sangat mungkin untuk dilakukan. Hasil menunjukkan bahwa deteksi kepribadian Big Five lewat teks Twitter walaupun tanpa harus analisis kata-kata khusus, tetap dapat dilakukan.</t>
  </si>
  <si>
    <t>Lagos State University College of Medicine</t>
  </si>
  <si>
    <t>PRESENTATIONS
Thobekani Lose
Faculty of Commerce and Administration, Director of the Center for Entrepreneurship Rapid Incubator, Walter Sisulu University, South Africa
Title: Youth entrepreneurship in a rural context: the motivational impact of community and family factors
About CBER
Centre for Business &amp; Economic Research (CBER) was founded in London in 2006 with the aim of inspiring, recognizing and supporting excellence in business and Economic research Currently, the Centre has three main areas of endeavour: organizing an annual cycle of international academic conferences, producing academic journals, and offering bespoke consultancy projects both in the United Kingdom and further afield.
CBER works assiduously to facilitate international collaboration, providing an independent and credible source of advice, as well as contributing to academic debate and research. The Centre is fortunate to have a truly international following and is committed to encouraging knowledge sharing, foresight planning and greater interaction between academics, policy makers, thought leaders and those engaged in diverse commercial activities. Through both its own researchers and a network of specialists internationally it is well placed to provide targeted consultancy work aimed at providing fresh insight and understanding that is underpinned by creditable research methods and a thorough and objective approach.
info@cberuk.com 
https://cberuk.com/
https://www.facebook.com/cberuk
#Conference #Journal #Management</t>
  </si>
  <si>
    <t>Conduct disorders,conduct disorders are characterised by persistent and significant pattern of content in which basic rights of others are violated or rules of the society are not followed.
We've material that helps you to lead you to your success exams and as a future psychiartrists Subscribe to our YouTube channel
https://www.youtube.com/channel/UCpI8LccdsnDo7SmQ0uMIQBw
For engineering
https://www.youtube.com/channel/UCHt19J2hCvin98ydlMwEcQw
Get early access to our upcoming videos Questions and more when you follow us in social media
 Instagram
https://instagram.com/knowledgemadnoob?igshid=wuekh13x7682</t>
  </si>
  <si>
    <t>GNUR502: Advanced Pathophysiology</t>
  </si>
  <si>
    <t>What Causes dizziness??
Suggest your queries we will solve you
Knowledge Madnoob
Thank You For Your Support 
We've a Youtube Channel Which Is Based On HEALTH
Subscribe To Our Channel For Daily Morning Videos About  Health, Diseases, COVID Updates, Discussing Topics For Medical Students
We are a team of medical Professionals
Mr. S ILIYYAS AHAMMED
MRS.RIZWANA RASHID
Our Aim to Provide a Better Education, Daily Updates About Medical Field
Our Vision You the People Who are seeing this video and updating your knowledge
If You Have Any Doubt Regarding Any Medical Topics Feel Free To Contact Our TEAM
Our Youtube Channel
https://www.youtube.com/c/KnowledgeMadNoob
Our Facebook Page
https://www.facebook.com/Knowledge-Madnoob-103820848054192/
Instagram
https://instagram.com/knowledge_madnoob?igshid=nwbygh2oz5ym
Podcasts on all major platforms
https://anchor.fm/knowledge-madnoob
dizziness causes,dizziness (symptom),benign paroxysmal positional vertigo,benign paroxysmal positional vertigo (disease or medical condition),positional vertigo,home inner ear dizzy,common cause of dizziness,balance crystals in your head,epley maneuver for vertigo,vertigo treatment at home,what are the symptoms of vertigo,how to treat vertigo,how to get rid of vertigo,vertigo exercises bob and brad,vertigo exercises at home</t>
  </si>
  <si>
    <t>You may get Achilles Tendon Infection if you are unawared!!
Suggest your queries we will solve you
Knowledge Madnoob
Thank You For Your Support 
We've a Youtube Channel Which Is Based On HEALTH
Subscribe To Our Channel For Daily Morning Videos About  Health, Diseases, COVID Updates, Discussing Topics For Medical Students
We are a team of medical Professionals
Mr. S ILIYYAS AHAMMED
MRS.RIZWANA RASHID
Our Aim to Provide a Better Education, Daily Updates About Medical Field
Our Vision You the People Who are seeing this video and updating your knowledge
If You Have Any Doubt Regarding Any Medical Topics Feel Free To Contact Our TEAM
Our Youtube Channel
https://www.youtube.com/c/KnowledgeMadNoob
Our Facebook Page
https://www.facebook.com/Knowledge-Madnoob-103820848054192/
Instagram
https://instagram.com/knowledge_madnoob?igshid=nwbygh2oz5ym
Podcasts on all major platforms
https://anchor.fm/knowledge-madnoob</t>
  </si>
  <si>
    <t>Causes of Pelvic Pain|#shorts #pelvicpain 
Suggest your queries we will solve you
Knowledge Madnoob
Thank You For Your Support 
We've a Youtube Channel Which Is Based On HEALTH
Subscribe To Our Channel For Daily Morning Videos About  Health, Diseases, COVID Updates, Discussing Topics For Medical Students
We are a team of medical Professionals
Mr. S ILIYYAS AHAMMED
MRS.RIZWANA RASHID
Our Aim to Provide a Better Education, Daily Updates About Medical Field
Our Vision You the People Who are seeing this video and updating your knowledge
If You Have Any Doubt Regarding Any Medical Topics Feel Free To Contact Our TEAM
Our Youtube Channel
https://www.youtube.com/c/KnowledgeMadNoob
Our Facebook Page
https://www.facebook.com/Knowledge-Madnoob-103820848054192/
Instagram
https://instagram.com/knowledge_madnoob?igshid=nwbygh2oz5ym
Podcasts on all major platforms
https://anchor.fm/knowledge-madnoob
pelvic pain,pelvic health and rehabilitation center,pelvic rehabilitation medicine,pelvic pain causes,male pelvic pain,pelvic floor,medical videos for nurses,irritable bowel syndrome pain,depression and pelvic floor pain,early signs of pelvic pain,what is pelvic pain,pelvic pain in women,pelvic pain and intercourse,pelvic pain and sex,painful periods medical term,pelvic pain in back</t>
  </si>
  <si>
    <t>Testicular Pain|Causes|Symptoms&amp;Home Remedies |Surgical Methods
Testicular pain can have causes that aren't due to underlying disease. Examples include trauma, tight pants or underwear, jogging, cycling or decreased blood flow to the testicles from prolonged sexual arousal.
Suggest your queries we will solve you
Knowledge Madnoob
Thank You For Your Support 
We've a Youtube Channel Which Is Based On HEALTH
Subscribe To Our Channel For Daily Morning Videos About  Health, Diseases, COVID Updates, Discussing Topics For Medical Students
We are a team of medical Professionals
Mr. S ILIYYAS AHAMMED
MRS.RIZWANA RASHID
Our Aim to Provide a Better Education, Daily Updates About Medical Field
Our Vision You the People Who are seeing this video and updating your knowledge
If You Have Any Doubt Regarding Any Medical Topics Feel Free To Contact Our TEAM
Our Youtube Channel
https://www.youtube.com/c/KnowledgeMadNoob
Our Facebook Page
https://www.facebook.com/Knowledge-Madnoob-103820848054192/
Instagram
https://instagram.com/knowledge_madnoob?igshid=nwbygh2oz5ym
Podcasts on all major platforms
https://anchor.fm/knowledge-madnoob
testicular torsion,testicular torsion (disease or medical condition),testicular pain,testicular cancer,signs of testicular cancer,testicle pain (symptom),testicular cancer causes,pelvic health,men's health,testicle pain,scrotum pain,urinary and kidney problems,urology care podcast: testicular pain 101,epididymis and spermatic cord,pain with sex in men,testicular cancer (disease or medical condition)</t>
  </si>
  <si>
    <t>Aichmophobia|causes,symptoms|diagnosis&amp;treatment
Suggest your queries we will solve you
Knowledge Madnoob
Thank You For Your Support 
We've a Youtube Channel Which Is Based On HEALTH
Subscribe To Our Channel For Daily Morning Videos About  Health, Diseases, COVID Updates, Discussing Topics For Medical Students
We are a team of medical Professionals
Mr. S ILIYYAS AHAMMED
MRS.RIZWANA RASHID
Our Aim to Provide a Better Education, Daily Updates About Medical Field
Our Vision You the People Who are seeing this video and updating your knowledge
If You Have Any Doubt Regarding Any Medical Topics Feel Free To Contact Our TEAM
Our Youtube Channel
https://www.youtube.com/c/KnowledgeMadNoob
Our Facebook Page
https://www.facebook.com/Knowledge-Madnoob-103820848054192/
Instagram
https://instagram.com/knowledge_madnoob?igshid=nwbygh2oz5ym
Podcasts on all major platforms
https://anchor.fm/knowledge-madnoob</t>
  </si>
  <si>
    <t>What causes a fishy smell in vagina??
Suggest your queries we will solve you
Knowledge Madnoob
Thank You For Your Support 
We've a Youtube Channel Which Is Based On HEALTH
Subscribe To Our Channel For Daily Morning Videos About  Health, Diseases, COVID Updates, Discussing Topics For Medical Students
We are a team of medical Professionals
Mr. S ILIYYAS AHAMMED
MRS.RIZWANA RASHID
Our Aim to Provide a Better Education, Daily Updates About Medical Field
Our Vision You the People Who are seeing this video and updating your knowledge
If You Have Any Doubt Regarding Any Medical Topics Feel Free To Contact Our TEAM
Our Youtube Channel
https://www.youtube.com/c/KnowledgeMadNoob
Our Facebook Page
https://www.facebook.com/Knowledge-Madnoob-103820848054192/
Instagram
https://instagram.com/knowledge_madnoob?igshid=nwbygh2oz5ym
Podcasts on all major platforms
https://anchor.fm/knowledge-madnoob</t>
  </si>
  <si>
    <t>Pain After Surgery|Causes,Symptoms|Management
Suggest your queries we will solve you
Knowledge Madnoob
Thank You For Your Support 
We've a Youtube Channel Which Is Based On HEALTH
Subscribe To Our Channel For Daily Morning Videos About  Health, Diseases, COVID Updates, Discussing Topics For Medical Students
We are a team of medical Professionals
Mr. S ILIYYAS AHAMMED
MRS.RIZWANA RASHID
Our Aim to Provide a Better Education, Daily Updates About Medical Field
Our Vision You the People Who are seeing this video and updating your knowledge
If You Have Any Doubt Regarding Any Medical Topics Feel Free To Contact Our TEAM
Our Youtube Channel
https://www.youtube.com/c/KnowledgeMadNoob
Our Facebook Page
https://www.facebook.com/Knowledge-Madnoob-103820848054192/
Instagram
https://instagram.com/knowledge_madnoob?igshid=nwbygh2oz5ym
Podcasts on all major platforms
https://anchor.fm/knowledge-madnoob
adhesion (disease or medical condition),abdominal adhesions and bowel obstruction,abdominal adhesions after tummy tuck,abdominal adhesions without prior surgery,abdominal adhesions after hernia repair,abdominal adhesions c section,adhesions in between in gut loops and abdominal organs.,chronic pain (disease or medical condition),physical therapy (medical specialty),abdominal adhesions symptoms,abdominal adhesions exercise,abdominal adhesions massage,abdominal adhesions diet,pelvic inflammatory disease</t>
  </si>
  <si>
    <t>Common causes of azoospermia!!
Suggest your queries we will solve you
Knowledge Madnoob
Thank You For Your Support 
We've a Youtube Channel Which Is Based On HEALTH
Subscribe To Our Channel For Daily Morning Videos About  Health, Diseases, COVID Updates, Discussing Topics For Medical Students
We are a team of medical Professionals
Mr. S ILIYYAS AHAMMED
MRS.RIZWANA RASHID
Our Aim to Provide a Better Education, Daily Updates About Medical Field
Our Vision You the People Who are seeing this video and updating your knowledge
If You Have Any Doubt Regarding Any Medical Topics Feel Free To Contact Our TEAM
Our Youtube Channel
https://www.youtube.com/c/KnowledgeMadNoob
Our Facebook Page
https://www.facebook.com/Knowledge-Madnoob-103820848054192/
Instagram
https://instagram.com/knowledge_madnoob?igshid=nwbygh2oz5ym
Podcasts on all major platforms
https://anchor.fm/knowledge-madnoob</t>
  </si>
  <si>
    <t>Megyn Kelly speaks again with Dawn Davies, whose son has been diagnosed with various brain disorders, as well as Amy Cluley, who also has a son with mental health struggles. Davies is the author of “Mothers of Sparta: A Memoir in Pieces,” in which she explains the ups and downs of parenting a child with these health issues.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Google+: http://on.today.com/PlusTODAY
Follow TODAY on Instagram: http://on.today.com/InstaTODAY
Follow TODAY on Pinterest: http://on.today.com/PinTODAY
Mothers Open Up About Concerns For Their Children With Brain Disorders | Megyn Kelly TODAY</t>
  </si>
  <si>
    <t>Consciousness is a complex and multifaceted phenomenon that has intrigued philosophers, psychologists, and neuroscientists for centuries. The nature of consciousness is still not fully understood, and there are ongoing debates about whether it is a fundamental aspect of the universe or an emergent property of the brain. Despite ongoing research, the mystery of consciousness persists, and it remains one of the most intriguing and elusive aspects of human experience. This topic involves various disciplines such as neuroscience, psychology, philosophy, and others, and it encompasses concepts like awareness, perception, and thought.
#consciousness  #humanexperience  #neuroscience  #philosophy  #mystery</t>
  </si>
  <si>
    <t>Artificial Intelligence (AI) is a rapidly evolving technology that can potentially transform many aspects of our lives. It can automate tasks, improve efficiency, personalize recommendations, predict outcomes, identify patterns, assist in medical diagnosis, enhance cybersecurity, support scientific research, and even assist in education. As technology continues to develop, it will be exciting to see how AI can be used to improve our world.
#ai #technology #curiosity 
Aarohi shares her FIRE (Financial Independence &amp; Retire Early) journey through this YouTube channel.
She will be learning about Finance, Technology &amp; Life Skills other than regular study and using them to create her income sources which will help her become financially free by the age of 30 years.</t>
  </si>
  <si>
    <t>Abnormal psychology is a branch of psychology that focuses on the study of abnormal behavior, thoughts, and feelings. This includes the diagnosis, treatment, and prevention of mental disorders.
Abnormal psychology seeks to understand the causes of mental illness, as well as the ways in which mental illness affects individuals and society as a whole</t>
  </si>
  <si>
    <t>Psychology is the scientific study of behavior and mental processes. It is a field that seeks to understand human thought, emotion, behavior and the factors that influence them. 
Psychologists use a range of research methods to investigate different aspects of human psychology, such as experiments, surveys, observations, and case studies.
Psychology can be broadly divided into several subfields, including clinical psychology, cognitive psychology, developmental psychology, social psychology, and neuroscience. Each of these subfields focuses on different aspects of human psychology, such as mental health, cognition, development, social interactions, and the brain and nervous system.
Psychology has a wide range of applications, including therapy, education, business, sports, and law. 
Psychologists may work in a variety of settings, such as hospitals, schools, research institutions, private practices, and corporations.
Overall, psychology is a diverse and dynamic field that seeks to understand the complexities of human behavior and mental processes, and to apply this knowledge to improve people's lives.</t>
  </si>
  <si>
    <t>Counselling Adolescents for their Career and personal problems
you queries:
#adolescence
#adolescentcounselling
#bednotes
#bedsemesternotes
#kishorawastha
#understandingadolescentneed
#eduactionalvideo
#educationalyoutubevideo
#motivationalvideo
#motivationalytvideo
#pritideogam
#mahilacollegechaibasa
#mahilacollegebed
#careercounselling
#bedcounselling
#trendingeducationalvideo
#mostviralbededucationnotes</t>
  </si>
  <si>
    <t>what is Neurodevelopmental Disorder?
✓Introduction
✓Symptoms
✓ main causes
✓ main characteristics
✓ Most common disorder in Neurodevelopmental
Your Queries
 neurodevelopmental disordersneurodevelopmental disorderneurodevelopmentalneurodevelopmental disorder (disease or medical condition)neurodevelopmental disorder in dsmwhat are neurodevelopmental disordercauses of neurodevelopmental disordersautism spectrum disorderconsequences of neurodevelopmental disordersmental disordersattention deficit hyperactivity disorderdisorderwhat is neuro developmental disordersdsm 5dsm-5dsmdsm-vdsm 5 overviewdsm 5 disordersdsm 5 asdautism dsm 5dsmlearn the dsm 5dsm vdsm 5 tutorialdsm-5 disorder in detailed
#psychology 
#neurodevelopment 
#practicalpsychology 
#thelearningpoint
#youtubevideo</t>
  </si>
  <si>
    <t>Vaginal lumps are very common in women and they can be a symptom of many different conditions. This video discusses all the different vaginal lumps and what they can mean: https://telescope.ac/women-s-talk/3-types-of-vaginal-lumps-and-their-causes/.
Common vaginal health issues can impact your quality of life. However, if you are proactive, you can help prevent these problems. The next time you feel like something is out of the ordinary, visit a recommended gynae in mount elizabeth novena for professional help: https://www.drlawweiseng.com.sg/contact-us/</t>
  </si>
  <si>
    <t>I went in to have my third baby when the most unexpected thing happened. I'm 29, young and healthy. What could possibly go wrong? I ended up having an amniotic fluid embolism and lived to tell the story. Luckily, my story doesn't end here. I'm a registered nurse with a new passion in life and now on a mission to educate and empower moms "before you push."</t>
  </si>
  <si>
    <t>Itchy Penis|Causes,symptoms|treatment&amp;home remedies
Suggest your queries we will solve you
Knowledge Madnoob
Thank You For Your Support 
We've a Youtube Channel Which Is Based On HEALTH
Subscribe To Our Channel For Daily Morning Videos About  Health, Diseases, COVID Updates, Discussing Topics For Medical Students
We are a team of medical Professionals
Mr. S ILIYYAS AHAMMED
MRS.RIZWANA RASHID
Our Aim to Provide a Better Education, Daily Updates About Medical Field
Our Vision You the People Who are seeing this video and updating your knowledge
If You Have Any Doubt Regarding Any Medical Topics Feel Free To Contact Our TEAM
Our Youtube Channel
https://www.youtube.com/c/KnowledgeMadNoob
Our Facebook Page
https://www.facebook.com/Knowledge-Madnoob-103820848054192/
Instagram
https://instagram.com/knowledge_madnoob?igshid=nwbygh2oz5ym
Podcasts on all major platforms
https://anchor.fm/knowledge-madnoob</t>
  </si>
  <si>
    <t>Common Clitoris Problems|Causes,symptoms|Management
Suggest your queries we will solve you
Knowledge Madnoob
Thank You For Your Support 
We've a Youtube Channel Which Is Based On HEALTH
Subscribe To Our Channel For Daily Morning Videos About  Health, Diseases, COVID Updates, Discussing Topics For Medical Students
We are a team of medical Professionals
Mr. S ILIYYAS AHAMMED
MRS.RIZWANA RASHID
Our Aim to Provide a Better Education, Daily Updates About Medical Field
Our Vision You the People Who are seeing this video and updating your knowledge
If You Have Any Doubt Regarding Any Medical Topics Feel Free To Contact Our TEAM
Our Youtube Channel
https://www.youtube.com/c/KnowledgeMadNoob
Our Facebook Page
https://www.facebook.com/Knowledge-Madnoob-103820848054192/
Instagram
https://instagram.com/knowledge_madnoob?igshid=nwbygh2oz5ym
Podcasts on all major platforms
https://anchor.fm/knowledge-madnoob</t>
  </si>
  <si>
    <t>There is no screening process for testicular cancer, and very few risk factors.  So the best thing we can do is check ourselves about once a month.  This video explains a quick and easy way to do this, and when you should see your doctor.  Remember, almost all lumps you might feel are completely benign, so don't worry.  But if it feels hard, gravel like, painful, or you cannot separate it from the testicle, get it checked</t>
  </si>
  <si>
    <t>Dissociative disorders part 1 dissociative Amnesia|Causes Riskfactors|Symptoms| Diagnosis|Treatment
Dissociative disorders
Dissociation
Am unconscious defence mechanism involving the segregation of any group of mental or behavioral processes from the rest of the patients psychic activity
Dissociative disorders
It involves the mechanism so that there is an disruption in one or more mental functions such as memory identity perception consciousness or motor behaviour
Dissociative amnesia
The main feature is
An inability to recall important personal information usually of a traumatic or stressful nature that is too extensive to be explained by normal forgetfulness
 We've material that helps you to lead you to your success exama and as a future psychiartrists Subscribe to our YouTube channel
https://www.youtube.com/channel/UCpI8LccdsnDo7SmQ0uMIQBw
For engineering
https://www.youtube.com/channel/UCHt19J2hCvin98ydlMwEcQw
Get early access to our upcoming videos Questions and more when you follow us in social media
 Instagram
https://instagram.com/knowledgemadnoob?igshid=wuekh13x7682
#stayhome #staysafe</t>
  </si>
  <si>
    <t>This session will identify the salient treatment needs of youth with co-morbid FASD and CD.</t>
  </si>
  <si>
    <t>The Undivided team, along with Dr. Caitlin Solone, talks about why you should be using inclusive language when writing your child’s IEP goals, and how to craft those goals.
Dr. Caitlin Solone is an education advocate, teacher-educator, and Administrator for the Disability Studies program at UCLA, where she teaches courses, develops curriculum, and engages in collaborative research.
Website - https://undivided.io/ 
Instagram - @undividedapp 
Facebook - undividedapp
#undividedapp #inclusivelanguage #inclusion #inclusionmatters #iEP #IEPGoal #IEPGoals #disabilityawareness #disabilityrights #generaleducation #gened #specialeducation #sped #disabledchild</t>
  </si>
  <si>
    <t>Transportation and Economic Corridors Minister Devin Dreeshen, Jobs, Economy and Northern Development Minister Brian Jean, and other officials announced an agreement with area First Nations to collaborate on a Highway 686 corridor project.
Learn more: https://www.alberta.ca/announcements.cfm?xID=87050ABC19E89-920E-6350-0AA7562E1B7D8FC0</t>
  </si>
  <si>
    <t>On the frontlines of Alberta's wildfire fight.</t>
  </si>
  <si>
    <t>Wildfire southeast of Sturgeon Lake in Alberta, Canada on Saturday, May 6th, 2023.  Alberta has fires all over the province today. 
#alberta #wildfire #sturgeonlakecreenation #bushfire #canada</t>
  </si>
  <si>
    <t>www.dralscarbonlaw.com
Al Hamilton, of Tomco Systems, discusses the amine carbon capture process at a high level. Follow along with Al on this process diagram to see how these CO2 recovery systems really work.</t>
  </si>
  <si>
    <t>Lehigh County's Office of Aging and Adult Services is proud to offer this miniseries to help older residents find solutions and resources to their everyday needs. In this segment, Lehigh County's Charles Pope breaks down what elder abuse is, how to spot it, and how to report it. 
Lehigh County's Office of Aging and Adult Services can be reached at 610-782-3034 or by visiting https://www.lehighcounty.org/Departments/Human-Services/Aging-and-Adult-Services</t>
  </si>
  <si>
    <t>Alberta is calling Skilled Workers from Toronto and Vancouver.</t>
  </si>
  <si>
    <t>Alberta’s oil sands is the world’s third largest oil reserves, and a huge part of Canada's economy, generating billions annually in government taxes, revenues and royalties, supporting small and medium-sized businesses from coast to coast, and attracting hundreds of thousands of workers from across the country.
But how much do you know about the oil sands?
Timestamps:
0:00 Intro
0:50 Geological formation
1:15 Oil sands reserves
1:41 Deposit geology
2:00 Properties of bitumen
2:42 Getting oil from the oil sands
2:56 Extraction methods - in-situ vs mining
3:09 In-situ extraction
3:57 Surface mining
5:28 Bitumen upgrading
6:42 Production volumes - diluted bitumen vs synthetic crude
7:10 Buyers of oil sands crude - Canada vs USA
8:07 Export pipelines
9:24 Oil prices explained
10:13 GHG emissions from the oil sands
11:31 Outro
Oil Sands 101 — Short Course (full version):
https://www.oilsandsmagazine.com/courses/short-course-oil-sands-101
Technical Library:
https://www.oilsandsmagazine.com/technical
Weekly Newsletter:
https://us3.campaign-archive.com/home/?id=4b53e82dc6&amp;u=c3610c75d1cfd3de04933a5ad
Social Media:
https://twitter.com/OilSandsMag
https://www.linkedin.com/company/oil-sands-magazine</t>
  </si>
  <si>
    <t>There are 6 oil sands mining projects in Alberta that collectively produce 1.6 million bbl/day of bitumen:
1 Suncor’s Base Plant, operated by @suncorenergy
2 The Syncrude Project, operated by @SyncrudeCanada
3 Albian Sands, operated by @CanadianNaturalCNRL 
4 Horizon, also operated by @CanadianNaturalCNRL 
5 Kearl, operated by @ImperialOil 
6 Fort Hills, operated by @suncorenergy 
Mining accounts for half of all output from the oil sands, and one-third of Canada’s total crude oil production. But how exactly do miners get oil from the oil sands?
TIMESTAMPS:
0:00 Introduction
1:14 Lease map - the big 6 mines
1:26 Mining pit and oil sands geology
1:42 Five components of an oil sands mine
2:24 Upgrader integration - integrated vs non-integrated mines
3:02 The bitumen production process
4:08 Tailings storage and reclamation
4:55 Differences in technology selection
5:47 Froth Treatment - naphthenic vs paraffinic
6:13 Tailings reclamation technologies
7:43 Bitumen production profile (annual to 2022)
SHORT COURSE — A Practical Guide To Alberta’s Oil Sands Miners
https://www.oilsandsmagazine.com/courses/oil-sands-mining-short-course
RESOURCES — Our complete mining technical library:
https://www.oilsandsmagazine.com/technical/category/MINING
CONNECT
Newsletter: https://bit.ly/3IhjQC1
Twitter: https://twitter.com/OilSandsMag
LinkedIn: https://www.linkedin.com/company/oil-sands-magazine</t>
  </si>
  <si>
    <t>Officials from Alberta Emergency Management Agency and Alberta Wildfire provided an update on the Alberta wildfire situation. For more information, visit https://www.alberta.ca/emergency</t>
  </si>
  <si>
    <t>The Minister of Public Safety and Emergency Services and the Minister of Agriculture and Irrigation joined officials from the Alberta Emergency Management Agency and Alberta Wildfire and provided an update on the Alberta wildfire situation. For more information, visit https://www.alberta.ca/emergency</t>
  </si>
  <si>
    <t>The Minister of Public Safety and Emergency Services and officials from Alberta Emergency Management Agency and Alberta Wildfire provided an update on the Alberta wildfire situation. For more information, visit https://www.alberta.ca/emergency</t>
  </si>
  <si>
    <t>The Premier of Alberta will provide an update on the wildfire situation. For more information, visit https://www.alberta.ca/emergency.aspx</t>
  </si>
  <si>
    <t>Officials from Alberta Emergency Management Agency and Alberta Wildfire provided an update on the Alberta wildfire situation.</t>
  </si>
  <si>
    <t>The Minister of Forestry, Parks and Tourism and officials from Alberta Emergency Management Agency and Alberta Wildfire provided an update on the Alberta wildfire situation. For more information, visit https://www.alberta.ca/emergency</t>
  </si>
  <si>
    <t>The Premier of Alberta, Minister of Public Safety and Emergency Services, and officials provided an update on the Alberta wildfire situation. For more information, visit https://www.alberta.ca/emergency
Learn more: https://www.alberta.ca/announcements.cfm?xID=87407E1C2F053-A181-8D01-91130875BFF7D6E3</t>
  </si>
  <si>
    <t>Get answers to frequently asked questions about RIS PACS in this quick video. In less than 3 minutes, you’ll learn:
What a PACS (Picture Archiving Communication System) is
How a PACS works with a RIS (Radiology Information System)
The benefits of RIS PACS integration
To learn more about this topic, please visit our blog post on https://www.ramsoft.com/pacs-radiology-information-systems/</t>
  </si>
  <si>
    <t>The Premier of Alberta and Minister of Public Safety and Emergency Services provided an update on the Alberta wildfire situation. For more information, visit https://www.alberta.ca/emergency</t>
  </si>
  <si>
    <t>Premier Danielle Smith and Mental Health and Addiction Minister Nicholas Milliken signed a memorandum of understanding with the Enoch Cree Nation to increase addiction treatment capacity on Enoch lands.  Learn more: https://www.alberta.ca/release.cfm?xID=8701511CFD1A5-F7F5-0D2B-EFC161AF443FF2E6</t>
  </si>
  <si>
    <t>An overview of incarcerated women in the correctional system, and how they relate to issues concerning Mental Health, Addiction and FASD.</t>
  </si>
  <si>
    <t>Notes Of Mental Retardation (Chapter 11) in Mental Health Nursing in Hindi.
Notes Of Sleep Disorder in Mental Health Nursing (Psychiatric)  In Hindi .
I have explained  11th chapter of psychiatric nursing. 
#mentalretardation 
#mentalhealthnursing
# psychiatricnursing
#hypersomnia 
#nursingnotes 
#bscnursingnotes 
#psychiatricnotes
#nursingnotes 
#gnm 
#nursingofficer 
If you really liked my video then don't forget to like and subscribe to my YouTube channel and also comment below and don't forget to hit the bell icon to get notifications of the new video.</t>
  </si>
  <si>
    <t>Notes Of Sexual Disorder Of Mental Health Nursing (Psychiatric)  in Hindi (Chapter 10)
I have explained  10th chapter of psychiatric nursing. 
#sexualdisorder
#Personality 
#personalitydisorder 
#mentalhealthnursing
# psychiatricnursing
#nursingnotes 
#bscnursingnotes 
#psychiatricnotes
#nursingnotes 
#gnm 
#nursingofficer 
If you really liked my video then don't forget to like and subscribe to my YouTube channel and also comment below and don't forget to hit the bell icon to get notifications of the new video.</t>
  </si>
  <si>
    <t>A personality disorder is a type of mental disorder in which you have a rigid and unhealthy pattern of thinking, functioning and behaving. A person with a personality disorder has trouble in perceiving and relating to situations and people.
:::::::::::::::::::::::::::::::::::::::::::::::::::::::::::::::::::::::::::::::::::::::::::::::::::::::::::::::::::::::::::::
Topics discussed are :-
•Etiology
•Types 
(1).Paranoid personality disorder
(2).Schizoid personality disorder
(3).Schizotypal personality disorder
(4).Hysterionic personality disorder
(5).Narcissistic personality disorder
(6).Borderline personality disorder
(7).Antisocial personality disorder
(8)Compulsive personality disorder
(9)Dependent personality disorder
(10)Avoidant personality disorder
:::::::::::::::::::::::::::::::::::::::::::::::::::::::::::::::::::::::::::::::::::::::::::::::::::::::::::::::::::::::::::::
Languages used are :-
•English
•Hindi
:::::::::::::::::::::::::::::::::::::::::::::::::::::::::::::::::::::::::::::::::::::::::::::::::::::::::::::::::::::::::::::
Comment me if you need video on other topics.
I hope you like this video, don't forget to like, share and subscribe my channel _xD83E__xDD1E_
Thank you for watching _xD83D__xDE4F_❤️
:::::::::::::::::::::::::::::::::::::::::::::::::::::::::::::::::::::::::::::::::::::::::::::::::::::::::::::::::::::::::::::
Email :- learnwithjenny83@gmail.com
#personality #disorder #psychiatry  #education #youtube #learnwithjenny</t>
  </si>
  <si>
    <t>Post Traumatic Stress Disorder II B Sc Nursing 3rd Year II Mental Health Nursing II By Alka Pandey Madam
Plz Download our App " ONLINE NURSING CLASSES "  from the below link 
https://play.google.com/store/apps/details?id=co.bran.tmc
This app will provide video lectures, Notes and MCQ. 
Jeevan Jyothi Foundation is a grass root level working NGO from Gwalior, Madhya Pradesh. India registered as an NGO under Section 8 of Indian Company Act, Ministry of Corporate Affairs, Govt of India.
One of the main objectives of Jeevan Jyothi Foundation is to uplift the standard of Nursing by conducting seminars, workshops, Awareness campaigns and taking online classes. 
Jeevan Jyothi Foundation is having 12A and 80G of from Income Tax Department and also registered with NITI Aayog, Govt of India. 
Link of all the charitable activities are given below:
Introduction of Jeevan Jyothi Foundation:
https://youtu.be/SCunpIrBb1Q
Food Distribution in Hospitals:
https://youtu.be/uldn7McYUlU
Food Distribution in Streets: 
https://youtu.be/CeqBxE9PGQ4
Covid 19 Relief Works:</t>
  </si>
  <si>
    <t>This video is a comprehensive and crisp presentation of Conduct Disorders. Conduct Disorders refers to a group of behavioral disorders in children. This video gives an introduction to conduct disorders, explores the diagnostic criteria for conduct disorders and the epidemiology of conduct disorders. It also describes the clinical features , etiology , course and prognosis  of conduct disorders. Finally there is assessment and management of conduct disorders. 
This video is a part of academic program for psychiatry postgraduates in Saveetha Medical College and Hospital
It was presented by Dr.Maathangi who is a psychiatry postgraduate in SMCH</t>
  </si>
  <si>
    <t>Topic: Short Case DIscussion - Illness Anxiety Disorder
This video is a recording of a session during the PYSCHIATRY PG REVISION COURSE, 2021, conducted by Psychiatry Department, Saveetha Medical College 
Speakers:
Dr.Iniyan, Associate Professor of psychiatry,
Dr. Venkatratman, Assistant Professor of psychiatry,
Dr.Vijay Anand, Senior Resident in psychiatry
Saveetha Medical College</t>
  </si>
  <si>
    <t>This video is about the assessment of suicide risk. It gives an overview of the impact of suicide, explains important terms like suicide, parasuicide, copycat suicide, cybersuicide and deliberate self harm. It gives a gist on factors involved in suicide and theories of suicide. It explains in detail of risk factors for suicide. Finally it dwells in detail about warning signs and assessment of suicide including verbal warning signs of suicide, steps in assessment of suicide, suicide intent by Beck's suicide intent scale and Columbia suicide severity rating scale.
This video is a part of academic program for psychiatry postgraduates in Saveetha Medical College and Hospital
It was presented by Dr.Srivaramangai, who is a psychiatry postgraduate in SMCH</t>
  </si>
  <si>
    <t>This video is an excellent demonstration of Motor System examination performed by eminent Neurologist Dr. Sathish Kumar, who is Assistant Professor of Neurology at Saveetha Medical College.  Dr. Javeed, Psychiatry Postgradaute is the volunteer. Dr. Sathish demonstrates in a clear manner. This includes Motor System, Reflexes, Coordination, Gait , Extrapyramidal system , Spine and Cranium. This video would be extremely useful for Undergraduates in medicine (MBBS) and Postgraduates in medicine, neurology and allied fields. 
This video is part of demonstration of complete neurological examination. This was part of the Online Psychiatry Postgraduate Workshop in February 2022. 
Camera, editing arid subtitling done by Dr. Iniyan and Dr. Venkatraman - Department of Psychiatry, Saveetha Medical College.
Note: This video is best viewed along with headphones for best audio clarity.</t>
  </si>
  <si>
    <t>This video is an excellent demonstration of Cranial Nerve examination performed by eminent Neurologist Dr. Sathish Kumar, who is Assistant Professor of Neurology at Saveetha Medical College.  Dr. Javeed, Psychiatry Postgradaute is the volunteer.  This video has a short description related to each cranial nerve followed by a clear demonstration of that nerve. This video would be extremely useful for Undergraduates in medicine (MBBS) and Postgraduates in medicine and allied fields. 
This video is part of demonstration of complete neurological examination. This was part of the Online Psychiatry Postgraduate Workshop in February 2022. 
Camera, editing and subtitling done by Dr. Iniyan and Dr. Venkatraman - Department of Psychiatry, Saveetha Medical College.
The important descriptions were provided by Psychiatry Postgraduates - Dr.Kavitha and Dr. Maathangi and by Associate Professor of Psychiatry - Dr.Iniyan
Note: This video is best viewed along with headphones for best audio clarity.</t>
  </si>
  <si>
    <t>This is a short yet comprehensive video of seminar on Electro Encephalography basics in psychiatry. It gives a brief history of Electro Encephalography (EEG), explains the mechanism of EEG, the electrode placements and the types of montages. It also gives an overview of the waveforms in EEG and prerequisites for EEG. It briefly covers sleep and EEG  and then  discusses few abnormal EEGS. It ends with a note on psychiatric conditions and drugs causing EEG changes.
It is very useful for students of medicine, psychiatry and also undergraduate students to learn about basics of Electro Encephalography. The main attractive features is that it is short yet covers a lot of important aspects of EEG
This video is a short talk which is a part of the academic program for psychiatry postgraduates in Saveetha Medical College and Hospital
It was presented by Dr.Kavitha, Postgraduate in Department of Psychiatry. SMCH</t>
  </si>
  <si>
    <t>Topic: Facing the Psychiatry Viva
This lecture focusses on the important points related to facing the viva as part of a clinical examination in psychiatry. It covers essential points in an array of topics and gives a comprehensive overview. This is a must watch video before attending the clinical psychiatry exam.
This video is a recording of a session during the PYSCHIATRY PG REVISION COURSE, 2021, conducted by Psychiatry Department, Saveetha Medical College 
Speaker: Dr. Raman, Professor of Psychiatry, Saveetha Medical College.
Dr.Raman is an exceptional academician and skillful clinican. He has more than 14 years of teaching and research experience in psychiatry. He has an uncanny ability of instilling ardent in psychiatry among medical students. He has authored many books and published several research articles. 
In this VIde, Dr.Raman meticulously explains the expections and most probable quetions in psychiaty postgraduate viva and gives extensive insight regarding the preparation needed to face Viva with confidence.</t>
  </si>
  <si>
    <t>This video gives a clear introduction to History taking and Interviewing a psychiatric patient. This video would help to complement a psychiatry postgraduate's knowledge regarding history taking and can help improve their interviewing skills
Speaker: Dr.Venkatesh Mathan Kumar, Associate Professor of Psychiatry, Institute of Mental Health</t>
  </si>
  <si>
    <t>Topic: Generalized Anxiety Disorder - Short Case Discussion 
This video is a recording of a session during the PYSCHIATRY PG REVISION COURSE, 2021, conducted by Psychiatry Department, Saveetha Medical College 
Speakers:
Dr.Iniyan, Associate Professor of psychiatry,
Dr. Venkatratman, Assistant Professor of psychiatry,
Dr.Vijay Anand, Senior Resident in psychiatry
Saveetha Medical College</t>
  </si>
  <si>
    <t>Today’s video is all about psychiatric pharmacology and medications for Nursing Students and NCLEX Review.
For your FREE quiz and access to more full-length videos, click here: http://bit.ly/3TF8ADf
Psychiatric medications are used to treat a variety of mental health issues, such as schizophrenia, bipolar disorder, anxiety, and depression. 
As a nurse, you’ll need to administer psychiatric drugs to patients in your day-to-day. For real-world nursing and the NCLEX exam, you have to remember each psychiatric pharmacology class and their mechanisms of action.
And we’re making memorization easy for you with plenty of mnemonics and examples in today’s video.
#NCLEX #psychiatricnursing</t>
  </si>
  <si>
    <t>This video is detailed presentation of  Catatonia - Signs and Features Demonstration - According to Bush Francis Catatonia Rating Scale
This video is a recording of a session during the PYSCHIATRY PG REVISION COURSE, 2021, conducted by Psychiatry Department, Saveetha Medical College 
Speakers:
Dr.Iniyan, Associate Professor of psychiatry,
Dr. Venkatratman, Assistant Professor of psychiatry,
Dr.Vijay Anand, Senior Resident in psychiatry
Saveetha Medical College</t>
  </si>
  <si>
    <t>This video is an elaborate presentation of Habit and Impulse Control Disorders in psychiatry. It includes Pathological Gambling, Intermittent explosive disorder, Kleptomania, Pyromania and Trichotillomania. It describes the etiology, classification and management of Impulse control disorders. It also explains  Disruptive behavior or Dissocial Disorders in detail. It makes short summary of Impulse Control Disorders in Parkinson's Disease
This video is a part of academic program for psychiatry postgraduates in Saveetha Medical College and Hospital
It was presented by Dr.Ajay who is a psychiatry postgraduate in SMCH</t>
  </si>
  <si>
    <t>DSM Feeding and Eating Disorders</t>
  </si>
  <si>
    <t>NURS145 - Module 1</t>
  </si>
  <si>
    <t>Cancer &amp; Pregnancy</t>
  </si>
  <si>
    <t>What are tic disorders? The DSM-V classifies three different tic disorders: Tourette's syndrome, persistent vocal or motor tic disorder, and provisional tic disorder. Find more videos at http://osms.it/more.
Hundreds of thousands of current &amp; future clinicians learn by Osmosis. We have unparalleled tools and materials to prepare you to succeed in school, on board exams, and as a future clinician. Sign up for a free trial at http://osms.it/more.
Subscribe to our Youtube channel at http://osms.it/subscribe.  
Get early access to our upcoming video releases, practice questions, giveaways, and more when you follow us on social media:
Facebook: http://osms.it/facebook
Twitter: http://osms.it/twitter
Instagram: http://osms.it/instagram
Our Vision: Everyone who cares for someone will learn by Osmosis.
Our Mission: To empower the world’s clinicians and caregivers with the best learning experience possible. Learn more here: http://osms.it/mission
Medical disclaimer: Knowledge Diffusion Inc (DBA Osmosis) does not provide medical advice. Osmosis and the content available on Osmosis's properties (Osmosis.org, YouTube, and other channels) do not provide a diagnosis or other recommendation for treatment and are not a substitute for the professional judgment of a healthcare professional in diagnosis and treatment of any person or animal. The determination of the need for medical services and the types of healthcare to be provided to a patient are decisions that should be made only by a physician or other licensed health care provider. Always seek the advice of a physician or other qualified healthcare provider with any questions you have regarding a medical condition.</t>
  </si>
  <si>
    <t>For just $1/month, you can help keep these videos free! Subscribe to my Patreon at http://www.patreon.com/pwbmd
*Correction to slide on Wernicke-Korsikoff syndrome from previous video. (Disclaimer: The medical information contained herein is intended for physician medical licensing exam review purposes only, and are not intended for diagnosis of any illness. If you think you may be suffering from any medical condition, you should consult your physician or seek immediate medical attention.)</t>
  </si>
  <si>
    <t>Notes Of Obsessive Compulsive Disorder (OCD) in Mental Health Nursing (Psychiatric) in Hindi.
I have explained  8th chapter of psychiatric nursing. 
#ocd 
#obsessivecompulsivedisorder 
#neurosis 
#psychosis
#neuroticdisorder
#stressdisorder
#mentalhealthnursing
# psychiatricnursing
#nursingnotes 
#bscnursingnotes 
#psychiatricnotes
#nursingnotes 
#gnm 
#nursingofficer 
If you really liked my video then don't forget to like and subscribe to my YouTube channel and also comment below and don't forget to hit the bell icon to get notifications of the new video.</t>
  </si>
  <si>
    <t>TICS Disorder II B Sc Nursing 3rd Year II Mental Health Nursing II Alka Madam II
Plz Download our App " ONLINE NURSING CLASSES "  from the below link 
https://play.google.com/store/apps/details?id=co.bran.tmc
This app will provide video lectures, Notes and MCQ. 
Jeevan Jyothi Foundation is a grass root level working NGO from Gwalior, Madhya Pradesh. India registered as an NGO under Section 8 of Indian Company Act, Ministry of Corporate Affairs, Govt of India.
One of the main objectives of Jeevan Jyothi Foundation is to uplift the standard of Nursing by conducting seminars, workshops, Awareness campaigns and taking online classes. 
Jeevan Jyothi Foundation is having 12A and 80G of from Income Tax Department and also registered with NITI Aayog, Govt of India. 
Link of all the charitable activities are given below:
Introduction of Jeevan Jyothi Foundation:
https://youtu.be/SCunpIrBb1Q
Food Distribution in Hospitals:
https://youtu.be/uldn7McYUlU
Food Distribution in Streets: 
https://youtu.be/CeqBxE9PGQ4
Covid 19 Relief Works:</t>
  </si>
  <si>
    <t>Buy "Memorable Psychiatry," "Memorable Psychopharmacology,” and "Memorable Neurology" on Amazon! http://memorablepsych.com/books 
Autism is a disorder involving both difficulties in social communication and restrictions interests and activities. Rates of autism have increased drastically over the past several decades. Is there an epidemic of autism in our midst, or is something else going on? 
Learn more about autism, including its diagnostic criteria in this high-yield talk intended for all healthcare providers, including doctors, medical students, psychologists, nurses, nurse practitioners, physician assistants, social workers, and more!
ATTRIBUTIONS
Beauty Flow Kevin MacLeod (incompetech.com)
Licensed under Creative Commons: By Attribution 3.0 License
http://creativecommons.org/licenses/by/3.0/</t>
  </si>
  <si>
    <t>Buy "Memorable Psychiatry," "Memorable Psychopharmacology,” and "Memorable Neurology" on Amazon! http://memorablepsych.com/books 
Antisocial personality disorder (ASPD) is a devastating condition, not only for the people experiencing it but also for the effects that it has on society. The most important step to understanding ASPD is to learn about the underlying reasons WHY people engage in violent or aggressive behavior, so we will focus on that in this lecture.
Learn more antisocial personality disorder, including its diagnostic criteria and treatment strategies, in this high-yield talk intended for all healthcare providers, including doctors, medical students, psychologists, nurses, nurse practitioners, physician assistants, social workers, and more!
ATTRIBUTIONS
Beauty Flow Kevin MacLeod (incompetech.com)
Licensed under Creative Commons: By Attribution 3.0 License
http://creativecommons.org/licenses/by/3.0/</t>
  </si>
  <si>
    <t>A recorded lecture for a diagnosis and psychopathology course on the DSM-5-TR diagnoses related to disruptive, impulse-control, and conduct disorders.</t>
  </si>
  <si>
    <t>Research Proposal</t>
  </si>
  <si>
    <t>A central but often overlooked feature of ODD in children is the drive to thwart and defeat anyone in a perceived position of authority. This can make ODD a devastating illness for families. ODD treatment does exist, but it’s neither quick nor easy. In this hour-long ADDitude webinar with William Dodson, M.D., LF-APA, learn how to manage oppositional defiant disorder in children.
Download the slides associated with this webinar here: https://www.additudemag.com/webinar/odd-management-podcast-349/
4:37 Why Haven’t I Heard of ODD/CD Before
6:18 In the DSM Category of Disruptive Behavior Disorders
12:21 ADHD vs. ODD
17:27 Don’t Kid Yourself That You Will Ultimately Win
21:10 Conduct Disorder
22:58 Are ODD and CD Different?
25:56 Genetics
30:50 BEHAVIOR MANAGEMENT THERAPY
38:24 Medication Management of ODD/CD
41:24 Prevention of ODD and CD
46:54 Take-Home Messages
50:10 Q&amp;A
Related Resources
1. Read: ODD in Children: A Parent’s Behavior Management Guide
https://www.additudemag.com/odd-in-children-adhd-management-strategies/
2. Read: Will Anything Solve My Child’s Defiance and ODD? https://www.additudemag.com/oppositional-behavior-odd-disorder/
3. Download: Free 2-Week Guide to Ending Defiant Behavior
https://www.additudemag.com/download/adhd-defiant-behavior-fix-for-parents/
4. eBook: 9 Conditions Often Diagnosed with ADHD
https://www.additudemag.com/product/9-conditions-diagnosed-with-adhd/
Subscribe to the ADDitude YouTube Channel: https://www.youtube.com/channel/UC_3d1NVczqxa-cQzFt2iVSw
Visit the ADDitude web site: https://www.additudemag.com
Follow ADDitude on Facebook: https://www.facebook.com/additudemag/
Follow ADDitude on Instagram: https://www.instagram.com/additudemag/
Follow ADDitude on Twitter: https://www.twitter.com/ADDitudeMag</t>
  </si>
  <si>
    <t>NURS245 - Module 1</t>
  </si>
  <si>
    <t>A recorded lecture for a diagnosis and psychopathology course regarding the history of diagnosis and the DSM.</t>
  </si>
  <si>
    <t>A recorded lecture for a diagnosis and psychopathology course on the DSM-5-TR chapter Schizophrenia Spectrum Disorders.</t>
  </si>
  <si>
    <t>A recorded lecture for a diagnosis and psychopathology course on the DSM-5-TR diagnoses related to anxiety disorders.</t>
  </si>
  <si>
    <t>A recorded lecture for a diagnosis and psychopathology course on the DSM-5-TR diagnoses related to obsessive complusive disorders.</t>
  </si>
  <si>
    <t>At 17,  I was diagnosed with depressive-type schizoaffective disorder. Here's a brief synopsis of how things progressed.</t>
  </si>
  <si>
    <t>Buy "Memorable Psychiatry," "Memorable Psychopharmacology,” and "Memorable Neurology" on Amazon! http://memorablepsych.com/books 
Delirium is a state of altered mental status related to an underlying medical condition or use of drugs or other substances. It is often confused with dementia, as both feature changes in cognition and are more common in the elderly. However, delirium is its own condition with specific signs and symptoms, as we will cover in this video lecture.
Learn more delirium, including its core signs and symptoms, prognosis, and treatment, in this high-yield talk intended for all healthcare providers, including doctors, medical students, psychologists, nurses, nurse practitioners, physician assistants, social workers, and more!
ATTRIBUTIONS
Beauty Flow Kevin MacLeod (incompetech.com)
Licensed under Creative Commons: By Attribution 3.0 License
http://creativecommons.org/licenses/by/3.0/</t>
  </si>
  <si>
    <t>Buy "Memorable Psychiatry," "Memorable Psychopharmacology,” and "Memorable Neurology" on Amazon! http://memorablepsych.com/books 
While most people think they have a sense of what OCD is, the truth is often more complicated! More than just being neat, tidy, or orderly, obsessive-compulsive disorder involves a dysfunctional loop between thoughts and behaviors that is hard to escape from without help. 
Learn more about obsessive-compulsive disorder, including its DSM diagnostic criteria, its epidemiology, its prognosis, and its treatment, in this high-yield mnemonics-filled lecture intended for all healthcare providers, including doctors, medical students, psychologists, nurses, nurse practitioners, physician assistants, social workers, and more!
ATTRIBUTIONS
Beauty Flow Kevin MacLeod (incompetech.com)
Licensed under Creative Commons: By Attribution 3.0 License
http://creativecommons.org/licenses/by/3.0/
“OCD Letter Blocks. Scrabble word blocks arranged in orderly rows.” Photo credit: amenclinicsphotos ac www.amenclinics.com (Flickr: https://www.flickr.com/photos/125892716@N05/14419489878). Creative Commons Attribution-ShareAlike 2.0 Generic (CC BY-SA 2.0). Image cropped and altered to remove elements.</t>
  </si>
  <si>
    <t>Buy "Memorable Psychiatry," "Memorable Psychopharmacology,” and "Memorable Neurology" on Amazon! http://memorablepsych.com/books 
Our final video on personality disorders covers cluster B, including dependent, obsessive-compulsive, and avoidant personality disorders. These are commonly mistaken for anxiety disorders, but the truth is a lot more nuanced than that! 
Learn more about cluster C personality disorders, including their diagnostic criteria and treatment strategies, in this high-yield talk intended for all healthcare providers, including doctors, medical students, psychologists, nurses, nurse practitioners, physician assistants, social workers, and more!
ATTRIBUTIONS
Beauty Flow Kevin MacLeod (incompetech.com)
Licensed under Creative Commons: By Attribution 3.0 License
http://creativecommons.org/licenses/by/3.0/</t>
  </si>
  <si>
    <t>Buy "Memorable Psychiatry," "Memorable Psychopharmacology,” and "Memorable Neurology" on Amazon! http://memorablepsych.com/books 
Schizoaffective disorder is one of the most misunderstood and misdiagnosed disorders in all of psychiatry. Many people assume that any patients with both mood and psychotic symptoms automatically have schizoaffective disorder, but this couldn’t be further from the truth! Learn the facts about schizoaffective disorder in this mnemonics-filled lecture intended for all healthcare providers, including doctors, medical students, psychologists, nurses, nurse practitioners, physician assistants, social workers, and more.
ATTRIBUTIONS
Beauty Flow Kevin MacLeod (incompetech.com)
Licensed under Creative Commons: By Attribution 3.0 License
http://creativecommons.org/licenses/by/3.0/
Crystal Meth https://commons.wikimedia.org/wiki/File:Crystal_Meth.jpg Author:  Radspunk (English Wikipedia) (Creative Commons Attribution-Share Alike 4.0 International, 3.0 Unported, 2.5 Generic, 2.0 Generic and 1.0 Generic license).
Signs of borderline personality disorder https://commons.wikimedia.org/wiki/File:Signs_of_BPD_1.png Author MissLunaRose12 Creative Commons Attribution-Share Alike 4.0 International license.</t>
  </si>
  <si>
    <t>Buy "Memorable Psychiatry," "Memorable Psychopharmacology,” and "Memorable Neurology" on Amazon! http://memorablepsych.com/books 
The mental status exam is psychiatry’s equivalent of the physical exam. Learn how to do one using a handy acronym!
Intended for all healthcare providers, including doctors, medical students, psychologists, nurses, nurse practitioners, physician assistants, social workers, and more.
ATTRIBUTIONS
Beauty Flow Kevin MacLeod (incompetech.com)
Licensed under Creative Commons: By Attribution 3.0 License
http://creativecommons.org/licenses/by/3.0/
Montreal Cognitive Assessment (MOCA) MoCA Seth Anderson under Creative Commons Attribution-NonCommercial-ShareAlike 2.0 Generic (CC BY-NC-SA 2.0) https://www.flickr.com/photos/swanksalot/38835004135</t>
  </si>
  <si>
    <t>Buy "Memorable Psychiatry," "Memorable Psychopharmacology,” and "Memorable Neurology" on Amazon! http://memorablepsych.com/books 
Bipolar disorder is a difficult and devastating disease, and its ability to cause harm is only increased by the fact that it is so tricky to diagnose! Learn more about bipolar disorder, including both bipolar I and bipolar II, in this mnemonics-filled lecture intended for all healthcare providers, including doctors, medical students, psychologists, nurses, nurse practitioners, physician assistants, social workers, and more.
ATTRIBUTIONS
Beauty Flow Kevin MacLeod (incompetech.com)
Licensed under Creative Commons: By Attribution 3.0 License
http://creativecommons.org/licenses/by/3.0/</t>
  </si>
  <si>
    <t>Buy "Memorable Psychiatry," "Memorable Psychopharmacology,” and "Memorable Neurology" on Amazon! http://memorablepsych.com/books 
After learning about somatic symptom disorder, we will look at some other diagnoses that also feature medically unexplained symptoms, including illness anxiety disorder, conversion disorder, factitious disorder, and malingering.
Learn more somatoform disorders, including their core signs and symptoms, prognosis, and treatment, in this high-yield talk intended for all healthcare providers, including doctors, medical students, psychologists, nurses, nurse practitioners, physician assistants, social workers, and more!
ATTRIBUTIONS
Beauty Flow Kevin MacLeod (incompetech.com)
Licensed under Creative Commons: By Attribution 3.0 License
http://creativecommons.org/licenses/by/3.0/</t>
  </si>
  <si>
    <t>Buy "Memorable Psychiatry," "Memorable Psychopharmacology,” and "Memorable Neurology" on Amazon! http://memorablepsych.com/books 
Link to video about why some people develop PTSD following a trauma and others do not: https://www.youtube.com/watch?v=5yCOWnjqVP0
The word “trauma” and its associated diagnosis (post-traumatic stress disorder or PTSD) are increasingly common in modern day discussions, not only in mental health but in everyday conversation as well! However, there is more nuance to this disorder than is often realized. In this video, we’ll go over not only WHAT the “narrow” definition of PTSD is but also WHY it’s important to use it.
Learn more about PTSD, including its DSM diagnostic criteria, its epidemiology, its prognosis, and its treatment, in this high-yield mnemonics-filled lecture intended for all healthcare providers, including doctors, medical students, psychologists, nurses, nurse practitioners, physician assistants, social workers, and more!
ATTRIBUTIONS
Beauty Flow Kevin MacLeod (incompetech.com)
Licensed under Creative Commons: By Attribution 3.0 License
http://creativecommons.org/licenses/by/3.0/</t>
  </si>
  <si>
    <t>Buy "Memorable Psychiatry," "Memorable Psychopharmacology,” and "Memorable Neurology" on Amazon! http://memorablepsych.com/books 
Psychopathy (also known as sociopathy) is a truly devastating condition due to the harm and violence that people with the condition inflict upon society. Understanding psychopathy is difficult, as it overlaps significantly with antisocial personality disorder (ASPD). However, as we will see in this video, they are completely different disorders that nevertheless result in the same pattern of antisocial behavior! 
Learn more psychopathy, including its core signs and symptoms, prognosis, and treatment, in this high-yield talk intended for all healthcare providers, including doctors, medical students, psychologists, nurses, nurse practitioners, physician assistants, social workers, and more!
ERRATA
The data on heritability at 7:15 is not accurate. The literature seems to suggest that the heritability is more like 50-65%. Apologies for this error!
ATTRIBUTIONS
Beauty Flow Kevin MacLeod (incompetech.com)
Licensed under Creative Commons: By Attribution 3.0 License
http://creativecommons.org/licenses/by/3.0/</t>
  </si>
  <si>
    <t>Honestly, I'm not always certain about this question as it pertains to my life. Sometimes I'm like Kati, you're just burned out and you need a break. And other times I can find myself beating myself up for being too lazy or unmotivated and getting stuck into the compare and despair cycle. And then sometimes I'm like Kati are you depressed? Or Kati are you sad in your life right now or sad in general? Or Kati are you simply burned out on life? What is it? Am I lazy? Am I sad? Am I depressed? Am I burnt out? Do I need a break? Let's talk about this some more... because I see a lot of comments with people confusing and unsure what they really are. The truth is we may be depressed or sad and that may lead us to feeling lazy or overwhelmed - but let's talk about what those signs and symptoms are. Because, we can also be so hard on ourselves sometimes, or at least I know that I can, and I hope that this video helps you better understand that just because someone else looks like they're doing X, Y, Z we may be doing a different version of X, Y, Z or our personality type may not act that way.</t>
  </si>
  <si>
    <t>Let's talk ADHD, Attention Deficit Hyperactivity Disorder - in this video I'm talking you through 6 things you might not know are actually ADHD related. Essentially these are some of the ADHD signs and symptoms that you may not realize are signs or symptoms of ADHD. So if you ask yourself, do I have ADHD or how to know if I have ADHD, this video may be a good start in seeing if you can recognize any of these ADHD behaviors or symptoms. Some of these may also happen with people who have ADD or Attention Deficit Disorder. These are things with ADHD that may happen in adolescence, someone's teenager years or in adulthood - and they can happen to both men and women! What about you? Did anything in this video surprise you? Anything you didn't know that were ADHD related and now you do? Let me know in the comments!</t>
  </si>
  <si>
    <t>Learn more about bipolar disorder: https://wb.md/37oavHU
What is life like with bipolar disorder? Take a 360-degree look at the highs and lows, narrated by people living with the condition. https://wb.md/2Bt7KXa
Subscribe to WebMD: https://www.youtube.com/user/WebMD 
Follow WebMD:
Website: http://webmd.com 
Facebook: https://www.facebook.com/WebMD/ 
Pinterest: https://www.pinterest.com/webmd/ 
Twitter: https://twitter.com/WebMD 
Instagram: https://www.instagram.com/webmd/</t>
  </si>
  <si>
    <t>What is delirium? Delirium is a sudden disturbance in mental abilities that can last for hours to days. Some patients experience hyperactive symptoms and some patients experience hypoactive symptoms, whereas some experience both. Find more videos at http://osms.it/more.
Hundreds of thousands of current &amp; future clinicians learn by Osmosis. We have unparalleled tools and materials to prepare you to succeed in school, on board exams, and as a future clinician. Sign up for a free trial at http://osms.it/more.
Subscribe to our Youtube channel at http://osms.it/subscribe.  
Get early access to our upcoming video releases, practice questions, giveaways, and more when you follow us on social media:
Facebook: http://osms.it/facebook
Twitter: http://osms.it/twitter
Instagram: http://osms.it/instagram
Our Vision: Everyone who cares for someone will learn by Osmosis.
Our Mission: To empower the world’s clinicians and caregivers with the best learning experience possible. Learn more here: http://osms.it/mission
Medical disclaimer: Knowledge Diffusion Inc (DBA Osmosis) does not provide medical advice. Osmosis and the content available on Osmosis's properties (Osmosis.org, YouTube, and other channels) do not provide a diagnosis or other recommendation for treatment and are not a substitute for the professional judgment of a healthcare professional in diagnosis and treatment of any person or animal. The determination of the need for medical services and the types of healthcare to be provided to a patient are decisions that should be made only by a physician or other licensed health care provider. Always seek the advice of a physician or other qualified healthcare provider with any questions you have regarding a medical condition.</t>
  </si>
  <si>
    <t>Buy "Memorable Psychiatry," "Memorable Psychopharmacology,” and "Memorable Neurology" on Amazon! http://memorablepsych.com/books 
Eating disorders like anorexia nervosa and bulimia nervosa are among the most harmful mental disorders. In fact, anorexia is the single most deadly mental illness due to its effects on not only psychological but physical health as well! However, other eating disorders like bulimia, binge eating disorder, and avoidant/restrictive food intake disorder (ARFID) can be incredibly impairing as well.
Learn more eating disorders, including their core signs and symptoms, prognosis, and treatment, in this high-yield talk intended for all healthcare providers, including doctors, medical students, psychologists, nurses, nurse practitioners, physician assistants, social workers, and more!
Video on OCD: https://www.youtube.com/watch?v=L64jPavVYjU&amp;list=PLeZk8BXkxXt8mSX-tE2WFheDdpSFBW7lk
Video on personality disorders: https://www.youtube.com/watch?v=U6Y9WTyPgG0&amp;list=PLeZk8BXkxXt8mSX-tE2WFheDdpSFBW7lk
Video on borderline personality disorder: https://www.youtube.com/watch?v=R8A5c_HO3qA&amp;list=PLeZk8BXkxXt8mSX-tE2WFheDdpSFBW7lk
Video on obsessive-compulsive personality disorder: https://www.youtube.com/watch?v=OpXLUTp2PwA&amp;list=PLeZk8BXkxXt8mSX-tE2WFheDdpSFBW7lk
ATTRIBUTIONS
Beauty Flow Kevin MacLeod (incompetech.com)
Licensed under Creative Commons: By Attribution 3.0 License
http://creativecommons.org/licenses/by/3.0/
“Oral Manifestation of Bulimia.” Author: Jeffrey Dorfman (Creative Commons Attribution-Share Alike 3.0 Unported license). https://commons.wikimedia.org/wiki/File:Oral_Manifestation_of_Bulimia..jpg
“Russell's Sign on the knuckles of the index and ring fingers.” Public domain. https://commons.wikimedia.org/wiki/File:Russell%27s_Sign.png</t>
  </si>
  <si>
    <t>This animated video takes a fun approach to explaining a complex scientific topic. Teratomas are very interesting tumours that may grow several types of tissues including hair, teeth, and even eyes! We go deep into the biology behind these tumours, what causes them, and how they are treated in a medical setting. You will learn about concepts such as mitosis, meiosis, somatic vs germline cells, and programmed cell death.
This video was made by McMaster University students Azeen Mohammadi, Juhi Kaur Olkh, Puneet Sidhu, Sourena Noori, and Oishee Syed in collaboration with the Demystifying Research McMaster Program.
This video is for educational purposes only. Please speak to your healthcare provider for information about your health. 
Copyright McMaster University 2023. 
#Tumour, #Cancer, #Teratoma, #Monstertumour, #Cancerbiology
References:
Difference Between Somatic and Germ Cells. (2017, July 25). Pediaa.Com. https://pediaa.com/difference-between-somatic-and-germ-cells/
Keene, D. J. B., Craigie, R. J., Shabani, A., Batra, G., &amp; Hennayake, S. (2011). Bipartite anterior extraperitoneal teratoma: evidence for the embryological origins of teratomas? Case Reports in Medicine, 2011, 208940. https://doi.org/10.1155/2011/208940
Teratoma. (n.d.). Cleveland Clinic. Retrieved December 7, 2022, from https://my.clevelandclinic.org/health/diseases/22074-teratoma
What Is a Teratoma? (n.d.). WebMD. Retrieved December 7, 2022, from https://www.webmd.com/a-to-z-guides/what-is-teratoma</t>
  </si>
  <si>
    <t>This video aims to explore the concept of gaslighting, what it is specifically and how it works. This is described through an example taken from the film, Tangled. The video also describes gaslighting techniques/tactics, leaving a gaslighter, and what you can do about it.
This video was made by McMaster students Sakshi Jadhav, Angelene Grewal, Syed (Fahad) Farooq, and Aishwarya Singh in collaboration with the McMaster Demystifying Medicine Program.
This video is provided for general and educational information only.
Copyright McMaster University 2022.
References: 
Sussex Publishers. (n.d.).Gaslighting. Psychology Today. https://www.psychologytoday.com/ca/basics/gaslighting#how-gaslighting-works
Gaslighting. GoodTherapy.org Therapy Blog. (n.d.). https://www.goodtherapy.org/blog/psychpedia/gaslighting
Dorpat, T. L. (1996).Gaslighting, the double whammy, interrogation, and other methods of covert control in psychotherapy and analysis. Jason Aronson, Incorporated.
Sweet, P. L. (2019). The sociology of gaslighting.American Sociological Review,84(5), 851-875. https://doi.org/10.1177/0003122419874843</t>
  </si>
  <si>
    <t>Buy "Memorable Psychiatry," "Memorable Psychopharmacology,” and "Memorable Neurology" on Amazon! http://memorablepsych.com/books 
Let’s continue our discussion of personality pathology by talking about cluster A personality disorders which include paranoid, schizoid, and schizotypal personality disorders. Each has features that overlap with psychotic disorders making it easy to confuse them, so we’ll spend some time learning how to disentangle each from schizophrenia as well as reviewing how to diagnose them using mnemonics!
Learn more about cluster A personality disorders, including their diagnostic criteria and treatment strategies, in this high-yield talk intended for all healthcare providers, including doctors, medical students, psychologists, nurses, nurse practitioners, physician assistants, social workers, and more!
ATTRIBUTIONS
Beauty Flow Kevin MacLeod (incompetech.com)
Licensed under Creative Commons: By Attribution 3.0 License
http://creativecommons.org/licenses/by/3.0/</t>
  </si>
  <si>
    <t>It's no secret that many university students are incredibly reliant on both caffeine and alcohol to get through their busy schedules. But do they know how mixing the two really affects their bodies? In this video university students are interviewed about caffeine and alcohol consumption as well as about what they think happens when they mix them.
This video was made by McMaster Demystifying Medicine Students Albert Zhao, Athiraa Thamilselvan, Kristen Tam and Olivia Wilson
Copyright McMaster University 2019
References:
Meredith, S. E., Juliano, L. M., Hughes, J. R., &amp; Griffiths, R. R. (2013). Caffeine Use Disorder: A Comprehensive Review and Research Agenda. Journal of Caffeine Research, 3(3), 114-130. https://doi.org/10.1089/jcr.2013.0016
Addolorato, G., Leggio, L., Abenavoli, L., &amp; Gasbarrini, G. (2005). Neurobiochemical and clinical aspects of craving in alcohol addiction: A review. Additive Behaviors, 30(6), 1209-1224. https://doi.org/10.1016/j.addbeh.2004.12.011</t>
  </si>
  <si>
    <t>Case Conference Webinar: The Oppositional Child. Presented by Barbara Howard, MD; Raymond Sturner, MD (both developmental behavioral pediatricians); and Emily Frosch, MD a Child Psychiatrist associated with Johns Hopkins University Medical School and CHADIS - Total Child Health. http://bit.ly/1gNpRYY</t>
  </si>
  <si>
    <t>Dr Rajiv Sharma Psychiatrist psychiatrist in delhi mental health best psychiatrist in Delhi youtube video psychologist for psychology students for psychiatry students</t>
  </si>
  <si>
    <t>NPR NPR Music National Public Radio Live Performance tiny desk tiny desk concert tony desk tiny concert karol g eltiny colombia labichota</t>
  </si>
  <si>
    <t>kpop gidle (여자)아이들 (G)I-DLE IDLE 여자아이들 아이들 미연 민니 수진 소연 우기 슈화 MIYEON MINNIE SOOJIN SOYEON YUQI SHUHUA 큐브 CUBE 미니 6집 I feel 퀸카 Queencard</t>
  </si>
  <si>
    <t>Action Adam Bessa Anthony Russo Chris Hemsworth Extraction Extraction 2 Film Golshifteh Farahani Hero Joe Russo Netflix Sam Hargrave The Russo Brothers Tyler Rake Tyler Rake Lives blockbuster summer</t>
  </si>
  <si>
    <t>clash of clans COC Clash of Clans Gameplay Clash of Clans Strategy Clash of Clans Animation Clash of Clans Commercial Clash of Clans Attacks Clash of Clans Town Hall Hog Rider PEKKA Clan Wars season challenges clan war leagues clash on clan game clan games clash-a-rama clasharama builder base builder hall 10 electrofire wizard battle copter coc new update clash new update clash of clans new update</t>
  </si>
  <si>
    <t>let's game it out lets game it out let game it out let'sgameitout letsgameitout letgameitout game it out gameitout lgio josh let's game it out let's game it out josh lgio josh josh lgio let's game it out simulator josh simulator funny moments shadows of doubt shadows of doubt game shadows of doubt gameplay let's game it out shadows of doubt detective game shadow of doubt game shadow of doubt gameplay why a psychopath is a stellar detective</t>
  </si>
  <si>
    <t>dyson zone dyson headphones mkbhd MKBHD Dyson Zone headphones air purifying headphones dyson air purifyer</t>
  </si>
  <si>
    <t>ad home tour ad open door arch digest arch digest celebrity home tour arch digest home tour arch digest open door architectural digest architectural digest open door architectural digest rupaul celebrity home celebrity home tour open door architectural digest rupaul rupaul ad open door rupaul arch digest rupaul drag race rupaul home tour rupaul lip synch rupaul mansion rupaul mansion tour rupaul open door rupaul’s drag race</t>
  </si>
  <si>
    <t>NBA Basketball UNDISPUTED Shannon Sharpe Skip Bayless Ja Morant Instagram Live Gun video flash memphis grizzlies grizzlies Memphis skip and shannon show fs1 fox sports fox sports 1 sports sports news NBA on FOX NBA on FS1 2022 NBA Offseason 2022-2023 NBA Seasonn Eastern Conference Western Conference The Association</t>
  </si>
  <si>
    <t>acrostico shakira acrostico acrostico official video acrostico video oficial shakira 2023 acrostico letra acrostico lyrics Shakira</t>
  </si>
  <si>
    <t>markiplier amanda the adventurer scary games</t>
  </si>
  <si>
    <t>hobbies in the field internet historian manykudos many kudos podcast</t>
  </si>
  <si>
    <t>nursingclasses onlinenursingclasses nursingonline bscnursingclasses gnmonlineclasses gnmclasses nursingteaching nursing pbbsconlineclasses pbbsc online classes onlinenursingcoaching nursingcoaching nursingnotes Nursing Coaching best nursing college best nursing classes nursing videos</t>
  </si>
  <si>
    <t>Conduct disorder CD Child psychiatric disorder Behavioural Disorder Definition of conduct disorder Types of conduct disorder Etiology of conduct disorder Symptoms of conduct disorder Treatment of conduct disorder</t>
  </si>
  <si>
    <t>USMLE Step 1 USMLE Step 1 medicine medical school medical student medstudent medschool physician doctor biology psychiatry cardiology pulmonology gastroenterology endocrinology hematology oncology immunology Renal respiratory kidney heart lungs stomach brain nerves intestines muscles</t>
  </si>
  <si>
    <t>McMaster University Demystifying Medicine conduct disorder conduct behavioral disorder misbehavior behavioral concerns trouble child disobedient child</t>
  </si>
  <si>
    <t>conduct disorder conduct disorder in childhood and adolescence conduct disorder in teenager conduct disorder vs oppositional conduct disorder interview conduct disorder example conduct disorder nursing conduct disorder treatment conduct disorder symptoms conduct disorder mental health nursing conduct disorder in childhood conduct disorder in hindi conduct disorder dsm 5 conduct disorder and oppositional defiant disorder conduct disorder in psychiatric</t>
  </si>
  <si>
    <t>wikipedia pronouse english words vocabulary dictionary medical2</t>
  </si>
  <si>
    <t>psychology abnormal psychology psychopathology conduct disorder disruptive impulse control disorders psychometrician</t>
  </si>
  <si>
    <t>Neurodevelopmental Disorder (Disease Or Medical Condition) Health (Industry)</t>
  </si>
  <si>
    <t>personality disorders odd personality disorder dramatic personality disorder anxious personality disorder practical psychology personality psychology borderline personality disorder avoidant obsessive compulsive histrionic antisocial narcissitic dependent 10 personality disorders personality disorder clusters</t>
  </si>
  <si>
    <t>disruptive disorders impulse control disorders conduct disorders abnormal psychology DSM-5 treatment psychopathology diagnosis</t>
  </si>
  <si>
    <t>What is conduct disorder Diagnostic and Statistical Manual DSM aggression to people and animals threatens intimidates physical fights physical cruelty stolen sexual activity fire destruction destroy property deceitfulness theft violations of rules run away truant clinically significant impairment antisocial personality disorder childhood onset type adolescent onset type unspecified onset limited pro-social emotions</t>
  </si>
  <si>
    <t>telepsychiatry impireum psychiatric practice impireum online therapy mental health impireum houston impireum texas</t>
  </si>
  <si>
    <t>ODD ADHD Child with ADHD child mental health mental health awareness conduct disorder childrens charity mental health film Attention Deficit and Hyperactivity Disorder oppositional disorder Oppositional Defiant Disorder behavioural problem mental health</t>
  </si>
  <si>
    <t>USMLE COMLEX Step Boards Mnemonics High Yield DirtyUSMLE Insomnia Appetite Concentration Psychology Neuroscience Neurology Biology Science Brain Mind Energy Physiology</t>
  </si>
  <si>
    <t>Mental Health Parents Megyn Kelly The TODAY Show TODAY Show TODAY NBC NBC News Celebrity Interviews TODAY Show Recipes Fitness Lifestyle TODAY Show Interview Ambush Makeover Kathie Lee and Hoda KLG and Hoda TODAY Original Matt Lauer Hoda Kotb Psychology Neuroscience Professor Conduct Disorders professor of psychology University of New Mexico Kent Kiehl conduct disorder diagnosis child bad behavior conduct disorder in children conduct disorder treatment</t>
  </si>
  <si>
    <t>conduct disorders dsm dsm5 counseling counselor bipolar depression depressive mania manic hypomanic hypomania</t>
  </si>
  <si>
    <t>USMLE COMLEX Step Boards Mnemonics High Yield DirtyUSMLE Science Biology Medical School Med Student</t>
  </si>
  <si>
    <t>oppositional defiant disorder what is oppositional defiant disorder oppositional defiant disorder symptoms oppositional defiant disorder definition oppositional defiant disorder in children odd disorder</t>
  </si>
  <si>
    <t>child development early childhood sensory processing sensory integration echolalia hand flapping developmental delay developmental disorder special needs Autism Down syndrome church curriculum challenging behaviorspecial needs special needs ministry ADHD Asperger's ODD oppositional defiant disorder</t>
  </si>
  <si>
    <t>Dawn Elise Snipes Cheap CEUs NCMHCE unlimited ceus hpcsa crcc lcsw ceus lcdc ceus lmft ceus lmhc ceus ce broker addiction ceus LADC CEU counseling techniques counseling skills online counseling yt:cc=on donnelly snipes doc snipes counselor education mental illness cognitive behavioral certificate programs counselor certification online course oppositional defiant disorder conduct disorder intermittent explosive disorder impulse control disorder</t>
  </si>
  <si>
    <t>how to deal with oppositional defiant disorder how to discipline a child with oppositional defiant disorder how to handle oppositional defiant disorder how to deal with a child with oppositional defiant disorder how to deal with a child with odd Dr. Paul Jenkins Live On Purpose Live On Purpose TV</t>
  </si>
  <si>
    <t>what is oppositional defiant disorder how to deal with oppositional defiant disorder how to deal with a child with odd how to deal with a child with oppositional defiant disorder Dr. Paul Dr. Paul Jenkins Live On Purpose Live On Purpose TV</t>
  </si>
  <si>
    <t>ODD Oppositional Defiant Disorder Mental Health Behaviour Challenging Behaviour special needs</t>
  </si>
  <si>
    <t>oppositional defiant disorder ADHD and defiance discipline rules defiant kids oppositional defiant disorder in children ODD children with ODD ODD and ADHD</t>
  </si>
  <si>
    <t>TEDxTalks English United States Science (hard) Behavior Neuroscience Psychology Science</t>
  </si>
  <si>
    <t>kati morton treatment Oppositional Defiant Disorder (Disease Or Medical Condition) Mental Illness (Disease Or Medical Condition) Health (Industry) Depression (Symptom) Stress Parent-Child Interaction Training boundaries cognitive cognitive behavioral therapy Recovery</t>
  </si>
  <si>
    <t>childhood disorder psychopathy psychopath sociopathy sociopath narcissist narcissism antisocial personality antisocial personality disorder mental health mental health mental illness help kids children why signs symptoms medcircle psychology doctor interview discussion short film documentary educational videos educational videos video youtube</t>
  </si>
  <si>
    <t>happy family christian family parenting skills parenting raising children raising a family parenting videos happy family tips how to raise children parenting tips best parenting videos out of control teenagers mormon family parenting training parenting techniques teaching self-government Nicholeen Peck women organizations How To Discipline A Child With Oppositional Defiant Disorder ODD Oppositional Defiant Disorder</t>
  </si>
  <si>
    <t>yt:cc=on</t>
  </si>
  <si>
    <t>mental health channel mental health education dr tracey marks oppositional defiant disorder oppositional defiant disorder and adhd oppositional defiant disorder in adulthood</t>
  </si>
  <si>
    <t>existentialism philosophy of education existentialism existentialism philosophy philosophy of education philosophy what is existentialism in philosophy of education definition of existentialism principles of existentialism aims of education in existentialism concept of teacher in existentialism concept of student in existentialism teacher in existentialism student in existentialism</t>
  </si>
  <si>
    <t>how to improve English speaking how to improve communication skills communication skills in English English vocabulary English learning tips motivation career growth life skills how to improve soft skills how to improve personality</t>
  </si>
  <si>
    <t>km_20230515-1_1080p_24f_20230515_171445</t>
  </si>
  <si>
    <t>iMovie</t>
  </si>
  <si>
    <t>disruptive impulse control and conduct disorders psychological disorders class 12 psychology chapter 4 conduct disorders disruptive impulse control impulse control disorder impulse control disorders conduct disorders in children conduct disorder support what is conduct disorder impluse control impulse control disorder treatment disruptive impulse control and conduct disorder disruptive impulse control and conduct disorder class 12 disruptive disorders magnetbrains</t>
  </si>
  <si>
    <t>psychodynamic therapy therapeutic approaches class 12 psychology chapter 5 therapeutic approaches class 12 therapeutic approaches class 12 psychology therapeutic approaches in psychology class 12 psychology chapter 5 therapeutic approaches in hindi class 12 psychology in hindi steps in the formulation of a client's problem class 12 psychology class 12 chapter 5 psychology ch 5 class 12 magnet brains</t>
  </si>
  <si>
    <t>nature &amp; process of psychotherapy class 12 psychology chapter 5 therapeutic approaches therapeutic approaches class 12 psychology therapeutic approaches class 12 ch 5 class 12 psychology ch 5 ncert psychology class 12 psychology in hindi nature &amp; process of psychotherapy psychology class 12th ch 5 psychology class 12th chapter 5 ncert psychology psychology class 12 chapter 5 psychology ch 5 class 12 magnet brains</t>
  </si>
  <si>
    <t>relaxation procedures therapeutic approaches class 12 psychology chapter 5 therapeutic approaches class 12 therapeutic approaches class 12 psychology therapeutic approaches in psychology psychodynamic therapy class 12 psychology chapter 5 therapeutic approaches in hindi class 12 psychology in hindi relaxation procedures class 12 psychology class 12 chapter 5 psychology ch 5 class 12 magnet brains</t>
  </si>
  <si>
    <t>client-centred therapy and gestalt therapy class 12 psychology chapter 5 therapeutic approaches therapeutic approaches class 12 therapeutic approaches class 12 psychology therapeutic approaches in psychology humanistic - existential therapy class 12 psychology chapter 5 therapeutic approaches in hindi client-centred therapy and gestalt therapy class 12 psychology class 12 chapter 5 psychology ch 5 class 12 magnet brains</t>
  </si>
  <si>
    <t>therapeutic approaches introduction class 12 psychology chapter 5 therapeutic approaches class 12 psychology therapeutic approaches class 12 ch 5 class 12 psychology ch 5 ncert psychology class 12 psychology in hindi psychology class 12th ch 5 psychology class 12th chapter 5 ncert psychology psychology class 12 chapter 5 psychology ch 5 class 12 therapeutic approach magnet brains</t>
  </si>
  <si>
    <t>type of therapies therapeutic approaches class 12 psychology chapter 5 therapeutic approaches class 12 therapeutic approaches class 12 psychology therapeutic approaches in psychology psychological therpaies psychological therapies class 12 psychology chapter 5 therapeutic approaches in hindi class 12 psychology in hindi types of psychotherapies psychology class 12 chapter 5 psychology ch 5 class 12 magnet brains</t>
  </si>
  <si>
    <t>behaviour therapy therapeutic approaches class 12 psychology chapter 5 therapeutic approaches class 12 therapeutic approaches class 12 psychology therapeutic approaches in psychology psychodynamic therapy class 12 psychology chapter 5 therapeutic approaches in hindi class 12 psychology in hindi behaviour therapy class 12 psychology class 12 chapter 5 psychology ch 5 class 12 magnet brains</t>
  </si>
  <si>
    <t>substance related &amp; addictive disorders psychological disorders class 12 psychology chapter 4 chapter 4 class 12 psychology chapter 4 psychological disorders psychological disorders abnormality psychological disorders class 12th psychological disorders ch 4 ncert psychology class 12 chapter 4 psychology class 12th chapter 4 chapter 4 psychology class 12 psychological disorder in hindi psychology in hindi psychology class 12th ch 4 magnet brains</t>
  </si>
  <si>
    <t>feeding and eating disorders psychological disorders class 12 psychology chapter 4 feeding and eating disorders class 12 feeding and eating disorders in hindi eating disorders bulimia what is an eating disorder how to recover from an eating disorder how to help someone with an eating disorder eating and feeding disorders feeding disorders would you do eating disorder eating disorder resources magnet brains</t>
  </si>
  <si>
    <t>CDAD 11</t>
  </si>
  <si>
    <t>CDAD 08</t>
  </si>
  <si>
    <t>what is autism autism what is aspergers aspergers child development autism in children children with autism attention deficit add attention deficit disorder aspergers syndrome behavioral therapy Howcast disruptive behavior disorders</t>
  </si>
  <si>
    <t>CDAD 12</t>
  </si>
  <si>
    <t>CDAD 10</t>
  </si>
  <si>
    <t>conduct disorder tedx education ted x australia psychology ted talks ted talk ted tedx talk early conduct disorder tedxlaunceston antisocial personality ied intermittent explosive oppositional defiant disorder personality disorders mental health disorders mental health disruptive disorders impulse control disorders what is pathology (medical specialty) disease (cause of death) health (industry) social disorders childhood disorders tedx talks</t>
  </si>
  <si>
    <t>what is autism autism what is aspergers aspergers child development autism in children children with autism attention deficit add attention deficit disorder aspergers syndrome behavioral therapy Howcast oppositional defiant disorder</t>
  </si>
  <si>
    <t>childrens charity conduct disorder mental health child mental health teachers tips oppositional defiant disorder lets talk nip in the bud mental health symptoms AHDH mind advice for parents behavioural problems conduct disorder symptoms mental illness childrens mental illness school mindfulness temper tantrums teacher training How To Recognise Symptoms of does my child have conduct disorder signs of mental illness</t>
  </si>
  <si>
    <t>ASC Autism Parenting an autistic child Father Carers Dads with Autistic children Male carers Special needs children Parenting special needs</t>
  </si>
  <si>
    <t>CDAD 09</t>
  </si>
  <si>
    <t>what is autism autism what is aspergers aspergers child development autism in children children with autism attention deficit add attention deficit disorder aspergers syndrome cognitive behavioral therapy Howcast conduct disorder</t>
  </si>
  <si>
    <t>oppositional defiant disorder ODD conduct disorder CD antisocial personality disorder APD anger argumentative defiant behavior vindictiveness aggression destruction of property lying or stealing serious violations of rules grounds for arrest lying impulsivity irritability aggressiveness disregard for safety irresponsible lack of remorse childhood onset subtype with limited prosocial emotions counseling mental health antisocial oppositional personality disorder conduct</t>
  </si>
  <si>
    <t>kati morton conduct disorder bad behavior mental health psychology therapist author are u ok hachette books</t>
  </si>
  <si>
    <t>childrens Mental health early intervention how to get help senco schools parenting special needs</t>
  </si>
  <si>
    <t>psychiatry vap oppositional defiant disorder conduct disorder</t>
  </si>
  <si>
    <t>Trauma Grenfell Tower Childrens Mental Health PTSD Trauma in children</t>
  </si>
  <si>
    <t>Parent strategies for ODD ADHD Breakthrough Healing ODD ADHD diet livewithjoynow.com carolyn Carrara ADHD recovery healing ADHD with diet ADHD diets angry kids how do I help my angry child healing the gut how to heal the ADHD gut gut brain connection for adhd Take Control of ADHD Now elimination diet for ADHD best diet for ADHD holistic healing for ADHD can ADHD be healed? best foods for adhd healing anxiety in adhd parenting ADHD healing anger in kids</t>
  </si>
  <si>
    <t>ADHD Women with ADHD Black women with ADHD Neurodiverse non-neurotypical ADHD Babes Black Mental Health Black Mental Health Matters</t>
  </si>
  <si>
    <t>oppositional defiant disorder oppositional defiant disorder and adhd oppositional defiant disorder examples oppositional defiant disorder treatment oppositional defiant disorder teenager oppositional defiant disorder vs conduct disorder oppositional defiance conduct disorder</t>
  </si>
  <si>
    <t>autism dads caring ASC Special needs Parents of special needs children Fathers care Autism Spectrum condition Parenting Autism</t>
  </si>
  <si>
    <t>OCD PANS PANDAS Strep Throat Obsessive behaviour compulsive hand washing OCD in children onset of child anxiety child mental health</t>
  </si>
  <si>
    <t>eating disorder anorexia bulemia AFRID children with eating disorder childhood eating disorders</t>
  </si>
  <si>
    <t>boys and anorexia anorexia nervosa eating disorders my son has anorexia ARFID</t>
  </si>
  <si>
    <t>what is autism autism what is aspergers aspergers child development autism in children children with autism attention deficit add attention deficit disorder aspergers syndrome cognitive behavioral therapy Howcast fighting and biting</t>
  </si>
  <si>
    <t>Health (Industry) Medicine (Field of Study) Disease (Cause of Death) Osmosis Pathology (Medical Specialty) what is nursing (field of study) Nursing school (organization) Insomnia Sleep disorders Mental disorders Mental health Psychological disorders Sleep Sleeping trouble sleeping sleeping problems</t>
  </si>
  <si>
    <t>what is autism autism what is aspergers aspergers child development autism in children children with autism attention deficit add attention deficit disorder aspergers syndrome cognitive behavioral therapy Howcast depression symptoms</t>
  </si>
  <si>
    <t>what is autism autism what is aspergers aspergers child development autism in children children with autism attention deficit add attention deficit disorder aspergers syndrome cognitive behavioral therapy Howcast bipolar disorder</t>
  </si>
  <si>
    <t>what is autism autism what is aspergers aspergers child development autism in children children with autism attention deficit add attention deficit disorder aspergers syndrome cognitive behavioral therapy Howcast social anxiety</t>
  </si>
  <si>
    <t>CDAD 13</t>
  </si>
  <si>
    <t>CDAD 14</t>
  </si>
  <si>
    <t>CDAD 04</t>
  </si>
  <si>
    <t>CDAD 05</t>
  </si>
  <si>
    <t>#anorexianervosa #bulimia #eatingdisorders</t>
  </si>
  <si>
    <t>obesophobia obesophobia pronunciation obesity obesity documentary obesity in america obesity epidemic obesity is a national security issue obesity is a choice obesity and corporate greed obesity code obesity exercise lose weight obesity code dr jason fung obesity national security obesity in america documentary obesity uk obesity song obesity debate obesity and obesity and diabetes obesity and lag obesity and insulin resistance obesity and cancer</t>
  </si>
  <si>
    <t>Nighttime urination Nocturia Sleep disruptions Health Wellness Medical conditions Aging Urinary tract infections Overactive bladder Enlarged prostate Vasopressin Hormonal changes Lifestyle changes Medications Desmopressin Anticholinergics Transurethral resection of the prostate Treatment options Causes Symptoms Sleep quality Restful sleep Fatigue Daytime sleepiness Dehydration Fluid intake Caffeine Alcohol Bladder health Prostate health</t>
  </si>
  <si>
    <t>Ankle arthritis Arthritis treatment Joint pain Foot pain Rheumatoid arthritis Osteoarthritis Ankle pain relief Ankle exercises Joint health Pain management Mobility Physical therapy Bracing Injections Surgery Joint replacement Arthritis symptoms Arthritis causes Chronic pain Health and wellness Fitness Lifestyle modifications Rehabilitation Self-care Nutrition Weight management Coping with pain Overcoming arthritis Alternative therapies Holistic health</t>
  </si>
  <si>
    <t>wikipedia pronouse english words vocabulary dictionary</t>
  </si>
  <si>
    <t>Christian counseling Somatic disorders Eating Disorders conduct disorders DSM5</t>
  </si>
  <si>
    <t>Christian Counseling addictions DSM5 alcohol drugs</t>
  </si>
  <si>
    <t>#ProfMTHANGADARWIN What is Conduct Disorder? What is Oppositional Defiant Disorder? What are the Difference between Conduct Disorder and Oppositional Defiant Disorder?</t>
  </si>
  <si>
    <t>Business Intelligence Business Analytics Big Data</t>
  </si>
  <si>
    <t>gravimetric Analyticalmethod science feu feumanila doctor medtech chemist equilibrium biostatistics Epidemiology Jekel's book disease occurrence risk factors study designs incidence rate prevalence rate mortality rate observational studies case-control studies cohort studies.</t>
  </si>
  <si>
    <t>ETSU East Tennessee State University (College/University) Dr. Michael Burford Social Work Clinical Psychology (Field Of Study) Mental Health (Field Of Study) existential theory Disruptive Impulse Control Conduct Disorders Impulse Control Disorder (Disease Or Medical Condition) Conduct Disorder (Disease Or Medical Condition) Health (Industry) SOWK 5430</t>
  </si>
  <si>
    <t>CDAD 03</t>
  </si>
  <si>
    <t>CDAD 02</t>
  </si>
  <si>
    <t>ETSU East Tennessee State University (College/University) Dr. Michael Burford Social Work Clinical Psychology (Field Of Study) Mental Health (Field Of Study) existential theory Disruptive Impulse Control Conduct Disorders Impulse Control Disorder (Disease Or Medical Condition) Conduct Disorder (Disease Or Medical Condition) Schizophrenia (Disease Or Medical Condition) Psychosis (Disease Or Medical Condition) Spectrum Disorder Medicine (Field Of Study) SOWK 5430</t>
  </si>
  <si>
    <t>CDAD 01</t>
  </si>
  <si>
    <t>Notes Of Types Of Schizophrenia in Mental Health Nursing (Psychiatric) in Hindi.</t>
  </si>
  <si>
    <t>Notes Of Dementia (Organic Brain Disorder) in Mental Health Nursing (Psychiatric) in Hindi.</t>
  </si>
  <si>
    <t>Notes of TIC Disorder (Tourette 's Syndrome) in Hindi in Mental Health Nursing (Psychiatric).</t>
  </si>
  <si>
    <t>education edtech primary management teacher training teaching learning online learning Professional learning CPD development learningapp educationmatters secondary instructional coaching coaching</t>
  </si>
  <si>
    <t>Prepare for prevent radicalisation</t>
  </si>
  <si>
    <t>Digital Language Education Language Education Language Learning Digital Teaching Fit4DigiLinE fit4digiline Online teaching Online language teaching online language learning</t>
  </si>
  <si>
    <t>education edtech behaviour management teacher training teaching learning online learning Professional learning CPD development learningapp educationmatters bfl secondary key stage 3 key stage 4</t>
  </si>
  <si>
    <t>childrens Mental health early intervention how to get help senco schools parenting special needs EHCP CAMHS educational psychologist Education Health &amp; Care Plan</t>
  </si>
  <si>
    <t>yt:cc=on anxiety anxious</t>
  </si>
  <si>
    <t>Animated Clip Animated Presentation Animated Videos Explainer video Free Presentation software Free animation software Make your own animation PowToon Presentation software</t>
  </si>
  <si>
    <t>Conference Business Economics Marketing Finance Banking and Accounting Information Technology Logistics Supply Chain Management Human Resources Management Hospitality Tourism Management Growth Economic Development Globalisation International Trade Education Teaching Business management Retail marketing Business Analytics Knowledge Green Accounting Risk Assessment Taxation and Auditing Climate Finance Digital Finance</t>
  </si>
  <si>
    <t>Health (Industry) Medicine (Field of study) Disease (Cause of Death) Osmosis Pathology (Medical Speciality) What is nursing (field of study) Nursing school (organization) ADHD ADD Dopamine Adderall Rifalin Psychostimulants Behavioural Psychotherapy Disruptive disorder DIC Mental health Mental health disorders Personality disorders Oppositional defiant disorders ODD Intermittent explosive IED Antisocial personality disorder</t>
  </si>
  <si>
    <t>dizziness causes dizziness (symptom) benign paroxysmal positional vertigo benign paroxysmal positional vertigo (disease or medical condition) positional vertigo home inner ear dizzy common cause of dizziness balance crystals in your head epley maneuver for vertigo vertigo treatment at home what are the symptoms of vertigo how to treat vertigo how to get rid of vertigo vertigo exercises bob and brad vertigo exercises at home Knowledgemadnoob knowledge madnoob</t>
  </si>
  <si>
    <t>achilles tendonitis achilles tendonitis treatment achilles tendinopathy physical therapy achilles tendon pain achilles tendonitis stretches achilles tendon injury achilles tendonitis exercises achilles tendon massage causes of achilles tendinitis how to fix achilles best treatment for achilles pain achilles heel pain exercises Knowledgemadnoob knowledge madnoob</t>
  </si>
  <si>
    <t>pelvic pain pelvic health and rehabilitation center pelvic rehabilitation medicine pelvic pain causes male pelvic pain pelvic floor medical videos for nurses irritable bowel syndrome pain depression and pelvic floor pain early signs of pelvic pain what is pelvic pain pelvic pain in women pelvic pain and intercourse pelvic pain and sex painful periods medical term pelvic pain in back</t>
  </si>
  <si>
    <t>testicular torsion testicular torsion (disease or medical condition) testicular pain testicular cancer signs of testicular cancer testicle pain (symptom) testicular cancer causes pelvic health men's health testicle pain scrotum pain urinary and kidney problems urology care podcast: testicular pain 101 epididymis and spermatic cord pain with sex in men testicular cancer (disease or medical condition) Knowledgemadnoob knowledge madnoob</t>
  </si>
  <si>
    <t>photos that will reveal your phobias what phobia do you have find out your phobias what is my secret phobia fear of sharp things types of phobias how to speak phobia of corners subconcious mind power deepest fears phobia test weird phobias strange phobias extreme phobias weirdest phobia</t>
  </si>
  <si>
    <t>What causes a fishy smell in vagina?? women's health bacterial vaginosis treatment sexually transmitted diseases yeast infection symptoms bacterial vaginosis (disease or medical condition) is bacterial vaginosis a sexually transmitted infection? boric acid suppositories for bv natural remdies for bv how to treat bv natural cure for bv how to cure bv naturally how to cure bv at home get rid of bv Knowledgemadnoob knowledge madnoob</t>
  </si>
  <si>
    <t>tonsils and adenoids removal tonsillectomy and adenoidectomy video obstructive sleep apnea pediatrics (medical specialty) adenoid removal adenoid surgery nasal obstruction adenoidectomy video how is adenoid removed surgery to remove adenoid nasal congestion (disease or medical condition) chronic obstructive pulmonary disease (disease or medical condition) day in the life adenoid surgery Knowledgemadnoob knowledge Madnoob</t>
  </si>
  <si>
    <t>adhesion (disease or medical condition) abdominal adhesions and bowel obstruction abdominal adhesions after tummy tuck abdominal adhesions without prior surgery abdominal adhesions after hernia repair adhesions in between in gut loops and abdominal organs. abdominal adhesions symptoms abdominal adhesions massage abdominal adhesions diet pelvic inflammatory disease Knowledgemadnoob knowledge madnoob</t>
  </si>
  <si>
    <t>male infertility obstructive azoospermia azoospermia treatment nil sperm count causes of non-obstructive azoospermia male infertility causes causes of infertility in men causes of male infertility causes of non-obstructive azoospermia (noa) treatment of non-obstructive azoospermia difference between obstructive and non-obstructive azoospermia is it possible to cure azoospermia naturally azoospermia- meaning causes treatment zero sperm count meaning Knowledgemadnoob</t>
  </si>
  <si>
    <t>Mental Health Parents Megyn Kelly The TODAY Show TODAY Show TODAY NBC NBC News Celebrity Interviews TODAY Show Recipes Fitness Lifestyle TODAY Show Interview Ambush Makeover Kathie Lee and Hoda KLG and Hoda TODAY Original Concerns Children Brain Disorders Dawn Davies Mothers of Sparta dawn davies mothers of sparta conduct disorder conduct disorder in children conduct disorder treatment children with mental disorders children with mental illness</t>
  </si>
  <si>
    <t>Consciousness exploration Human mind and experience Philosophy of consciousness Neuroscience of consciousness Mysteries of the mind Understanding perception Consciousness and reality The science of awareness Unlocking the secrets of the brain Consciousness and spirituality</t>
  </si>
  <si>
    <t>Finance Technology Life Skills</t>
  </si>
  <si>
    <t>AbnormalPsychology abnormal behavior thoughts feelings Psychology Topics PsychologyTopicsByrafi</t>
  </si>
  <si>
    <t>Psychology PsychologyTopicsByRafi attention memory language problem-solving decision-making process and retrieve information from the environment and how this information affects behavior. Cognitive psychology childhood trauma on adult mental health addiction and recovery mindfulness meditation individual behavior and attitudes job satisfaction and career success role of sleep mental health well-being impact of social media self-esteem body image meditation stress</t>
  </si>
  <si>
    <t>Lady Psychologist psychology mental health awareness funny easy recipies home made remedies editing poetry whatsapp status videos recipies remedies psychological issues psychological treatment mind brain Lady_Psychologist youtubeshorts youtubechannel youtubevideoviral contentcreator comedy_video shorts shortvideo shortsfeed fyp foryou follow foryoupage funnyvideo minivlogshorts memes nocopyrightmusic newvideo typesofpsychology branchesofpsychology definitions brieflyexplained</t>
  </si>
  <si>
    <t>#counsellingadolescentsfortheircarrierandpersonalproblems #educationalvideo #educationalyoutubevideo #educationalytvideo #adolescence #counselling #bednotes #viraleducationalvideo #motivationalvideo #trendingeducationalvideo #bednotesvideo #pritideogam #mahilacollegechaibasa #bedsemesternotes #adolescenceneed #kishorawastha #kishorawasthakiawasakta</t>
  </si>
  <si>
    <t>neurodevelopmental Disorder in dsm 5 neurodevelopmental Disorder Introduction of neurodevelopmental Disorder main characteristics of Neurodevelopmental disorder main causes of neurodevelopmental disorder main disorder of neurodevelopmental the learning point YouTube video viral</t>
  </si>
  <si>
    <t>VaginalBumps VaginalLumps MountElizabethGynae MountElizabethNovenaGynae</t>
  </si>
  <si>
    <t>sexual health fungal infection how to cure jock itch jock itch home treatment what is jock itch itchy private parts dry skin penis itchy genitals dry itchy penile rash how to cure jock itch in men itchiness in genital area rash on penis penis health crème jock itch symptoms Knowledgemadnoob knowledge Madnoob</t>
  </si>
  <si>
    <t>Gynaec Problems Itchy Clitoris Yeast Infection Scabies Estrogen Cream clitoris average size of clitoris what is the meaning of clitoral hood reduction vaginal itching pain in clitorus what's causing itchy bumps near my vagina sharp pain in clitorus area clitoride Clitoris Itching: Main Causes itchy clitorus during early pregnancy stabbing pain in clitorus swollen clitorus during early pregnancy hurts when i wipe myself</t>
  </si>
  <si>
    <t>testicular cancer testicularcancer cancer testicles testicularexam balls</t>
  </si>
  <si>
    <t>dissociative disorders dissociative disorders in hindi dissociative disorders examples dissociative disorders video dissociative disorders symptoms dissociative disorders crash course dissociative disorders ppt dissociative disorders causes dissociative amnesia dissociative identity disorder knowledgemadnoob knowledge madnoob world mental health day 2020 dissociative fugue dissociative Amnesia Dissociative disorder dissociative amnesia example</t>
  </si>
  <si>
    <t>Treatment Supports Services Professionals Care Planning FASD Risks fetal alcohol spectrum disorder syndrome</t>
  </si>
  <si>
    <t>Alberta Government</t>
  </si>
  <si>
    <t>Government of Alberta</t>
  </si>
  <si>
    <t>photography podcast photography tips photography tutorial film photography digital photography wedding photography nft photography canadian photographer street photography exposure therapy learn photography picture this photography podcast oh shoot photography podcast raw talk photography podcast 2023 photography podcast wrighteye photography tim arnold nature landscape photography</t>
  </si>
  <si>
    <t>sturgeon lake fire alberta fire wildfires alberta canada alberta canada cree nation sturgeon lake cree nation summer fires podcast</t>
  </si>
  <si>
    <t>lehigh county lehigh valley adult aging office services elder abuse older resident senior report how to assistance instructions what to do pennsylvania government resources</t>
  </si>
  <si>
    <t>Calgary Edmonton Red Deer Leathbridge Medicine Hat fort mcmurray Banff Jasper Coachrene Airdrie okotoks chestermere Moving to Calgary Moving to Edmonton Moving Moving to Alberta</t>
  </si>
  <si>
    <t>RamSoft PACS RIS pacs ris picture archiving and communication system What is pacs how pacs systems works what is ris what is pacs what is mimps pacs architecture pacs and ris pacs fundamentals pacs imaging system pacs in radiology pacs medical imaging pacs means pacs radiology system pacs radiology pacs workstation pacs system radiology pacs system pacs software pacs server pacs viewer pacs vs ris pacs workflow how pacs works pacs in hospital</t>
  </si>
  <si>
    <t>FASD Addiction Supports Mental Health Services Awareness fetal alcohol spectrum disorder syndrome</t>
  </si>
  <si>
    <t>Notes Of Mental Retardation (Chapter 11) in Mental Health Nursing in Hindi.</t>
  </si>
  <si>
    <t>#Personalitydisorders #Psychiatry #learnwithjenny</t>
  </si>
  <si>
    <t>conduct disorder cnduct condct oppositional defiant disorder child psychiatry</t>
  </si>
  <si>
    <t>Short cases in psychiatry Illness Anxiety Disorder</t>
  </si>
  <si>
    <t>Suicide Risk Suicide Intent Suicide risk assessment</t>
  </si>
  <si>
    <t>motor system neurology</t>
  </si>
  <si>
    <t>Psychiatry Viva Psychiatry OSCE Psychiatry PG Viva Psychiatry Exam</t>
  </si>
  <si>
    <t>psychiatry interview psychiatry pg interviewing psychiatry history taking</t>
  </si>
  <si>
    <t>GAD Generalized Anxiety Disorder</t>
  </si>
  <si>
    <t>Registered Nurse RN Pharmacology Cathy Parkes RN Nursing pharmacology Pharm Lithium bipolar psych mental health SSRI Mental health pharmacology SNRI Antidepressants Norepinephrine dopamine serotonin pathophysiology psych meds mental health meds NCLEX HESI ATI Level up RN Osmosis Khan academy</t>
  </si>
  <si>
    <t>catatonia catatonia psychiatry catatonia signs catatonia features busch francis scale</t>
  </si>
  <si>
    <t>HABIT DISORDERS IMPULSE CONTROL IPLSE CONTROL IMPULSE CTRL</t>
  </si>
  <si>
    <t>attention deficit hyperactivity disorder adhd add attention deficit disorder attention deficit hyperactivity disorder explained understanding attention deficit hyperactivity disorder Attention deficit hyperactivity disorder treatment Attention deficit hyperactivity disorder symptoms Attention deficit hyperactivity disorder dsm 5 Attention deficit disorder symptoms Attention deficit disorder treatment ADHD symptoms ADHD diagnosis ADHD medication ADHD Explained</t>
  </si>
  <si>
    <t>psychiatry psychopathology DSM diagnosis medicine medical school mnemonics study aids study aid usmle step 1 step 2 step 3 brain depression bipolar schizophrenia addiction substance anxiety panic OCD PTSD borderline antisocial dissociation somatoform factitious malingering anorexia bulima eating disorders autism ADHD tic Tourette dementia Alzheimer’s delirium</t>
  </si>
  <si>
    <t>Health (Industry) Medicine (Field of Study) Disease (Cause of Death) Osmosis Pathology (Medical Specialty) what is nursing (field of study) Nursing school (organization) Tic disorders Tics Tourette's syndrome Tourette's disorder Persistent vocal motor tic disorder Provisional tic disorder DSM-V Mental health disorders Mental health Disorders</t>
  </si>
  <si>
    <t>Health (Industry) Medicine (Field Of Study) Internal Medicine (Medical Specialty) Health Care (Industry) Health Care Provider (Profession) Pharmaceutical Drug (Medical Treatment) Pharmaceutical Industry (Industry) neurocognitive disorders Psychiatry (Medical Specialty) Alzheimer's dementia delirium amnesia cognitive disorders psychology abnormal psychology new drugs physicians health insurance medical education disease biomedical</t>
  </si>
  <si>
    <t>case conceptualization cbt treatment planning clinical psychology treatment</t>
  </si>
  <si>
    <t>#medicalknowledgeonline To define conduct and conduct disorders To describe the various causes of conduct To discuss the types To enumerate the signs and symptoms To Enlist the diagnostic evaluation To discuss the treatment modalities for conduct disorders To Describe the nursing care of child with conduct</t>
  </si>
  <si>
    <t>#medicalknowledge</t>
  </si>
  <si>
    <t>#medicalknowledgeonline What is Pulled Muscle ? What is Pinched Nerve ? What are the difference between Pulled Muscle and Pinched Nerve ?</t>
  </si>
  <si>
    <t>#medicalknowledgeonline TO STUDY THE MENTAL HEALTH ACT</t>
  </si>
  <si>
    <t>disruptive impulse-control conduct disorders diagnosis diagnose dsm dsm5 counseling counselor</t>
  </si>
  <si>
    <t>psychopathology diagnosis history dsm dsm-5-tr counselor counseling</t>
  </si>
  <si>
    <t>Schizophrenia Spectrum Disorders schizo schizoid diagnosis dsm dsm-5 dsm-5-tr counseling counselor</t>
  </si>
  <si>
    <t>dsm5 counseling counselor bipolar anxiety anxious ocd obsessiive obsessive hoarding disorder diagnosis Separation Anxiety Disorder Selective Mutism Specific Phobia Social Anxiety Disorder Social Phobia Panic Disorder Panic Attack Agoraphobia Generalized Anxiety Disorder</t>
  </si>
  <si>
    <t>dsm5 counseling counselor bipolar anxiety anxious ocd obsessiive obsessive hoarding disorder diagnosis Body Dysmorphic Disorder Obsessive-Compulsive Trichotillomania Excoriation medical</t>
  </si>
  <si>
    <t>schizoaffective schizoaffective disorder</t>
  </si>
  <si>
    <t>psychiatry mental status exam mse psychiatric interview psychology medical school medicine shelf lecture psychiatry lecture psychiatry shelf psychiatry shelf review</t>
  </si>
  <si>
    <t>kati morton depression story kati morton depression am I lazy am I depressed am I depressed or just sad am I depressed or just lazy am I lazy or depressed am I lazy or adhd am I lazy or tired am I lazy or burned out am I lazy or burnt out am I burned out or depressed am I burnt out or depressed am I burnt out or lazy am I burned out or lazy am I burnt out how to tell if youre lazy how to tell if youre depressed depression symptoms am I depressed or lazy</t>
  </si>
  <si>
    <t>kati morton kati morton controversy kati morton adhd adhd information adhd signs adhd signs and symptoms adhd signs adulthood do I have adhd attention deficit hyperactivity disorder what is adhd how to know if you have adhd adhd symptoms adhd symptoms in women adhd symptoms in men adhd symptoms in adulthood adhd signs in women adhd signs in teenagers add signs and symptoms do I have add attention deficit disorder how to adhd adhd and impulsivity</t>
  </si>
  <si>
    <t>bipolar disorder mental health mental illness mania manic depression 360 video</t>
  </si>
  <si>
    <t>Health (Industry) Medicine (Field of Study) Disease (Cause of Death) Osmosis Pathology (Medical Specialty) what is nursing (field of study) Nursing school (organization) Delirium Dementia Mental disturbance neuropsychiatric condition</t>
  </si>
  <si>
    <t>McMaster University Demystifying Medicine TikTok social media behavioural addictions DSM-5 brain reward pathway dopamine psychosocial interventions medication psychology</t>
  </si>
  <si>
    <t>McMaster University Demystifying Medicine Tumour Cancer Teratoma Monster Tumour Cancer Biology</t>
  </si>
  <si>
    <t>McMaster University Demystifying Medicine</t>
  </si>
  <si>
    <t>McMaster University Demystifying Medicine menarche period menstruation global health BMI developmental factors nutrition stress toxins breast cancer ovarian cancer depression anxiety diabetes decline</t>
  </si>
  <si>
    <t>McMaster University Demystifying Medicine Caffeine alcohol university students</t>
  </si>
  <si>
    <t>impireum houston mental health telepsychiatry impireum psychiatric practice online therapy impireum impireum texas</t>
  </si>
  <si>
    <t>online therapy impireum psychiatric practice impireum houston impireum texas impireum telepsychiatry mental health</t>
  </si>
  <si>
    <t>impireum psychiatric practice impireum houston online therapy telepsychiatry impireum impireum texas mental health</t>
  </si>
  <si>
    <t>Megyn Kelly Megyn Megyn Kelly Show The Megyn Kelly Show megyn kelly megyn kelly show megyn kelly on megyn kelly vs megyn kelly reacts megyn kelly interviews megyn kelly full show megyn kelly full podcast megyn kelly full episode the megyn kelly show megyn kelly news full megyn kelly</t>
  </si>
  <si>
    <t>Conduct Disorders in Children oppositional defiant disorder signs of conduct disorder does my child have conduct disorder disturbed child angry child childhood anger mental health childrens mental health child mental illness mental health support conduct disorder support tips for teachers teacher training what is conduct disorder what is oppositional defiant disorder childrens charity nip in the bud ODD children yt:cc=on</t>
  </si>
  <si>
    <t>self harm recovery self injury children's Mental health depression anxiety stop suicide safe space safe reporting saves lives suicide prevention survival reduce lethal means seek help</t>
  </si>
  <si>
    <t>ODD OPPOSITIONAL DEFIANCE DISORDER PEDIATRICS PRIMARY CARE PEDIATRICIAN CHILD MENTAL HEALTH BEHAVIOR PROBLEMS</t>
  </si>
  <si>
    <t>ABeautifulMindClinic</t>
  </si>
  <si>
    <t>Malika Andrews - ESPN</t>
  </si>
  <si>
    <t>NPR Music</t>
  </si>
  <si>
    <t>Ghost</t>
  </si>
  <si>
    <t>(G)I-DLE (여자)아이들 (Official YouTube Channel)</t>
  </si>
  <si>
    <t>Netflix</t>
  </si>
  <si>
    <t>Clash of Clans</t>
  </si>
  <si>
    <t>Let's Game It Out</t>
  </si>
  <si>
    <t>Marques Brownlee</t>
  </si>
  <si>
    <t>Architectural Digest</t>
  </si>
  <si>
    <t>Walt Disney Studios</t>
  </si>
  <si>
    <t>Skip and Shannon: UNDISPUTED</t>
  </si>
  <si>
    <t>Shakira</t>
  </si>
  <si>
    <t>TODAY</t>
  </si>
  <si>
    <t>Dr. Todd Grande</t>
  </si>
  <si>
    <t>Markiplier</t>
  </si>
  <si>
    <t>Practical Engineering</t>
  </si>
  <si>
    <t>Incognito Mode</t>
  </si>
  <si>
    <t>TEDx Talks</t>
  </si>
  <si>
    <t>Online Nursing Classes</t>
  </si>
  <si>
    <t>Nursing Notes</t>
  </si>
  <si>
    <t>Simple Nursing</t>
  </si>
  <si>
    <t>jibi sebastian</t>
  </si>
  <si>
    <t>Medico Tannu</t>
  </si>
  <si>
    <t>MadMedicine</t>
  </si>
  <si>
    <t>TTUHSC EL PASO</t>
  </si>
  <si>
    <t>Demystifying Medicine McMaster</t>
  </si>
  <si>
    <t>Memorable Psychiatry and Neurology</t>
  </si>
  <si>
    <t>Medical Centric</t>
  </si>
  <si>
    <t>khanacademymedicine</t>
  </si>
  <si>
    <t>Rhesus Medicine</t>
  </si>
  <si>
    <t>Healthy Morning On HSTV</t>
  </si>
  <si>
    <t>botcaster bot</t>
  </si>
  <si>
    <t>BonnieandThomasLiotta</t>
  </si>
  <si>
    <t>Psych and Chill</t>
  </si>
  <si>
    <t>Dr. Charles F. Shepard</t>
  </si>
  <si>
    <t>Viktor Burlaka</t>
  </si>
  <si>
    <t>Practical Psychology</t>
  </si>
  <si>
    <t>Elizabeth L. Jeglic Ph.D.</t>
  </si>
  <si>
    <t>Impireum</t>
  </si>
  <si>
    <t>Nip in the Bud</t>
  </si>
  <si>
    <t>Dirty Medicine</t>
  </si>
  <si>
    <t>UConn mHealth</t>
  </si>
  <si>
    <t>Osmosis from Elsevier</t>
  </si>
  <si>
    <t>Jen Joyce Ackerson</t>
  </si>
  <si>
    <t>NMC- Levine Scholar Program</t>
  </si>
  <si>
    <t>ADDitude Magazine</t>
  </si>
  <si>
    <t>MedCircle</t>
  </si>
  <si>
    <t>Phycology Topics</t>
  </si>
  <si>
    <t>Learning with Aditya_Goswami0.2</t>
  </si>
  <si>
    <t>Building Resilience In Children</t>
  </si>
  <si>
    <t>Magnet Brains</t>
  </si>
  <si>
    <t>Nicholeen Peck - Teaching Self Government</t>
  </si>
  <si>
    <t>Chirp</t>
  </si>
  <si>
    <t>Doc Snipes</t>
  </si>
  <si>
    <t>Live On Purpose TV</t>
  </si>
  <si>
    <t>Practical Behaviour Solutions</t>
  </si>
  <si>
    <t>Kati Morton</t>
  </si>
  <si>
    <t>Dr. Tracey Marks</t>
  </si>
  <si>
    <t>Happy Nursing</t>
  </si>
  <si>
    <t>CBS News</t>
  </si>
  <si>
    <t>Yogi's NURSING- NEST</t>
  </si>
  <si>
    <t xml:space="preserve">aai maji kalubai </t>
  </si>
  <si>
    <t>Tumpa roy</t>
  </si>
  <si>
    <t>Nita Arvind</t>
  </si>
  <si>
    <t>Sitara Dewan</t>
  </si>
  <si>
    <t>kishu</t>
  </si>
  <si>
    <t>KEERTHANA'S English club.</t>
  </si>
  <si>
    <t>0014 Ankita Gujran</t>
  </si>
  <si>
    <t>naughtynehavlogs</t>
  </si>
  <si>
    <t>Sneha Dongare</t>
  </si>
  <si>
    <t>Devnandha'</t>
  </si>
  <si>
    <t>ASHLEX</t>
  </si>
  <si>
    <t>Learning in 10</t>
  </si>
  <si>
    <t>Triumphant Nation Lagos City Church</t>
  </si>
  <si>
    <t>Paul Bolin, M.D.</t>
  </si>
  <si>
    <t>Howcast</t>
  </si>
  <si>
    <t>Mayank Study Hub</t>
  </si>
  <si>
    <t>OnlineCEUCredit</t>
  </si>
  <si>
    <t>Steve Sweder</t>
  </si>
  <si>
    <t>Hennessey Lustica</t>
  </si>
  <si>
    <t>School of Psychology by Sakshi Kohli</t>
  </si>
  <si>
    <t>YourAlberta</t>
  </si>
  <si>
    <t>Ready Study Go</t>
  </si>
  <si>
    <t>Michael</t>
  </si>
  <si>
    <t>المعلم النفسي Psychiatric Teacher</t>
  </si>
  <si>
    <t>Dr. Aaron Norton</t>
  </si>
  <si>
    <t>official mdw</t>
  </si>
  <si>
    <t>Tiara Arzhika Nurfaddilah</t>
  </si>
  <si>
    <t>Narwastu Vivaldi Galant</t>
  </si>
  <si>
    <t>051_Gita Aulia</t>
  </si>
  <si>
    <t>oviana lintang</t>
  </si>
  <si>
    <t>Sri Suciana</t>
  </si>
  <si>
    <t>Hary Hidayatullah</t>
  </si>
  <si>
    <t>Kiranty nh</t>
  </si>
  <si>
    <t>BAPELKES PROVINSI SULAWESI TENGAH</t>
  </si>
  <si>
    <t>Carolyn Carrara-Live With Joy Now-ADHD Recovery</t>
  </si>
  <si>
    <t>Thriving with Richard Bass</t>
  </si>
  <si>
    <t>MultiplicityAndMe</t>
  </si>
  <si>
    <t>A2Z OF HEALTH</t>
  </si>
  <si>
    <t>MAMI Global Network</t>
  </si>
  <si>
    <t>Hunger Solutions New York</t>
  </si>
  <si>
    <t>National Institute of Mental Health (NIMH)</t>
  </si>
  <si>
    <t>Youtube Dictionary</t>
  </si>
  <si>
    <t>RARE.™️</t>
  </si>
  <si>
    <t>The Radiographer</t>
  </si>
  <si>
    <t>Troy Reiner</t>
  </si>
  <si>
    <t>Séminaires CESP Villejuif</t>
  </si>
  <si>
    <t>Prof . M.THANGA DARWIN</t>
  </si>
  <si>
    <t>Dr. Nasar Khan</t>
  </si>
  <si>
    <t>Share IT</t>
  </si>
  <si>
    <t>Garry Xie</t>
  </si>
  <si>
    <t>erickricardo guerrerodaquilema</t>
  </si>
  <si>
    <t>Clemon Joseph</t>
  </si>
  <si>
    <t>Aditya Sharma</t>
  </si>
  <si>
    <t>Ahmad Shaharudin Abdul Latiff</t>
  </si>
  <si>
    <t>ISCTE Conhecimento &amp; Inovação</t>
  </si>
  <si>
    <t>Cornell International Arbitration Society</t>
  </si>
  <si>
    <t>Professor K Analyzes</t>
  </si>
  <si>
    <t>Beverly Rodgers</t>
  </si>
  <si>
    <t>Lenzie San</t>
  </si>
  <si>
    <t>ETSU Online</t>
  </si>
  <si>
    <t>Family Trauma Solutions with Dr. Scott Sells</t>
  </si>
  <si>
    <t>A moment in the Word  Galveston Texas</t>
  </si>
  <si>
    <t>Mark Barney</t>
  </si>
  <si>
    <t>Central Schwenkfelder Church</t>
  </si>
  <si>
    <t>SSS Learning</t>
  </si>
  <si>
    <t>Society for the Study of Addiction</t>
  </si>
  <si>
    <t>BlueSky Learning</t>
  </si>
  <si>
    <t>West Yorkshire Trading Standards</t>
  </si>
  <si>
    <t>NWL LCNP</t>
  </si>
  <si>
    <t>UCLxLSE Nudgeathon</t>
  </si>
  <si>
    <t>Maria Evans</t>
  </si>
  <si>
    <t>Digital Language Teaching -Fit4DigiLinE-</t>
  </si>
  <si>
    <t>Complete Careers LLP</t>
  </si>
  <si>
    <t>Civitas Strategies</t>
  </si>
  <si>
    <t>How to ADHD</t>
  </si>
  <si>
    <t>The Carter-Jenkins Center</t>
  </si>
  <si>
    <t>stratpsych</t>
  </si>
  <si>
    <t>Glen Killian</t>
  </si>
  <si>
    <t>New Glory Ministries</t>
  </si>
  <si>
    <t>LifeSong Christian Church</t>
  </si>
  <si>
    <t>Jeff Lesher</t>
  </si>
  <si>
    <t>Elite Legacy Coaching</t>
  </si>
  <si>
    <t>Tom Stubbs</t>
  </si>
  <si>
    <t>Pastor2Pastor</t>
  </si>
  <si>
    <t>Deron Spoo</t>
  </si>
  <si>
    <t>Zoe Tayler</t>
  </si>
  <si>
    <t>Katie Brooks</t>
  </si>
  <si>
    <t>Anwen Middleton</t>
  </si>
  <si>
    <t>Givenita</t>
  </si>
  <si>
    <t>lara gomez</t>
  </si>
  <si>
    <t>Elmy Bonafita</t>
  </si>
  <si>
    <t>Iamrbo1</t>
  </si>
  <si>
    <t>Psikologi BINUS</t>
  </si>
  <si>
    <t>Gainford Kofi Amponsah</t>
  </si>
  <si>
    <t>CMTV LASUCOM</t>
  </si>
  <si>
    <t>TuteLage - A guide to learner</t>
  </si>
  <si>
    <t>Centre for Business &amp; Economic Research - CBER</t>
  </si>
  <si>
    <t>AFROHUN Network</t>
  </si>
  <si>
    <t>Iliyyas Ahammed</t>
  </si>
  <si>
    <t>Chlorophyll Water</t>
  </si>
  <si>
    <t>Ashley Mitchell (AsMitch the Labor B*tch)</t>
  </si>
  <si>
    <t>Muhammad Usman</t>
  </si>
  <si>
    <t>The Sakib XYZ</t>
  </si>
  <si>
    <t>Aarohi's FIRE Journey</t>
  </si>
  <si>
    <t>MEHARBANU ABDULLA</t>
  </si>
  <si>
    <t>Lady_Psychologist</t>
  </si>
  <si>
    <t>Priti Deogam</t>
  </si>
  <si>
    <t>The Learning point</t>
  </si>
  <si>
    <t>Emily Teo</t>
  </si>
  <si>
    <t>Before You Push</t>
  </si>
  <si>
    <t>H3 Health</t>
  </si>
  <si>
    <t>Undivided</t>
  </si>
  <si>
    <t>thealbertareporter</t>
  </si>
  <si>
    <t>Exposure Therapy</t>
  </si>
  <si>
    <t>MovingtoCalgary</t>
  </si>
  <si>
    <t>County of Grande Prairie</t>
  </si>
  <si>
    <t>Catching Carbon</t>
  </si>
  <si>
    <t>Lehigh County PA</t>
  </si>
  <si>
    <t>Oil Sands Magazine</t>
  </si>
  <si>
    <t>RamSoft Inc.</t>
  </si>
  <si>
    <t>Benchmark Human Services</t>
  </si>
  <si>
    <t>Learn With Jenny</t>
  </si>
  <si>
    <t>SPARK</t>
  </si>
  <si>
    <t>Carla Solis</t>
  </si>
  <si>
    <t>Professor Capron</t>
  </si>
  <si>
    <t>Medical Knowledge Online</t>
  </si>
  <si>
    <t>Allison Reid</t>
  </si>
  <si>
    <t>Jiayi Yu</t>
  </si>
  <si>
    <t>Rebecca Reed</t>
  </si>
  <si>
    <t>Not Like The Others</t>
  </si>
  <si>
    <t>WebMD</t>
  </si>
  <si>
    <t>Megyn Kelly</t>
  </si>
  <si>
    <t>CHADIS</t>
  </si>
  <si>
    <t>2023-05-15T20:02:58Z</t>
  </si>
  <si>
    <t>2023-05-15T16:00:10Z</t>
  </si>
  <si>
    <t>2023-05-16T04:00:10Z</t>
  </si>
  <si>
    <t>2023-05-15T09:00:04Z</t>
  </si>
  <si>
    <t>2023-05-16T13:30:00Z</t>
  </si>
  <si>
    <t>2023-05-15T10:36:30Z</t>
  </si>
  <si>
    <t>2023-05-15T15:00:28Z</t>
  </si>
  <si>
    <t>2023-05-15T22:21:15Z</t>
  </si>
  <si>
    <t>2023-05-16T12:09:32Z</t>
  </si>
  <si>
    <t>2023-05-16T12:32:52Z</t>
  </si>
  <si>
    <t>2023-05-15T15:08:31Z</t>
  </si>
  <si>
    <t>2023-05-16T03:20:57Z</t>
  </si>
  <si>
    <t>2023-05-16T13:00:31Z</t>
  </si>
  <si>
    <t>2023-05-15T23:26:55Z</t>
  </si>
  <si>
    <t>2020-08-18T08:30:13Z</t>
  </si>
  <si>
    <t>2020-07-01T17:42:55Z</t>
  </si>
  <si>
    <t>2023-02-12T17:28:59Z</t>
  </si>
  <si>
    <t>2019-08-13T07:00:02Z</t>
  </si>
  <si>
    <t>2021-10-26T18:36:51Z</t>
  </si>
  <si>
    <t>2022-03-07T21:00:11Z</t>
  </si>
  <si>
    <t>2022-05-10T14:00:25Z</t>
  </si>
  <si>
    <t>2022-08-01T18:00:47Z</t>
  </si>
  <si>
    <t>2019-06-18T06:43:26Z</t>
  </si>
  <si>
    <t>2016-01-17T21:35:08Z</t>
  </si>
  <si>
    <t>2013-10-15T01:58:07Z</t>
  </si>
  <si>
    <t>2020-10-03T12:30:39Z</t>
  </si>
  <si>
    <t>2022-08-05T17:37:49Z</t>
  </si>
  <si>
    <t>2015-09-10T21:01:07Z</t>
  </si>
  <si>
    <t>2020-11-28T20:15:09Z</t>
  </si>
  <si>
    <t>2019-07-22T15:09:37Z</t>
  </si>
  <si>
    <t>2019-07-02T15:19:35Z</t>
  </si>
  <si>
    <t>2021-10-04T15:58:44Z</t>
  </si>
  <si>
    <t>2018-05-01T13:00:00Z</t>
  </si>
  <si>
    <t>2021-01-29T04:27:31Z</t>
  </si>
  <si>
    <t>2020-07-29T08:13:24Z</t>
  </si>
  <si>
    <t>2018-12-08T13:30:46Z</t>
  </si>
  <si>
    <t>2018-03-22T15:07:51Z</t>
  </si>
  <si>
    <t>2023-05-10T15:56:24Z</t>
  </si>
  <si>
    <t>2023-05-11T04:00:11Z</t>
  </si>
  <si>
    <t>2021-05-06T15:30:13Z</t>
  </si>
  <si>
    <t>2021-09-21T17:37:51Z</t>
  </si>
  <si>
    <t>2023-05-04T19:11:37Z</t>
  </si>
  <si>
    <t>2018-04-25T20:35:46Z</t>
  </si>
  <si>
    <t>2023-05-08T18:05:51Z</t>
  </si>
  <si>
    <t>2023-05-08T09:05:00Z</t>
  </si>
  <si>
    <t>2019-02-09T00:07:44Z</t>
  </si>
  <si>
    <t>2022-06-22T15:58:02Z</t>
  </si>
  <si>
    <t>2019-08-06T15:30:01Z</t>
  </si>
  <si>
    <t>2018-12-20T16:30:01Z</t>
  </si>
  <si>
    <t>2018-05-26T03:12:47Z</t>
  </si>
  <si>
    <t>2018-04-27T17:06:38Z</t>
  </si>
  <si>
    <t>2017-07-18T19:51:56Z</t>
  </si>
  <si>
    <t>2015-05-18T19:20:02Z</t>
  </si>
  <si>
    <t>2019-04-22T21:57:42Z</t>
  </si>
  <si>
    <t>2020-11-02T12:15:00Z</t>
  </si>
  <si>
    <t>2020-10-29T12:32:43Z</t>
  </si>
  <si>
    <t>2023-03-15T12:45:02Z</t>
  </si>
  <si>
    <t>2023-05-05T14:00:28Z</t>
  </si>
  <si>
    <t>2020-06-28T10:59:09Z</t>
  </si>
  <si>
    <t>2021-08-11T18:30:08Z</t>
  </si>
  <si>
    <t>2022-12-29T11:28:05Z</t>
  </si>
  <si>
    <t>2020-11-01T00:34:12Z</t>
  </si>
  <si>
    <t>2020-11-01T00:34:47Z</t>
  </si>
  <si>
    <t>2020-11-01T00:32:22Z</t>
  </si>
  <si>
    <t>2023-05-09T11:20:32Z</t>
  </si>
  <si>
    <t>2023-05-04T13:46:53Z</t>
  </si>
  <si>
    <t>2023-05-10T15:01:36Z</t>
  </si>
  <si>
    <t>2023-05-04T10:33:08Z</t>
  </si>
  <si>
    <t>2023-05-07T12:31:18Z</t>
  </si>
  <si>
    <t>2023-05-06T00:33:14Z</t>
  </si>
  <si>
    <t>2023-05-07T13:37:26Z</t>
  </si>
  <si>
    <t>2023-05-06T06:07:58Z</t>
  </si>
  <si>
    <t>2023-05-01T09:13:56Z</t>
  </si>
  <si>
    <t>2023-05-12T12:31:46Z</t>
  </si>
  <si>
    <t>2023-05-15T11:51:03Z</t>
  </si>
  <si>
    <t>2020-11-01T00:35:24Z</t>
  </si>
  <si>
    <t>2021-06-04T15:00:10Z</t>
  </si>
  <si>
    <t>2023-05-14T11:42:26Z</t>
  </si>
  <si>
    <t>2023-02-05T06:30:08Z</t>
  </si>
  <si>
    <t>2023-02-10T06:30:10Z</t>
  </si>
  <si>
    <t>2023-02-08T07:00:06Z</t>
  </si>
  <si>
    <t>2023-02-12T06:30:10Z</t>
  </si>
  <si>
    <t>2023-02-13T07:30:07Z</t>
  </si>
  <si>
    <t>2023-02-08T06:30:09Z</t>
  </si>
  <si>
    <t>2023-02-09T06:30:10Z</t>
  </si>
  <si>
    <t>2023-02-11T06:30:09Z</t>
  </si>
  <si>
    <t>2023-02-07T06:30:09Z</t>
  </si>
  <si>
    <t>2023-02-06T06:30:11Z</t>
  </si>
  <si>
    <t>2021-02-15T12:30:02Z</t>
  </si>
  <si>
    <t>2011-11-09T21:33:08Z</t>
  </si>
  <si>
    <t>2023-01-20T07:54:18Z</t>
  </si>
  <si>
    <t>2020-09-09T06:30:12Z</t>
  </si>
  <si>
    <t>2020-09-03T15:30:12Z</t>
  </si>
  <si>
    <t>2011-11-09T21:27:52Z</t>
  </si>
  <si>
    <t>2023-05-11T19:11:22Z</t>
  </si>
  <si>
    <t>2016-04-04T01:21:14Z</t>
  </si>
  <si>
    <t>2012-05-02T21:00:08Z</t>
  </si>
  <si>
    <t>2020-08-30T08:16:03Z</t>
  </si>
  <si>
    <t>2020-12-01T14:00:29Z</t>
  </si>
  <si>
    <t>2021-01-17T18:39:24Z</t>
  </si>
  <si>
    <t>2021-04-11T14:43:12Z</t>
  </si>
  <si>
    <t>2022-04-29T11:58:05Z</t>
  </si>
  <si>
    <t>2016-06-05T18:53:28Z</t>
  </si>
  <si>
    <t>2016-04-02T00:19:57Z</t>
  </si>
  <si>
    <t>2016-06-05T19:49:44Z</t>
  </si>
  <si>
    <t>2016-04-01T23:56:15Z</t>
  </si>
  <si>
    <t>2016-04-01T23:39:46Z</t>
  </si>
  <si>
    <t>2016-04-02T00:09:10Z</t>
  </si>
  <si>
    <t>2016-04-01T23:49:03Z</t>
  </si>
  <si>
    <t>2016-06-05T20:18:05Z</t>
  </si>
  <si>
    <t>2016-04-02T00:04:50Z</t>
  </si>
  <si>
    <t>2016-04-02T00:01:49Z</t>
  </si>
  <si>
    <t>2016-04-02T00:13:46Z</t>
  </si>
  <si>
    <t>2016-04-01T23:42:00Z</t>
  </si>
  <si>
    <t>2016-04-01T23:25:40Z</t>
  </si>
  <si>
    <t>2016-04-01T23:46:33Z</t>
  </si>
  <si>
    <t>2016-04-01T23:33:45Z</t>
  </si>
  <si>
    <t>2011-11-09T21:33:36Z</t>
  </si>
  <si>
    <t>2011-11-09T21:31:06Z</t>
  </si>
  <si>
    <t>2016-12-05T02:37:14Z</t>
  </si>
  <si>
    <t>2012-05-03T08:00:07Z</t>
  </si>
  <si>
    <t>2021-11-05T22:55:38Z</t>
  </si>
  <si>
    <t>2016-04-01T23:31:25Z</t>
  </si>
  <si>
    <t>2016-04-02T00:07:45Z</t>
  </si>
  <si>
    <t>2016-06-05T20:03:03Z</t>
  </si>
  <si>
    <t>2022-10-27T21:53:46Z</t>
  </si>
  <si>
    <t>2016-04-02T00:11:47Z</t>
  </si>
  <si>
    <t>2018-10-08T09:25:11Z</t>
  </si>
  <si>
    <t>2023-05-10T14:57:13Z</t>
  </si>
  <si>
    <t>2021-08-11T21:27:21Z</t>
  </si>
  <si>
    <t>2022-11-14T13:12:46Z</t>
  </si>
  <si>
    <t>2023-05-13T05:26:36Z</t>
  </si>
  <si>
    <t>2023-05-09T13:19:13Z</t>
  </si>
  <si>
    <t>2023-05-11T11:10:24Z</t>
  </si>
  <si>
    <t>2023-05-05T07:49:49Z</t>
  </si>
  <si>
    <t>2023-05-11T03:25:18Z</t>
  </si>
  <si>
    <t>2023-05-11T01:30:17Z</t>
  </si>
  <si>
    <t>2023-05-07T04:59:30Z</t>
  </si>
  <si>
    <t>2023-05-10T12:01:39Z</t>
  </si>
  <si>
    <t>2023-05-07T08:45:31Z</t>
  </si>
  <si>
    <t>2011-11-09T21:29:07Z</t>
  </si>
  <si>
    <t>2012-05-02T15:30:08Z</t>
  </si>
  <si>
    <t>2018-06-05T13:00:01Z</t>
  </si>
  <si>
    <t>2018-12-03T19:01:21Z</t>
  </si>
  <si>
    <t>2023-01-03T13:44:42Z</t>
  </si>
  <si>
    <t>2016-09-16T08:50:46Z</t>
  </si>
  <si>
    <t>2023-03-07T17:30:45Z</t>
  </si>
  <si>
    <t>2022-02-03T14:35:19Z</t>
  </si>
  <si>
    <t>2023-04-20T17:31:44Z</t>
  </si>
  <si>
    <t>2022-11-18T14:10:22Z</t>
  </si>
  <si>
    <t>2023-05-10T14:46:19Z</t>
  </si>
  <si>
    <t>2022-03-21T16:17:49Z</t>
  </si>
  <si>
    <t>2022-10-06T17:46:18Z</t>
  </si>
  <si>
    <t>2021-12-07T19:47:00Z</t>
  </si>
  <si>
    <t>2021-12-07T19:48:13Z</t>
  </si>
  <si>
    <t>2021-10-18T10:45:32Z</t>
  </si>
  <si>
    <t>2012-05-03T01:30:07Z</t>
  </si>
  <si>
    <t>2016-09-06T18:16:06Z</t>
  </si>
  <si>
    <t>2012-05-11T13:30:08Z</t>
  </si>
  <si>
    <t>2012-05-12T10:30:07Z</t>
  </si>
  <si>
    <t>2012-05-13T21:00:10Z</t>
  </si>
  <si>
    <t>2011-11-09T21:35:17Z</t>
  </si>
  <si>
    <t>2011-11-09T21:36:46Z</t>
  </si>
  <si>
    <t>2023-04-24T20:22:16Z</t>
  </si>
  <si>
    <t>2023-05-12T08:39:58Z</t>
  </si>
  <si>
    <t>2023-05-12T09:17:38Z</t>
  </si>
  <si>
    <t>2022-11-14T11:49:43Z</t>
  </si>
  <si>
    <t>2022-12-13T21:29:14Z</t>
  </si>
  <si>
    <t>2023-05-13T19:31:59Z</t>
  </si>
  <si>
    <t>2023-01-27T10:44:11Z</t>
  </si>
  <si>
    <t>2021-09-29T17:00:13Z</t>
  </si>
  <si>
    <t>2011-11-09T21:20:10Z</t>
  </si>
  <si>
    <t>2011-11-09T21:20:20Z</t>
  </si>
  <si>
    <t>2022-12-14T20:00:14Z</t>
  </si>
  <si>
    <t>2022-03-29T14:30:27Z</t>
  </si>
  <si>
    <t>2022-08-02T03:15:01Z</t>
  </si>
  <si>
    <t>2023-05-08T05:54:33Z</t>
  </si>
  <si>
    <t>2023-05-12T05:30:10Z</t>
  </si>
  <si>
    <t>2020-11-03T03:52:01Z</t>
  </si>
  <si>
    <t>2023-05-16T13:11:05Z</t>
  </si>
  <si>
    <t>2023-05-16T18:39:11Z</t>
  </si>
  <si>
    <t>2023-05-16T09:53:17Z</t>
  </si>
  <si>
    <t>2016-01-17T21:34:57Z</t>
  </si>
  <si>
    <t>2013-11-06T18:37:13Z</t>
  </si>
  <si>
    <t>2013-11-13T19:12:26Z</t>
  </si>
  <si>
    <t>2016-02-01T17:12:34Z</t>
  </si>
  <si>
    <t>2016-02-01T17:24:07Z</t>
  </si>
  <si>
    <t>2022-08-24T14:45:02Z</t>
  </si>
  <si>
    <t>2020-12-11T16:24:19Z</t>
  </si>
  <si>
    <t>2023-05-02T15:21:12Z</t>
  </si>
  <si>
    <t>2023-04-28T15:51:08Z</t>
  </si>
  <si>
    <t>2023-05-07T06:09:31Z</t>
  </si>
  <si>
    <t>2023-05-14T00:29:25Z</t>
  </si>
  <si>
    <t>2023-05-03T00:37:54Z</t>
  </si>
  <si>
    <t>2023-05-07T09:54:28Z</t>
  </si>
  <si>
    <t>2023-05-07T17:08:21Z</t>
  </si>
  <si>
    <t>2023-05-04T09:15:59Z</t>
  </si>
  <si>
    <t>2023-05-09T21:02:25Z</t>
  </si>
  <si>
    <t>2023-05-04T04:20:36Z</t>
  </si>
  <si>
    <t>2023-05-04T13:44:48Z</t>
  </si>
  <si>
    <t>2023-05-07T10:16:16Z</t>
  </si>
  <si>
    <t>2015-06-24T12:38:21Z</t>
  </si>
  <si>
    <t>2011-11-09T21:17:37Z</t>
  </si>
  <si>
    <t>2011-11-09T21:17:32Z</t>
  </si>
  <si>
    <t>2020-11-10T16:35:28Z</t>
  </si>
  <si>
    <t>2023-05-05T16:52:18Z</t>
  </si>
  <si>
    <t>2023-05-10T14:01:15Z</t>
  </si>
  <si>
    <t>2022-01-17T21:51:17Z</t>
  </si>
  <si>
    <t>2023-04-04T18:20:05Z</t>
  </si>
  <si>
    <t>2023-05-06T07:56:41Z</t>
  </si>
  <si>
    <t>2023-03-17T16:40:43Z</t>
  </si>
  <si>
    <t>2015-06-24T12:32:00Z</t>
  </si>
  <si>
    <t>2011-11-09T21:15:31Z</t>
  </si>
  <si>
    <t>2022-10-01T16:28:28Z</t>
  </si>
  <si>
    <t>2020-07-31T08:30:12Z</t>
  </si>
  <si>
    <t>2020-09-11T06:30:11Z</t>
  </si>
  <si>
    <t>2022-09-20T15:06:10Z</t>
  </si>
  <si>
    <t>2020-10-29T14:30:01Z</t>
  </si>
  <si>
    <t>2023-01-15T16:25:36Z</t>
  </si>
  <si>
    <t>2023-04-18T09:11:33Z</t>
  </si>
  <si>
    <t>2023-02-25T06:06:49Z</t>
  </si>
  <si>
    <t>2023-01-07T08:50:32Z</t>
  </si>
  <si>
    <t>2023-02-21T10:02:42Z</t>
  </si>
  <si>
    <t>2022-05-11T02:01:53Z</t>
  </si>
  <si>
    <t>2023-02-17T09:32:22Z</t>
  </si>
  <si>
    <t>2023-02-13T09:03:10Z</t>
  </si>
  <si>
    <t>2021-01-29T08:48:24Z</t>
  </si>
  <si>
    <t>2023-05-06T09:59:42Z</t>
  </si>
  <si>
    <t>2023-05-10T17:06:30Z</t>
  </si>
  <si>
    <t>2022-01-11T14:32:46Z</t>
  </si>
  <si>
    <t>2022-03-12T07:00:00Z</t>
  </si>
  <si>
    <t>2023-05-10T13:03:52Z</t>
  </si>
  <si>
    <t>2023-05-09T12:17:07Z</t>
  </si>
  <si>
    <t>2023-05-09T11:30:50Z</t>
  </si>
  <si>
    <t>2023-05-01T11:15:15Z</t>
  </si>
  <si>
    <t>2023-05-09T14:22:15Z</t>
  </si>
  <si>
    <t>2023-05-08T18:54:03Z</t>
  </si>
  <si>
    <t>2023-05-05T09:21:52Z</t>
  </si>
  <si>
    <t>2023-05-05T10:07:59Z</t>
  </si>
  <si>
    <t>2023-05-03T09:50:13Z</t>
  </si>
  <si>
    <t>2023-05-11T15:50:58Z</t>
  </si>
  <si>
    <t>2021-01-29T08:37:29Z</t>
  </si>
  <si>
    <t>2023-01-03T17:26:13Z</t>
  </si>
  <si>
    <t>2020-10-29T12:27:47Z</t>
  </si>
  <si>
    <t>2018-05-02T03:44:10Z</t>
  </si>
  <si>
    <t>2022-03-19T17:00:40Z</t>
  </si>
  <si>
    <t>2020-10-05T15:52:08Z</t>
  </si>
  <si>
    <t>2023-05-12T20:09:23Z</t>
  </si>
  <si>
    <t>2023-05-05T15:42:42Z</t>
  </si>
  <si>
    <t>2023-05-01T13:55:39Z</t>
  </si>
  <si>
    <t>2023-05-02T16:00:09Z</t>
  </si>
  <si>
    <t>2023-05-14T14:51:34Z</t>
  </si>
  <si>
    <t>2023-05-05T15:46:12Z</t>
  </si>
  <si>
    <t>2023-05-01T13:20:54Z</t>
  </si>
  <si>
    <t>2023-05-01T10:56:25Z</t>
  </si>
  <si>
    <t>2023-05-01T23:28:45Z</t>
  </si>
  <si>
    <t>2023-05-11T10:11:11Z</t>
  </si>
  <si>
    <t>2023-05-06T12:38:49Z</t>
  </si>
  <si>
    <t>2023-05-08T00:44:39Z</t>
  </si>
  <si>
    <t>2023-05-12T03:02:54Z</t>
  </si>
  <si>
    <t>2023-05-03T15:32:50Z</t>
  </si>
  <si>
    <t>2023-05-12T13:26:01Z</t>
  </si>
  <si>
    <t>2021-02-09T05:18:56Z</t>
  </si>
  <si>
    <t>2022-03-22T04:30:02Z</t>
  </si>
  <si>
    <t>2020-12-10T03:30:54Z</t>
  </si>
  <si>
    <t>2020-12-09T16:00:05Z</t>
  </si>
  <si>
    <t>2019-04-05T12:00:31Z</t>
  </si>
  <si>
    <t>2023-05-11T16:44:38Z</t>
  </si>
  <si>
    <t>2023-05-16T12:40:00Z</t>
  </si>
  <si>
    <t>2023-05-13T18:11:50Z</t>
  </si>
  <si>
    <t>2023-05-11T08:23:21Z</t>
  </si>
  <si>
    <t>2020-07-04T05:20:18Z</t>
  </si>
  <si>
    <t>2022-02-17T14:32:36Z</t>
  </si>
  <si>
    <t>2022-02-19T17:41:53Z</t>
  </si>
  <si>
    <t>2021-09-20T04:05:34Z</t>
  </si>
  <si>
    <t>2021-09-29T00:44:00Z</t>
  </si>
  <si>
    <t>2021-09-17T13:25:40Z</t>
  </si>
  <si>
    <t>2021-09-16T10:19:33Z</t>
  </si>
  <si>
    <t>2021-09-26T00:45:00Z</t>
  </si>
  <si>
    <t>2021-09-22T10:30:13Z</t>
  </si>
  <si>
    <t>2021-10-02T03:51:09Z</t>
  </si>
  <si>
    <t>2021-09-18T11:15:30Z</t>
  </si>
  <si>
    <t>2021-09-25T00:45:01Z</t>
  </si>
  <si>
    <t>2018-03-22T15:13:17Z</t>
  </si>
  <si>
    <t>2023-05-07T17:20:54Z</t>
  </si>
  <si>
    <t>2023-05-01T15:34:33Z</t>
  </si>
  <si>
    <t>2023-05-05T09:35:57Z</t>
  </si>
  <si>
    <t>2023-05-12T07:42:05Z</t>
  </si>
  <si>
    <t>2023-05-10T18:50:29Z</t>
  </si>
  <si>
    <t>2023-05-06T15:15:45Z</t>
  </si>
  <si>
    <t>2023-05-11T07:56:30Z</t>
  </si>
  <si>
    <t>2023-05-12T11:49:52Z</t>
  </si>
  <si>
    <t>2023-05-08T18:10:00Z</t>
  </si>
  <si>
    <t>2021-10-27T09:38:47Z</t>
  </si>
  <si>
    <t>2019-12-16T07:00:01Z</t>
  </si>
  <si>
    <t>2021-09-23T09:08:33Z</t>
  </si>
  <si>
    <t>2021-10-06T00:45:00Z</t>
  </si>
  <si>
    <t>2022-04-15T21:11:31Z</t>
  </si>
  <si>
    <t>2020-06-14T03:09:51Z</t>
  </si>
  <si>
    <t>2013-05-03T21:54:10Z</t>
  </si>
  <si>
    <t>2022-03-23T14:52:06Z</t>
  </si>
  <si>
    <t>2023-04-28T16:10:41Z</t>
  </si>
  <si>
    <t>2023-05-15T20:29:43Z</t>
  </si>
  <si>
    <t>2023-05-16T16:00:19Z</t>
  </si>
  <si>
    <t>2023-05-06T19:51:59Z</t>
  </si>
  <si>
    <t>2023-05-15T13:38:30Z</t>
  </si>
  <si>
    <t>2023-05-16T17:59:59Z</t>
  </si>
  <si>
    <t>2023-02-21T22:52:06Z</t>
  </si>
  <si>
    <t>2022-02-22T18:28:44Z</t>
  </si>
  <si>
    <t>2022-08-20T01:57:08Z</t>
  </si>
  <si>
    <t>2022-05-17T22:53:04Z</t>
  </si>
  <si>
    <t>2023-02-21T16:45:59Z</t>
  </si>
  <si>
    <t>2023-05-09T21:25:50Z</t>
  </si>
  <si>
    <t>2023-05-13T21:34:17Z</t>
  </si>
  <si>
    <t>2023-05-14T21:23:45Z</t>
  </si>
  <si>
    <t>2023-05-12T21:24:24Z</t>
  </si>
  <si>
    <t>2023-05-10T21:22:37Z</t>
  </si>
  <si>
    <t>2023-05-06T18:52:13Z</t>
  </si>
  <si>
    <t>2023-05-05T17:19:19Z</t>
  </si>
  <si>
    <t>2023-05-16T21:34:26Z</t>
  </si>
  <si>
    <t>2023-05-11T21:40:55Z</t>
  </si>
  <si>
    <t>2023-05-08T21:54:59Z</t>
  </si>
  <si>
    <t>2021-11-04T18:27:12Z</t>
  </si>
  <si>
    <t>2023-05-06T23:48:52Z</t>
  </si>
  <si>
    <t>2023-05-15T21:36:36Z</t>
  </si>
  <si>
    <t>2023-05-07T22:08:24Z</t>
  </si>
  <si>
    <t>2023-04-24T22:37:40Z</t>
  </si>
  <si>
    <t>2015-02-12T14:45:55Z</t>
  </si>
  <si>
    <t>2013-05-03T21:15:37Z</t>
  </si>
  <si>
    <t>2023-01-31T10:55:47Z</t>
  </si>
  <si>
    <t>2023-01-21T15:55:31Z</t>
  </si>
  <si>
    <t>2023-02-12T12:30:12Z</t>
  </si>
  <si>
    <t>2020-07-17T08:30:13Z</t>
  </si>
  <si>
    <t>2022-09-17T07:34:06Z</t>
  </si>
  <si>
    <t>2021-04-16T21:20:21Z</t>
  </si>
  <si>
    <t>2022-09-17T18:00:46Z</t>
  </si>
  <si>
    <t>2022-09-04T11:27:08Z</t>
  </si>
  <si>
    <t>2022-09-02T21:47:18Z</t>
  </si>
  <si>
    <t>2022-05-17T20:37:04Z</t>
  </si>
  <si>
    <t>2021-04-15T22:48:52Z</t>
  </si>
  <si>
    <t>2021-04-22T18:42:26Z</t>
  </si>
  <si>
    <t>2021-04-16T21:33:14Z</t>
  </si>
  <si>
    <t>2020-08-04T02:30:09Z</t>
  </si>
  <si>
    <t>2021-04-16T07:47:35Z</t>
  </si>
  <si>
    <t>2022-09-17T07:44:48Z</t>
  </si>
  <si>
    <t>2016-02-10T19:48:41Z</t>
  </si>
  <si>
    <t>2016-04-12T14:53:47Z</t>
  </si>
  <si>
    <t>2016-03-19T15:23:24Z</t>
  </si>
  <si>
    <t>2021-11-16T14:24:40Z</t>
  </si>
  <si>
    <t>2022-09-12T11:30:00Z</t>
  </si>
  <si>
    <t>2020-10-24T19:50:27Z</t>
  </si>
  <si>
    <t>2020-11-28T20:14:48Z</t>
  </si>
  <si>
    <t>2020-11-28T20:15:01Z</t>
  </si>
  <si>
    <t>2023-05-09T16:22:32Z</t>
  </si>
  <si>
    <t>2023-05-11T03:42:47Z</t>
  </si>
  <si>
    <t>2021-03-09T16:57:11Z</t>
  </si>
  <si>
    <t>2017-01-11T20:02:40Z</t>
  </si>
  <si>
    <t>2015-12-31T16:26:52Z</t>
  </si>
  <si>
    <t>2020-07-05T15:44:31Z</t>
  </si>
  <si>
    <t>2022-10-09T15:00:40Z</t>
  </si>
  <si>
    <t>2023-03-22T11:13:07Z</t>
  </si>
  <si>
    <t>2023-05-10T17:15:02Z</t>
  </si>
  <si>
    <t>2023-05-09T17:45:00Z</t>
  </si>
  <si>
    <t>2020-08-28T15:30:12Z</t>
  </si>
  <si>
    <t>2019-11-17T13:31:10Z</t>
  </si>
  <si>
    <t>2022-03-15T14:29:20Z</t>
  </si>
  <si>
    <t>2023-05-07T15:15:02Z</t>
  </si>
  <si>
    <t>2023-05-13T14:45:02Z</t>
  </si>
  <si>
    <t>2023-05-17T07:30:06Z</t>
  </si>
  <si>
    <t>2023-05-09T15:00:29Z</t>
  </si>
  <si>
    <t>2022-10-10T17:45:02Z</t>
  </si>
  <si>
    <t>2022-04-26T14:02:43Z</t>
  </si>
  <si>
    <t>2023-05-08T16:14:42Z</t>
  </si>
  <si>
    <t>2023-05-11T01:57:07Z</t>
  </si>
  <si>
    <t>2022-02-10T13:59:13Z</t>
  </si>
  <si>
    <t>2023-05-12T14:12:25Z</t>
  </si>
  <si>
    <t>2023-05-08T04:36:43Z</t>
  </si>
  <si>
    <t>2023-05-13T18:28:34Z</t>
  </si>
  <si>
    <t>2023-05-08T14:06:15Z</t>
  </si>
  <si>
    <t>2023-05-08T15:37:47Z</t>
  </si>
  <si>
    <t>2023-05-15T04:00:21Z</t>
  </si>
  <si>
    <t>2023-05-17T04:00:24Z</t>
  </si>
  <si>
    <t>2023-03-12T04:42:07Z</t>
  </si>
  <si>
    <t>2022-05-24T14:00:26Z</t>
  </si>
  <si>
    <t>2021-10-11T15:23:13Z</t>
  </si>
  <si>
    <t>2022-04-19T14:09:02Z</t>
  </si>
  <si>
    <t>2021-09-24T14:00:20Z</t>
  </si>
  <si>
    <t>2021-09-01T21:13:16Z</t>
  </si>
  <si>
    <t>2021-09-18T19:06:42Z</t>
  </si>
  <si>
    <t>2022-07-05T14:00:15Z</t>
  </si>
  <si>
    <t>2021-10-25T14:59:46Z</t>
  </si>
  <si>
    <t>2022-05-03T14:00:32Z</t>
  </si>
  <si>
    <t>2023-05-11T20:06:32Z</t>
  </si>
  <si>
    <t>2023-05-15T02:14:55Z</t>
  </si>
  <si>
    <t>2023-04-16T14:42:29Z</t>
  </si>
  <si>
    <t>2018-08-24T14:03:53Z</t>
  </si>
  <si>
    <t>2023-04-22T15:56:15Z</t>
  </si>
  <si>
    <t>2016-04-25T18:57:00Z</t>
  </si>
  <si>
    <t>2023-05-04T20:00:09Z</t>
  </si>
  <si>
    <t>2022-05-17T14:00:25Z</t>
  </si>
  <si>
    <t>2023-05-08T20:00:09Z</t>
  </si>
  <si>
    <t>2023-05-02T20:00:10Z</t>
  </si>
  <si>
    <t>2023-05-10T20:00:11Z</t>
  </si>
  <si>
    <t>2023-03-27T20:00:10Z</t>
  </si>
  <si>
    <t>2022-04-05T14:12:34Z</t>
  </si>
  <si>
    <t>2019-12-07T14:37:17Z</t>
  </si>
  <si>
    <t>2021-01-29T04:29:43Z</t>
  </si>
  <si>
    <t>2021-01-29T04:29:30Z</t>
  </si>
  <si>
    <t>2021-01-29T04:28:06Z</t>
  </si>
  <si>
    <t>2023-01-03T12:42:30Z</t>
  </si>
  <si>
    <t>2018-10-12T19:52:03Z</t>
  </si>
  <si>
    <t>2022-05-23T13:44:33Z</t>
  </si>
  <si>
    <t>2017-05-26T19:17:16Z</t>
  </si>
  <si>
    <t>Play Video in Browser</t>
  </si>
  <si>
    <t>Edge Weight</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</si>
  <si>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</si>
  <si>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</si>
  <si>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</si>
  <si>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</si>
  <si>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</si>
  <si>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</si>
  <si>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</si>
  <si>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</si>
  <si>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</si>
  <si>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</si>
  <si>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</si>
  <si>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</si>
  <si>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</si>
  <si>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</si>
  <si>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</si>
  <si>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</si>
  <si>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</si>
  <si>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</si>
  <si>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1.0.1.514</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</si>
  <si>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</si>
  <si>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</si>
  <si>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</si>
  <si>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</si>
  <si>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</si>
  <si>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</si>
  <si>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</si>
  <si>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</si>
  <si>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</si>
  <si>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</si>
  <si>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</si>
  <si>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</si>
  <si>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
  </si>
  <si>
    <t>pe8S9v2q3mI</t>
  </si>
  <si>
    <t>jFZm0zNZn1w</t>
  </si>
  <si>
    <t>jgXjZG7YMg0</t>
  </si>
  <si>
    <t>aVChh3s2z7c</t>
  </si>
  <si>
    <t>1uSRQQgz65E</t>
  </si>
  <si>
    <t>kUJ_7No9jqc</t>
  </si>
  <si>
    <t>pqkM0r9Cv48</t>
  </si>
  <si>
    <t>rgnTMRfGR4I</t>
  </si>
  <si>
    <t>lMqdJ0vaAo8</t>
  </si>
  <si>
    <t>_zE6EAxkBQg</t>
  </si>
  <si>
    <t>zNPJhb9S4LY</t>
  </si>
  <si>
    <t>MdTPy-zQtF4</t>
  </si>
  <si>
    <t>MzdO7wuSFns</t>
  </si>
  <si>
    <t>EerXkOw9rnM</t>
  </si>
  <si>
    <t>Y387zn4duhE</t>
  </si>
  <si>
    <t>uLXb5qEgLl8</t>
  </si>
  <si>
    <t>VCT16StGzZ8</t>
  </si>
  <si>
    <t>C6aCT6zdP_Y</t>
  </si>
  <si>
    <t>CQieGJNRiSk</t>
  </si>
  <si>
    <t>88B02NnhLMs</t>
  </si>
  <si>
    <t>Qgdf9tLbh5k</t>
  </si>
  <si>
    <t>c83c-URZPbo</t>
  </si>
  <si>
    <t>bwN5ugfCdzA</t>
  </si>
  <si>
    <t>kNfysrT1Zoo</t>
  </si>
  <si>
    <t>izMJhU3_qjo</t>
  </si>
  <si>
    <t>AzdiZHCyRz0</t>
  </si>
  <si>
    <t>l2kFLbQPvY8</t>
  </si>
  <si>
    <t>l25lLP7fj-E</t>
  </si>
  <si>
    <t>Fgt3wAXH3zg</t>
  </si>
  <si>
    <t>FrJj1QxzjHg</t>
  </si>
  <si>
    <t>SqO3CU-WSyE</t>
  </si>
  <si>
    <t>bppYPEo8-Z8</t>
  </si>
  <si>
    <t>ymaKjLzY9k4</t>
  </si>
  <si>
    <t>QfWifSfd4Rk</t>
  </si>
  <si>
    <t>RCr1k8v4qJc</t>
  </si>
  <si>
    <t>Dm_GbeOBvzA</t>
  </si>
  <si>
    <t>ge5U5T5W5Ns</t>
  </si>
  <si>
    <t>ekvXkowIGE0</t>
  </si>
  <si>
    <t>puRYYWllYCA</t>
  </si>
  <si>
    <t>-dIUMi6wNfY</t>
  </si>
  <si>
    <t>QRhD7IY71G0</t>
  </si>
  <si>
    <t>kJiori6Z3dc</t>
  </si>
  <si>
    <t>AiWaO4CizuU</t>
  </si>
  <si>
    <t>l4NKew4V2LE</t>
  </si>
  <si>
    <t>m3l5dZKrku4</t>
  </si>
  <si>
    <t>0m-tYdzJVkM</t>
  </si>
  <si>
    <t>e-1hGU1VxVI</t>
  </si>
  <si>
    <t>aJ0NM_2Uv60</t>
  </si>
  <si>
    <t>uccVDD4kJhY</t>
  </si>
  <si>
    <t>fCyWKORsDIU</t>
  </si>
  <si>
    <t>T_FnxAgfygI</t>
  </si>
  <si>
    <t>c179EsJ97BA</t>
  </si>
  <si>
    <t>TGolFVvzz3Q</t>
  </si>
  <si>
    <t>Zx74UKH0fOQ</t>
  </si>
  <si>
    <t>EV6WjK_GNNc</t>
  </si>
  <si>
    <t>HoTVCpulJRo</t>
  </si>
  <si>
    <t>yKABcJcptBI</t>
  </si>
  <si>
    <t>Ra-GtEDB2bQ</t>
  </si>
  <si>
    <t>f6l3mbOPRs0</t>
  </si>
  <si>
    <t>WAhVacT-3ms</t>
  </si>
  <si>
    <t>CYe2h5Dv324</t>
  </si>
  <si>
    <t>XwDNuItYx6A</t>
  </si>
  <si>
    <t>K68e9W8D_ag</t>
  </si>
  <si>
    <t>7qhEjt9qrHg</t>
  </si>
  <si>
    <t>zr7ug_e8NSc</t>
  </si>
  <si>
    <t>_M4b8-k6lzU</t>
  </si>
  <si>
    <t>Tx1yDLmo3rE</t>
  </si>
  <si>
    <t>1qDKB4DG7T4</t>
  </si>
  <si>
    <t>2BUVjnydGXs</t>
  </si>
  <si>
    <t>kqdMftYUFqw</t>
  </si>
  <si>
    <t>MHlh_-fmGyY</t>
  </si>
  <si>
    <t>yIJfVRcQbmg</t>
  </si>
  <si>
    <t>6cnSHN94FdI</t>
  </si>
  <si>
    <t>jOyqOvbhCi4</t>
  </si>
  <si>
    <t>QrRKz8vZlzE</t>
  </si>
  <si>
    <t>UTLf9BkKIaY</t>
  </si>
  <si>
    <t>el9oO3tSGi4</t>
  </si>
  <si>
    <t>iZw_zGpxmNM</t>
  </si>
  <si>
    <t>oDEQDVHMHDs</t>
  </si>
  <si>
    <t>ltKFLH6ow78</t>
  </si>
  <si>
    <t>-2aGjVdH2WY</t>
  </si>
  <si>
    <t>McmVnu9WYTM</t>
  </si>
  <si>
    <t>v5l47H7KajQ</t>
  </si>
  <si>
    <t>7sequnU320o</t>
  </si>
  <si>
    <t>S4AxNiK2kec</t>
  </si>
  <si>
    <t>ISRXpVHwMTI</t>
  </si>
  <si>
    <t>3Eki-tqDooQ</t>
  </si>
  <si>
    <t>EXrD7RmGeS0</t>
  </si>
  <si>
    <t>h3717qrDpWg</t>
  </si>
  <si>
    <t>G7k0rueG9Qc</t>
  </si>
  <si>
    <t>ja8kpt07z4U</t>
  </si>
  <si>
    <t>DOaOO_st5nM</t>
  </si>
  <si>
    <t>cZIclwFSxzU</t>
  </si>
  <si>
    <t>zMSSTMXf_EY</t>
  </si>
  <si>
    <t>2k9RQFn7TTE</t>
  </si>
  <si>
    <t>eJRb1URZeoM</t>
  </si>
  <si>
    <t>RHnx6HseHYQ</t>
  </si>
  <si>
    <t>gDAbZ0S1LjU</t>
  </si>
  <si>
    <t>uqrvIVZs3Rc</t>
  </si>
  <si>
    <t>MWxl8vpRfjA</t>
  </si>
  <si>
    <t>ctyREyWucHY</t>
  </si>
  <si>
    <t>ouF2Y4toJVY</t>
  </si>
  <si>
    <t>KngIT9XXGjA</t>
  </si>
  <si>
    <t>7XBbJ6Y8Bvs</t>
  </si>
  <si>
    <t>4W1oKO73hbU</t>
  </si>
  <si>
    <t>5PeDWzzHSjw</t>
  </si>
  <si>
    <t>0sOaZja3WpE</t>
  </si>
  <si>
    <t>NvVGRCkyLiY</t>
  </si>
  <si>
    <t>9UGSIsps1a0</t>
  </si>
  <si>
    <t>W6Es_ltR9mA</t>
  </si>
  <si>
    <t>wgZYCdBSKIE</t>
  </si>
  <si>
    <t>X-wPQhqp938</t>
  </si>
  <si>
    <t>i8pdcfbDKGw</t>
  </si>
  <si>
    <t>qHdPklvb1pc</t>
  </si>
  <si>
    <t>3QJAhrDNdxY</t>
  </si>
  <si>
    <t>ED4GPTeXiGY</t>
  </si>
  <si>
    <t>5CK8BSXYKJ0</t>
  </si>
  <si>
    <t>J2M8TMgDiJE</t>
  </si>
  <si>
    <t>KryE8FgyLww</t>
  </si>
  <si>
    <t>Jc4oZUrp3BE</t>
  </si>
  <si>
    <t>1Eon18msFQI</t>
  </si>
  <si>
    <t>IW8OnsSC7WE</t>
  </si>
  <si>
    <t>VTdno3H8AnY</t>
  </si>
  <si>
    <t>RW-R7bThCX0</t>
  </si>
  <si>
    <t>_EqBDXzmGec</t>
  </si>
  <si>
    <t>0tCVImYbeMs</t>
  </si>
  <si>
    <t>QBIT9Ni7Ihs</t>
  </si>
  <si>
    <t>ktbXvwY17Ow</t>
  </si>
  <si>
    <t>XOMgxw6k53g</t>
  </si>
  <si>
    <t>lYo1P07mvog</t>
  </si>
  <si>
    <t>WYMtimU7qFI</t>
  </si>
  <si>
    <t>z1SQQNwqRB8</t>
  </si>
  <si>
    <t>c-PLV9YEysA</t>
  </si>
  <si>
    <t>CeS9EMXO8qc</t>
  </si>
  <si>
    <t>IXi8VzXVT6I</t>
  </si>
  <si>
    <t>hM-ry9VYmtI</t>
  </si>
  <si>
    <t>bZaBRYF27L0</t>
  </si>
  <si>
    <t>lqVXvnL7uFU</t>
  </si>
  <si>
    <t>xwu2zzhrbY0</t>
  </si>
  <si>
    <t>5Nf0ftDYTGo</t>
  </si>
  <si>
    <t>-aeeVrCv37I</t>
  </si>
  <si>
    <t>OpdJU6UsGa0</t>
  </si>
  <si>
    <t>8bBYlImLFys</t>
  </si>
  <si>
    <t>BW9z1uCc1Xo</t>
  </si>
  <si>
    <t>_vTQLr6aik4</t>
  </si>
  <si>
    <t>096P11KbN1I</t>
  </si>
  <si>
    <t>S2YY9jDr-6A</t>
  </si>
  <si>
    <t>W2yrI7-AbIQ</t>
  </si>
  <si>
    <t>H_ZY_ZwYHDc</t>
  </si>
  <si>
    <t>_1wMaedQ-yY</t>
  </si>
  <si>
    <t>TdGOZNpKBK8</t>
  </si>
  <si>
    <t>Kf-ISR73864</t>
  </si>
  <si>
    <t>O8cEy7uP5Qw</t>
  </si>
  <si>
    <t>8B4MVIzbww4</t>
  </si>
  <si>
    <t>8YyVsh6VaUA</t>
  </si>
  <si>
    <t>nuh5uW2MdYw</t>
  </si>
  <si>
    <t>7G3EBQAE06M</t>
  </si>
  <si>
    <t>iAjTdPgFH5U</t>
  </si>
  <si>
    <t>6qrLOSiNQG0</t>
  </si>
  <si>
    <t>GGlz21zjqrs</t>
  </si>
  <si>
    <t>XdesOJMMs4k</t>
  </si>
  <si>
    <t>FN3cNcnVz-g</t>
  </si>
  <si>
    <t>1sKGw_rTBnc</t>
  </si>
  <si>
    <t>V0L2WgqrKbI</t>
  </si>
  <si>
    <t>G1OHQIyfYHc</t>
  </si>
  <si>
    <t>Z_gmctuLHSM</t>
  </si>
  <si>
    <t>NX6knqtJtEs</t>
  </si>
  <si>
    <t>J4ZMHi4dj2s</t>
  </si>
  <si>
    <t>hloRUe32gS8</t>
  </si>
  <si>
    <t>a0mZkFgHhEQ</t>
  </si>
  <si>
    <t>UAg2MwMzKYc</t>
  </si>
  <si>
    <t>Y2qr53ZQkoo</t>
  </si>
  <si>
    <t>wQvLCgTiEB0</t>
  </si>
  <si>
    <t>tQr_s23FFH0</t>
  </si>
  <si>
    <t>taW285HpARg</t>
  </si>
  <si>
    <t>5yyyVN7hlaE</t>
  </si>
  <si>
    <t>DO6ecfvOdDw</t>
  </si>
  <si>
    <t>PsYje3kI4mA</t>
  </si>
  <si>
    <t>CkP2t6c_TaI</t>
  </si>
  <si>
    <t>DpIsNQovEcI</t>
  </si>
  <si>
    <t>WvOsyEfMPlo</t>
  </si>
  <si>
    <t>K7crM3EHP1I</t>
  </si>
  <si>
    <t>8bNSnvKunXk</t>
  </si>
  <si>
    <t>uakPbAEJX5g</t>
  </si>
  <si>
    <t>WMQGLGKBjQ0</t>
  </si>
  <si>
    <t>6LwkiXWYgdE</t>
  </si>
  <si>
    <t>kkdSrv511Vg</t>
  </si>
  <si>
    <t>hbFtOkoFH6A</t>
  </si>
  <si>
    <t>5h5HyMRrM8E</t>
  </si>
  <si>
    <t>IxSbjjzFs6I</t>
  </si>
  <si>
    <t>GPovRt6NxDQ</t>
  </si>
  <si>
    <t>qKSSP_YA_J4</t>
  </si>
  <si>
    <t>cvGKhHKM2lc</t>
  </si>
  <si>
    <t>Fozb0QXR-4A</t>
  </si>
  <si>
    <t>Yq_1PLze-Y4</t>
  </si>
  <si>
    <t>I8geDQoW6Mw</t>
  </si>
  <si>
    <t>Xiez6Y2Z9kI</t>
  </si>
  <si>
    <t>BA6uwKBShew</t>
  </si>
  <si>
    <t>FMF9zhlqBeA</t>
  </si>
  <si>
    <t>h-osCG6Bz5w</t>
  </si>
  <si>
    <t>7nXtYPfaqm8</t>
  </si>
  <si>
    <t>HDcrTUnul2I</t>
  </si>
  <si>
    <t>iqHydsgS6eo</t>
  </si>
  <si>
    <t>MNg1SIoODp4</t>
  </si>
  <si>
    <t>5Fy_FGY44SE</t>
  </si>
  <si>
    <t>7h5uKE-TA4I</t>
  </si>
  <si>
    <t>qqN0PS0aJqc</t>
  </si>
  <si>
    <t>QxgQTgVuraU</t>
  </si>
  <si>
    <t>w-nUskyr3_A</t>
  </si>
  <si>
    <t>Md8vzqoI3ks</t>
  </si>
  <si>
    <t>6kEePXWmx2E</t>
  </si>
  <si>
    <t>PG6DhrwGCdQ</t>
  </si>
  <si>
    <t>aIAsSmb9ksY</t>
  </si>
  <si>
    <t>52aTAJ4LqWk</t>
  </si>
  <si>
    <t>y8iRwEvNnWs</t>
  </si>
  <si>
    <t>dywC_93PkWI</t>
  </si>
  <si>
    <t>xHcxGAWz064</t>
  </si>
  <si>
    <t>SvrXEqF86-A</t>
  </si>
  <si>
    <t>Ebgcj9UhnWk</t>
  </si>
  <si>
    <t>Aj1ttBcPm14</t>
  </si>
  <si>
    <t>zAo8Pz-PM9o</t>
  </si>
  <si>
    <t>352bQTw8T0k</t>
  </si>
  <si>
    <t>G4pmr7pPhnI</t>
  </si>
  <si>
    <t>6K3x9cI18Fk</t>
  </si>
  <si>
    <t>Oa0LvpqlnEA</t>
  </si>
  <si>
    <t>kXgJMvrbpKM</t>
  </si>
  <si>
    <t>_EiZq4CgUL8</t>
  </si>
  <si>
    <t>3jhUMHMt3IA</t>
  </si>
  <si>
    <t>6yv_YDgaax4</t>
  </si>
  <si>
    <t>rB00RY-hByM</t>
  </si>
  <si>
    <t>YAT6SWSDgJQ</t>
  </si>
  <si>
    <t>hk0moXO7W74</t>
  </si>
  <si>
    <t>5Ezouqh-TQg</t>
  </si>
  <si>
    <t>bBvxqwThdFw</t>
  </si>
  <si>
    <t>iOSiFfGDAwY</t>
  </si>
  <si>
    <t>tmFsYA5IeEM</t>
  </si>
  <si>
    <t>lf1zIeDPssk</t>
  </si>
  <si>
    <t>Y-zLRhlJsfA</t>
  </si>
  <si>
    <t>UW15ENEcNcE</t>
  </si>
  <si>
    <t>yy6MsY5VOQA</t>
  </si>
  <si>
    <t>FIGN5qVdY0E</t>
  </si>
  <si>
    <t>Z9UlVHkAHdw</t>
  </si>
  <si>
    <t>9-UiwfiAwuA</t>
  </si>
  <si>
    <t>DElZV2SJLF4</t>
  </si>
  <si>
    <t>WKieDeaWJAs</t>
  </si>
  <si>
    <t>oWADqXUrEfk</t>
  </si>
  <si>
    <t>zlAr52zZgNg</t>
  </si>
  <si>
    <t>3f-w8hZ73pQ</t>
  </si>
  <si>
    <t>k3v1orfzzMQ</t>
  </si>
  <si>
    <t>kJqnGgiPvWE</t>
  </si>
  <si>
    <t>OD2FrI07rfY</t>
  </si>
  <si>
    <t>ZyipGcP00Ro</t>
  </si>
  <si>
    <t>8A3D15q9w6I</t>
  </si>
  <si>
    <t>H8pKnrETpng</t>
  </si>
  <si>
    <t>kvdcO9mYBBE</t>
  </si>
  <si>
    <t>cKYm5ZTS_GM</t>
  </si>
  <si>
    <t>WqO3lWGxKiI</t>
  </si>
  <si>
    <t>5M1abi0IjXQ</t>
  </si>
  <si>
    <t>QiFdq16KpZw</t>
  </si>
  <si>
    <t>b9Sl-lU42gE</t>
  </si>
  <si>
    <t>oPU1qcAiNiU</t>
  </si>
  <si>
    <t>DAnC72Hnq1Q</t>
  </si>
  <si>
    <t>_5qMhGhUF2k</t>
  </si>
  <si>
    <t>yvwRwquThfw</t>
  </si>
  <si>
    <t>G1BKfjUjPwY</t>
  </si>
  <si>
    <t>YUXKN2hrPkE</t>
  </si>
  <si>
    <t>D048uC81iFU</t>
  </si>
  <si>
    <t>hCOR7bYqObE</t>
  </si>
  <si>
    <t>X9QFzjpAc8U</t>
  </si>
  <si>
    <t>xPGxCFJ6ucY</t>
  </si>
  <si>
    <t>OL5IKUr4Rmg</t>
  </si>
  <si>
    <t>cii6KQ932k0</t>
  </si>
  <si>
    <t>pkj8dBt9um8</t>
  </si>
  <si>
    <t>KScKJtGGbSc</t>
  </si>
  <si>
    <t>UyBUtYf606U</t>
  </si>
  <si>
    <t>QDZtxD3iYcQ</t>
  </si>
  <si>
    <t>ic3v6hK6bBE</t>
  </si>
  <si>
    <t>lDbovk1c0AI</t>
  </si>
  <si>
    <t>oLOQ85RtRQk</t>
  </si>
  <si>
    <t>3Cs0-0HSNYw</t>
  </si>
  <si>
    <t>mfBqHXnZGBQ</t>
  </si>
  <si>
    <t>QWOgYVRehGE</t>
  </si>
  <si>
    <t>okO5e-csfmQ</t>
  </si>
  <si>
    <t>1ooVDQHcT1c</t>
  </si>
  <si>
    <t>qN9x05uimG8</t>
  </si>
  <si>
    <t>eYENw_joD5U</t>
  </si>
  <si>
    <t>Ul45GDonlAw</t>
  </si>
  <si>
    <t>FYCLyPjKsaQ</t>
  </si>
  <si>
    <t>Qn4coWXnqoI</t>
  </si>
  <si>
    <t>2DROxrKOYFs</t>
  </si>
  <si>
    <t>xqTrrntxPnc</t>
  </si>
  <si>
    <t>C6C7v4x9flI</t>
  </si>
  <si>
    <t>1Tn8-jX4UAs</t>
  </si>
  <si>
    <t>TtgertX7QGc</t>
  </si>
  <si>
    <t>DUdHQRU_l8A</t>
  </si>
  <si>
    <t>CDelxXcURa4</t>
  </si>
  <si>
    <t>AujXoH1kedM</t>
  </si>
  <si>
    <t>woVdaM92Dl0</t>
  </si>
  <si>
    <t>fAl6OCvKmXk</t>
  </si>
  <si>
    <t>W_vPFTVbIZU</t>
  </si>
  <si>
    <t>-4Jt-Xdk0to</t>
  </si>
  <si>
    <t>JxeDLN_1w6Q</t>
  </si>
  <si>
    <t>2If2rRfmr3Q</t>
  </si>
  <si>
    <t>lL8E6QvnHIk</t>
  </si>
  <si>
    <t>jqCXoP7U_0s</t>
  </si>
  <si>
    <t>Seh-xVcm6oo</t>
  </si>
  <si>
    <t>KMEdByQK7RU</t>
  </si>
  <si>
    <t>jtC_THf1-5s</t>
  </si>
  <si>
    <t>JmGkxOStmWI</t>
  </si>
  <si>
    <t>FaZ4Hc3MCSM</t>
  </si>
  <si>
    <t>ufSLghD59mc</t>
  </si>
  <si>
    <t>r0y9WGGy6WY</t>
  </si>
  <si>
    <t>qb5yC1tHtug</t>
  </si>
  <si>
    <t>gw86_5zu63Y</t>
  </si>
  <si>
    <t>Ebyi4KIAuJ0</t>
  </si>
  <si>
    <t>xFAp8wwo1Q4</t>
  </si>
  <si>
    <t>MNTmTZc17jE</t>
  </si>
  <si>
    <t>yWotzEePWfQ</t>
  </si>
  <si>
    <t>GQhNGC4UCXw</t>
  </si>
  <si>
    <t>uapH86EuJQk</t>
  </si>
  <si>
    <t>yunFFVVSpb4</t>
  </si>
  <si>
    <t>qPeHzWmgPUE</t>
  </si>
  <si>
    <t>6JsQRLhsPGw</t>
  </si>
  <si>
    <t>355YE1-1YC0</t>
  </si>
  <si>
    <t>fe8uPbC4kwY</t>
  </si>
  <si>
    <t>5_KWN7aeIU0</t>
  </si>
  <si>
    <t>Ydxz7Ap7-2g</t>
  </si>
  <si>
    <t>BnCkuogIFJU</t>
  </si>
  <si>
    <t>LXIDVOtYdqk</t>
  </si>
  <si>
    <t>zWZRBh2NIz8</t>
  </si>
  <si>
    <t>dkkJhGifbHo</t>
  </si>
  <si>
    <t>DgDR_gYk_a8</t>
  </si>
  <si>
    <t>2arNKLWYu40</t>
  </si>
  <si>
    <t>K8L-zvTjp1k</t>
  </si>
  <si>
    <t>CtZsFRIT-ww</t>
  </si>
  <si>
    <t>K3d9i9Dxduk</t>
  </si>
  <si>
    <t>yMjtjcn0waE</t>
  </si>
  <si>
    <t>-SIZ8CnVSF8</t>
  </si>
  <si>
    <t>VGQ87baO4ho</t>
  </si>
  <si>
    <t>vbdlo1_ewGM</t>
  </si>
  <si>
    <t>2vnATcE98Mc</t>
  </si>
  <si>
    <t>9pvpZru6qCA</t>
  </si>
  <si>
    <t>k_dcugPFDdY</t>
  </si>
  <si>
    <t>sKpGI2sfWlQ</t>
  </si>
  <si>
    <t>s8YVsJqBKe0</t>
  </si>
  <si>
    <t>n0TQn6Htvk4</t>
  </si>
  <si>
    <t>y8Mlv3asebU</t>
  </si>
  <si>
    <t>g399lSiehu0</t>
  </si>
  <si>
    <t>YUqTQ5whJGc</t>
  </si>
  <si>
    <t>06iBvG7z4gg</t>
  </si>
  <si>
    <t>Mjs1_e5QL80</t>
  </si>
  <si>
    <t>OcI0GtMb75k</t>
  </si>
  <si>
    <t>WmkjXkPNANo</t>
  </si>
  <si>
    <t>sKr1rBQ6Aps</t>
  </si>
  <si>
    <t>erOUE4RXaHU</t>
  </si>
  <si>
    <t>MP_zVbj74Yw</t>
  </si>
  <si>
    <t>4Zb-6lKI3Q8</t>
  </si>
  <si>
    <t>VXJyzeZTpqk</t>
  </si>
  <si>
    <t>p1TFLiSGcCA</t>
  </si>
  <si>
    <t>X5avRNn8ch4</t>
  </si>
  <si>
    <t>0NAuksfn8A0</t>
  </si>
  <si>
    <t>NN3_sdQ5cGM</t>
  </si>
  <si>
    <t>a7gBmt61SQs</t>
  </si>
  <si>
    <t>DLfOULP-1fI</t>
  </si>
  <si>
    <t>P_gxb-QhQWc</t>
  </si>
  <si>
    <t>k0FSuX6nTqg</t>
  </si>
  <si>
    <t>kqOAqkcsRAU</t>
  </si>
  <si>
    <t>xG0B7uOEPB4</t>
  </si>
  <si>
    <t>lEj-kgtb-qE</t>
  </si>
  <si>
    <t>BBhUhILLfkY</t>
  </si>
  <si>
    <t>ZxVzXLVn_oE</t>
  </si>
  <si>
    <t>XBjdnM7c9KU</t>
  </si>
  <si>
    <t>tXL38HTkR_0</t>
  </si>
  <si>
    <t>2E6xMnj3ABA</t>
  </si>
  <si>
    <t>5IGqabKbpy8</t>
  </si>
  <si>
    <t>OtwOz1GVkDg</t>
  </si>
  <si>
    <t>MrGuOclU9hU</t>
  </si>
  <si>
    <t>OeuqK5E6eLM</t>
  </si>
  <si>
    <t>jxKplTTaojE</t>
  </si>
  <si>
    <t>NQYiw1rB_Gs</t>
  </si>
  <si>
    <t>y433uE6q52M</t>
  </si>
  <si>
    <t>OLerTAy1xpc</t>
  </si>
  <si>
    <t>mrJEIzYHzbU</t>
  </si>
  <si>
    <t>4bSOrMBNwz8</t>
  </si>
  <si>
    <t>grU6Jflkcn4</t>
  </si>
  <si>
    <t>kt8NTPktMwQ</t>
  </si>
  <si>
    <t>p541zGLfhyQ</t>
  </si>
  <si>
    <t>Ze6YB1gCDYQ</t>
  </si>
  <si>
    <t>7PGoYtQmECE</t>
  </si>
  <si>
    <t>gNNYLS3myyk</t>
  </si>
  <si>
    <t>8Z1eIr8JS7Q</t>
  </si>
  <si>
    <t>Qsp1xxg-qpI</t>
  </si>
  <si>
    <t>0ULm1_OdfXI</t>
  </si>
  <si>
    <t>vsdUdfWjgo4</t>
  </si>
  <si>
    <t>-wyZFIwKWFs</t>
  </si>
  <si>
    <t>DGx7QzSo2a4</t>
  </si>
  <si>
    <t>J4WMXJHWbzw</t>
  </si>
  <si>
    <t>6tmYtU327N8</t>
  </si>
  <si>
    <t>YU9MhrYofLo</t>
  </si>
  <si>
    <t>nvEGlePDZsM</t>
  </si>
  <si>
    <t>ib2UN-wjgj8</t>
  </si>
  <si>
    <t>XOL1TsN5O1E</t>
  </si>
  <si>
    <t>bhnljbIlXAc</t>
  </si>
  <si>
    <t>3ijr2ECLTME</t>
  </si>
  <si>
    <t>8n2tw8J2lHA</t>
  </si>
  <si>
    <t>TpKnIoL776A</t>
  </si>
  <si>
    <t>IY2wmqlfBBw</t>
  </si>
  <si>
    <t>IkthHNQ32UA</t>
  </si>
  <si>
    <t>Mvj6clMW5Lw</t>
  </si>
  <si>
    <t>F_RHoq8qkXU</t>
  </si>
  <si>
    <t>Kp4bwAgLPpA</t>
  </si>
  <si>
    <t>GpXaBfXol7E</t>
  </si>
  <si>
    <t>3p7EQGGxbws</t>
  </si>
  <si>
    <t>oJCOPFsC4-8</t>
  </si>
  <si>
    <t>u6cZrIxIdnA</t>
  </si>
  <si>
    <t>14RpqF9cOec</t>
  </si>
  <si>
    <t>ev-xCmDui1s</t>
  </si>
  <si>
    <t>B33TttWLZss</t>
  </si>
  <si>
    <t>EUcBrldKMC8</t>
  </si>
  <si>
    <t>h7kyw0zOBYk</t>
  </si>
  <si>
    <t>sKgCYPI4M0g</t>
  </si>
  <si>
    <t>p_mkvJsp1Fk</t>
  </si>
  <si>
    <t>tHjGjcyzrKY</t>
  </si>
  <si>
    <t>5SVODYMRYSk</t>
  </si>
  <si>
    <t>GuxYknP_agQ</t>
  </si>
  <si>
    <t>H3_Tp2Ltrns</t>
  </si>
  <si>
    <t>9h0lK_N7X4s</t>
  </si>
  <si>
    <t>YkhkpODLpDU</t>
  </si>
  <si>
    <t>MWSGo56peN0</t>
  </si>
  <si>
    <t>jQulW27mwdg</t>
  </si>
  <si>
    <t>nrtu7ioLyaw</t>
  </si>
  <si>
    <t>axrNHcj_x_E</t>
  </si>
  <si>
    <t>2aeTd2LZp4Y</t>
  </si>
  <si>
    <t>p41RVmU27Yo</t>
  </si>
  <si>
    <t>Um78D1p-rb0</t>
  </si>
  <si>
    <t>cpZvjHAAD2k</t>
  </si>
  <si>
    <t>FObktie7WEQ</t>
  </si>
  <si>
    <t>BZB5tpaxlxY</t>
  </si>
  <si>
    <t>kpXsiU7QJSA</t>
  </si>
  <si>
    <t>ik3YyL3ztyg</t>
  </si>
  <si>
    <t>VbKWiSs9ghg</t>
  </si>
  <si>
    <t>RTiYVHqiBNc</t>
  </si>
  <si>
    <t>6thrftnxFB0</t>
  </si>
  <si>
    <t>5DbuN8U6JsI</t>
  </si>
  <si>
    <t>Sdp0zf-58ZA</t>
  </si>
  <si>
    <t>DGPJHqZD65k</t>
  </si>
  <si>
    <t>_BhTcbLhehI</t>
  </si>
  <si>
    <t>j5ABWnE2QlA</t>
  </si>
  <si>
    <t>jqSMOEaibHI</t>
  </si>
  <si>
    <t>dpTsD0g2tBc</t>
  </si>
  <si>
    <t>5xmKcOVMMME</t>
  </si>
  <si>
    <t>dOswkY8gxQw</t>
  </si>
  <si>
    <t>U8fwd3qKDOU</t>
  </si>
  <si>
    <t>qFQug6Lwan4</t>
  </si>
  <si>
    <t>A4xbL9TuHlA</t>
  </si>
  <si>
    <t>Pxlnxvuj_rA</t>
  </si>
  <si>
    <t>dBYSPMJiSyw</t>
  </si>
  <si>
    <t>yMYk98QfpGc</t>
  </si>
  <si>
    <t>TLqLe4fRJNE</t>
  </si>
  <si>
    <t>tEUw-BTkaCI</t>
  </si>
  <si>
    <t>1EcJmCYI4Sc</t>
  </si>
  <si>
    <t>dkmNiaglx8g</t>
  </si>
  <si>
    <t>4i4OmvlhfXk</t>
  </si>
  <si>
    <t>QzsIlRoCLWY</t>
  </si>
  <si>
    <t>jOY-vIxhwOY</t>
  </si>
  <si>
    <t>okkXZvYOmL0</t>
  </si>
  <si>
    <t>0B_ghLlO8qk</t>
  </si>
  <si>
    <t>kvwRAETrDgA</t>
  </si>
  <si>
    <t>YOLktWQbGzI</t>
  </si>
  <si>
    <t>zaRVjqVjY2Y</t>
  </si>
  <si>
    <t>H1Q1MmkWr4o</t>
  </si>
  <si>
    <t>BV_WpZ4Z0lk</t>
  </si>
  <si>
    <t>JozQY57D1X0</t>
  </si>
  <si>
    <t>9LgNOkd78Jk</t>
  </si>
  <si>
    <t>9ZjQILd5esk</t>
  </si>
  <si>
    <t>NmrSiOn1rgY</t>
  </si>
  <si>
    <t>0QtsyV0YBvw</t>
  </si>
  <si>
    <t>Deforestation</t>
  </si>
  <si>
    <t>Yoboo portable pump on pigeon bottle</t>
  </si>
  <si>
    <t>Alice mamando. 3 dias de vida</t>
  </si>
  <si>
    <t>Erstes Anlegen, erstes Stillen nach der Geburt.</t>
  </si>
  <si>
    <t>Objections in negotiation</t>
  </si>
  <si>
    <t>15 Desember 2022</t>
  </si>
  <si>
    <t>Fabiola conta como adora presentear com Hey Mama</t>
  </si>
  <si>
    <t>Explainer Video</t>
  </si>
  <si>
    <t>Meet Jane</t>
  </si>
  <si>
    <t>PIA NEGOTIATION Tania Davila</t>
  </si>
  <si>
    <t>Borstvoeding? Goed begonnen is half gewonnen (deel 3)</t>
  </si>
  <si>
    <t>Mothers Day Vlog</t>
  </si>
  <si>
    <t>Supporting a Child with Mental Health Issues</t>
  </si>
  <si>
    <t>PH159 Self-Compassion Group presentation</t>
  </si>
  <si>
    <t>Gender &amp; Age in EFL Context in Sociolingusitic Framework (Sociolinguistics)</t>
  </si>
  <si>
    <t>SURROUNDED BY IDIOTS BY THOMAS ERIKSON - TOP 10 LESSONS @lifeswisdomunleashed11</t>
  </si>
  <si>
    <t>psychodynamic theory by freud part -2</t>
  </si>
  <si>
    <t>M.A. 2nd semester cognitive psychology  exam paper 2016</t>
  </si>
  <si>
    <t>Essay on Education</t>
  </si>
  <si>
    <t>POST FREUDIAN APPROACHES.CLASS-12, PSYCHOLOGY, CHAPTER-2 #psychology #msw #class12 #cbse #ncert</t>
  </si>
  <si>
    <t>Control of Microorganisms</t>
  </si>
  <si>
    <t>#psychology #class12th #feedbacks #mystudents #psychologyclasses</t>
  </si>
  <si>
    <t>Lifespan perspective || Development psychology || Presentation</t>
  </si>
  <si>
    <t>ASSESSMENT OF PSYCHOLOGICAL ATTRIBUTES</t>
  </si>
  <si>
    <t>NATURE &amp; CAUSES OF FORGETTING</t>
  </si>
  <si>
    <t>LATENT LEARNING BY TOLMAN</t>
  </si>
  <si>
    <t>Development: a Multidimensional Concept' (CTPSR Book Launch)</t>
  </si>
  <si>
    <t>Strategi SDM di Era Digital</t>
  </si>
  <si>
    <t>Unique Selling Point dalam Aspek Sustainable Marketing Strategy bagi Bisnis Pemula (IKEA)</t>
  </si>
  <si>
    <t>Rekrutmen dan Seleksi</t>
  </si>
  <si>
    <t>गुरु शिष्य _xD83D__xDE0A_create smile</t>
  </si>
  <si>
    <t>future perfect continuous tense</t>
  </si>
  <si>
    <t>NAUTRE Sabu Nivas</t>
  </si>
  <si>
    <t>May Parent Video</t>
  </si>
  <si>
    <t>What we Do with what we Know</t>
  </si>
  <si>
    <t>1000 Points Revision Series I Unit-8 Genetics I Quantitative Genetics I Ashutosh Tiwari</t>
  </si>
  <si>
    <t>Autism Spectrum Disorder - Special Education</t>
  </si>
  <si>
    <t>RIGHT TO LIFE COMMERCIAL</t>
  </si>
  <si>
    <t>Person Centered Therapy</t>
  </si>
  <si>
    <t>Parenting a child with special needs: Resources and support for navigating the journey.</t>
  </si>
  <si>
    <t>Disadvantages of Technology on Education</t>
  </si>
  <si>
    <t>The Best Strategy To Use For How to Fight Depression Without Medication</t>
  </si>
  <si>
    <t>Anxiety Disorder l Types of Anxiety Disorder, symptoms, treatments l</t>
  </si>
  <si>
    <t>Gastrointestinal Stromal Tumor (GIST)  | Dr Soumen Roy</t>
  </si>
  <si>
    <t>Blood Test | #medcare #medcare #healthcare #medical #medcare_Metropolis</t>
  </si>
  <si>
    <t>Difference between cardiac asthma and bronchial asthma</t>
  </si>
  <si>
    <t>My Story TMAU Symptoms | KingdomPrincessRae</t>
  </si>
  <si>
    <t>Unboxing and Assembly of my Specialized Tarmac SL7 Comp</t>
  </si>
  <si>
    <t>Potomac Dental Welcome Message</t>
  </si>
  <si>
    <t>Diffuse Axonal Injury (DAI) : Understanding the primary mechanism behind traumatic brain injury.</t>
  </si>
  <si>
    <t>Liver Lesion Characterization</t>
  </si>
  <si>
    <t>How To Properly Clean Rat (And Other Rodent) Droppings | Orkin Canada</t>
  </si>
  <si>
    <t>Discovering the Power of Tantric Yoga: A Comprehensive Introduction</t>
  </si>
  <si>
    <t>SMA/Superior Mesenteric Artery Syndrome Treatment Los Angeles CA | Danny Shouhed MD</t>
  </si>
  <si>
    <t>The Power of Breath: How to Breathe Easy and Improve Your Life</t>
  </si>
  <si>
    <t>How to Safely Store Your Liquid Gold:  Breast Milk Storage Guide</t>
  </si>
  <si>
    <t>Adolescent Depression</t>
  </si>
  <si>
    <t>Amniotic Fluid Embolism: The Silent Threat During Childbirth</t>
  </si>
  <si>
    <t>Say Goodbye to Your Beer Belly: Tips and Tricks for a Flat Stomach</t>
  </si>
  <si>
    <t>Unlocking the Mystery of Lichen Planus : Everything You Need to Know</t>
  </si>
  <si>
    <t>Are Honey and Lemon are Your Skin's New Best Friends ?</t>
  </si>
  <si>
    <t>The Ultimate Guide to Hair Removal: Waxing vs. Shaving</t>
  </si>
  <si>
    <t>The Ultimate Lower Belly Fat Blast: Tips and Tricks</t>
  </si>
  <si>
    <t>The Silent Killer: Understanding Intestinal LymphomaIntestinal Lymphoma</t>
  </si>
  <si>
    <t>From Haze to Harm: The Impact of Air Pollution on Lung Cancer</t>
  </si>
  <si>
    <t>Battle of the Underarms: Deodorants vs Antiperspirants</t>
  </si>
  <si>
    <t>Say Goodbye to Phlegm: Expert Tips and Tricks for Clearing Your Airways!</t>
  </si>
  <si>
    <t>What You Need to Know About Free Floating Anxiety</t>
  </si>
  <si>
    <t>What Does the bible say about Jealously?</t>
  </si>
  <si>
    <t>Class - 8 Computer objective question for ssc RRB UPPCL CGL CHSL / compititive exam #sunxclassesgk</t>
  </si>
  <si>
    <t>begs-183|| homonyms, homophones &amp;homographs|| important question||@rzlearning7787 #begs183</t>
  </si>
  <si>
    <t>Study plan for Beginners and working || To Do list in EFFECTIVE way for #banking Exam #bank #rbi</t>
  </si>
  <si>
    <t>Dramatic Monologue by Robert Browning ,Ma English notes</t>
  </si>
  <si>
    <t>B.ed Code #8610 part 4 #emotional_development #individual_difference</t>
  </si>
  <si>
    <t>ALLEN TATE IN EASY LANGUAGE IN HINDI # LITERARY THEORY # NEW CRITICISM</t>
  </si>
  <si>
    <t>National Child Labour Project/Scheme(NCLP) | Government Scheme | Ministry of Labour and Employment.</t>
  </si>
  <si>
    <t>Language skills (3)#englishpedagogy #ctet2023</t>
  </si>
  <si>
    <t>Methods of Teaching English(5)_xD83E__xDD18_#englishpedagogy #ctet2023</t>
  </si>
  <si>
    <t>Research Top Most MCQs and PYQs - 1 | NET JRF 2023 | Dr. Lokesh Meena</t>
  </si>
  <si>
    <t>Education UGC NET,  Assistant Professor Education / B.Ed. I Complete course on #educators_plus App</t>
  </si>
  <si>
    <t>EASY TRICK TO LEARN FUNCTIONS OF BLOOD// ANATOMY AND PHYSIOLOGY// CIRCULATORY SYSTEM</t>
  </si>
  <si>
    <t>anxiety disorder || mental health nursing (psychiatric nursing) || bsc nursing/gnm</t>
  </si>
  <si>
    <t>scope of mental health nursing || scope of psychiatric nursing</t>
  </si>
  <si>
    <t>PINEAL GLAND | STRUCTURE | FUNCTION | PHYSIOLOGY | MELATONIN | SEROTONIN | ENDOCRINE SYSTEM | PART-6</t>
  </si>
  <si>
    <t>research assumption,what is research assumption,nursing research assumption.definition of assumption</t>
  </si>
  <si>
    <t>Difference between children and Adults.(child health nursing 3rd year)</t>
  </si>
  <si>
    <t>Head Injury - Causes - Symptoms - Treatment - Types - GCS Scale (Nursing Lecture in Hindi MSN 2 )</t>
  </si>
  <si>
    <t>Notes Of First Five Year Plan (1951-56) in Community Health Nursing - II .(Bsc Nursing 4th year)</t>
  </si>
  <si>
    <t>Notes Of Second, Third  And Fourth Five year Plan in Community health nursing II in Hindi.</t>
  </si>
  <si>
    <t>Notes Of Five Year Plan in Community Health Nursing - II .(Bsc Nursing 4th year)</t>
  </si>
  <si>
    <t>Artificial feeding</t>
  </si>
  <si>
    <t>Guillain barre syndrome [ Nursing lectures in hindi 3rd year ]</t>
  </si>
  <si>
    <t>Reconstructive - Cosmetic - Plastic Surgery types in Burn Injury - ( Nursing Lecture in Hindi MSN 2)</t>
  </si>
  <si>
    <t>Nursing Management Of Low Birth Weight Baby in Pediatrics in Hindi (Unit 3) (Bsc Nursing And GNM)</t>
  </si>
  <si>
    <t>Epilepsy ( Seizures ) - [ Nursing lecture in hindi M.S.N 2nd ]</t>
  </si>
  <si>
    <t>Notes Of Dissociative Disorder in Mental Health Nursing (Psychiatric)  in Hindi.</t>
  </si>
  <si>
    <t>9.9.2016 Eva's 6 month checkup(5)</t>
  </si>
  <si>
    <t>Actual Output Defined with Examples | Urdu &amp; Hindi</t>
  </si>
  <si>
    <t>Weighted Moving Average | Urdu &amp; Hindi</t>
  </si>
  <si>
    <t>Simple Coiled Tubular Gland under the microscope with HE stain</t>
  </si>
  <si>
    <t>Karyotype analysis | Spectral karyotype SKY technique | Chromosomal analysis | Syndromes</t>
  </si>
  <si>
    <t>Complete Concept of Forecasting Part-2| All States AE-JE Exams #sscje #unacademy</t>
  </si>
  <si>
    <t>Chromosome Nomenclature _ Chromosome Structure | DNA</t>
  </si>
  <si>
    <t>BC masking audiometer PTA</t>
  </si>
  <si>
    <t>Watercolor Time-lapse: Crashing Wave</t>
  </si>
  <si>
    <t>Expanding Newborn Screening Through Genome Sequencing: An ELSI Perspective</t>
  </si>
  <si>
    <t>3 tricks to work on Bill of Materials (BOMs) in a data table</t>
  </si>
  <si>
    <t>Karyotyping procedure and Abnormality</t>
  </si>
  <si>
    <t>Train Museum Hero</t>
  </si>
  <si>
    <t>ETSU Housing</t>
  </si>
  <si>
    <t>Hearing4all - Research Area B</t>
  </si>
  <si>
    <t>Lunch and Learn - Actions at the Nexus of Environmental Justice and DEI</t>
  </si>
  <si>
    <t>Episode 13: Healthy Outcomes from Positive Experiences</t>
  </si>
  <si>
    <t>Episode 10: J. Carello &amp; P. Thompson, Centering Student Learning Promotes Compassion</t>
  </si>
  <si>
    <t>Interior Spaces</t>
  </si>
  <si>
    <t>Episode 9: Hannah Lawman, A Journey Through Obesity, Weight Bias, and Obesity Treatment</t>
  </si>
  <si>
    <t>Lunch and Learn - Learning How to Communicate Across Cultures</t>
  </si>
  <si>
    <t>WGS on Wednesdays - Kalia Yeagle</t>
  </si>
  <si>
    <t>Lunch and Learn - Universal Design for Learning in Higher Education</t>
  </si>
  <si>
    <t>Lunch and Learn - DEI and the Criminal Justice System</t>
  </si>
  <si>
    <t>EDL 951  Case Study</t>
  </si>
  <si>
    <t>The Effects of Schizophrenia</t>
  </si>
  <si>
    <t>Module 1 Assignment: Leadership Book Review - Kelly Murphy 5-5-2023  FINAL VIDEO</t>
  </si>
  <si>
    <t>Value-Based Leadership For SEL Reflection</t>
  </si>
  <si>
    <t>Interoception  Your own Spidey-Sense!</t>
  </si>
  <si>
    <t>COUC 522 presentation</t>
  </si>
  <si>
    <t>Embrace Equity - The Profitability of Bias</t>
  </si>
  <si>
    <t>Conference presentation (Philosophy)</t>
  </si>
  <si>
    <t>Letting go of your divorce story</t>
  </si>
  <si>
    <t>De-Escalation Techniques for a Mental Health Crisis</t>
  </si>
  <si>
    <t>Dr. Tim Campbell discussed the Case of Family O</t>
  </si>
  <si>
    <t>How I Stopped My Gambling Addiction</t>
  </si>
  <si>
    <t>Alcohol Assessment with Motivational Enhancement Therapy</t>
  </si>
  <si>
    <t>Coffee with Credible Training on May 2, 2022</t>
  </si>
  <si>
    <t>April 27, 2023  Amanda Luftman, Esq. Managing Partner, Boren, Osher &amp; Luftman, Entrances and Exits</t>
  </si>
  <si>
    <t>4 Tips to Master Medical Terminology Without a Medical Degree</t>
  </si>
  <si>
    <t>How Hospital Social Workers Condense Biopsychosocial Assessments</t>
  </si>
  <si>
    <t>Biopsychosocial Assessment</t>
  </si>
  <si>
    <t>NCE/CPCE Study Session: Group Counseling and Career Development</t>
  </si>
  <si>
    <t>Signs and Symptoms of Behavioral Addictions.</t>
  </si>
  <si>
    <t>Trauma Related Symptoms Hyperactivity and Restlessness</t>
  </si>
  <si>
    <t>Distress Tolerance | #Stress Awareness Month</t>
  </si>
  <si>
    <t>Trauma Related Symptoms Anxiety</t>
  </si>
  <si>
    <t>The Unique Cytoarchitecture and Wiring of The Default Mode Network</t>
  </si>
  <si>
    <t>Trauma Related Symptoms Hypervigilance and Exaggerated Startle Response</t>
  </si>
  <si>
    <t>Aftercare Decoded with Paul Lawler</t>
  </si>
  <si>
    <t>Phrases to Develop Confidence and Empowerment</t>
  </si>
  <si>
    <t>What are the Different Types of Depression and Tips for Recovery | Counselor Continuing Education</t>
  </si>
  <si>
    <t>The Vagus Nerve and Strategies to Strengthen Vagal Tone</t>
  </si>
  <si>
    <t>MINDSPACE an Evidence Based Prevention Practice</t>
  </si>
  <si>
    <t>The Stress Response and the HPA Axis | #Stress Awareness Month</t>
  </si>
  <si>
    <t>How Do I know When to Seek Counseling and What Should I Expect</t>
  </si>
  <si>
    <t>Responding to Toxic People and Environments | 2023 Update Reupload with sound fixed.</t>
  </si>
  <si>
    <t>Anger, Anxiety, Depression Make the Connection |  Counselor  Education Series</t>
  </si>
  <si>
    <t>Signs and Causes of Burnout and Secondary Trauma</t>
  </si>
  <si>
    <t>Trauma related Symptoms Executive Functioning Deficits</t>
  </si>
  <si>
    <t>Trauma Related Symptoms Pessimism</t>
  </si>
  <si>
    <t>Vulnerability Awareness and Tools to Address Them | Counselor Continuing Education</t>
  </si>
  <si>
    <t>Impact of Chronic Pain and Cognitive Behavioral Therapy Strategies for Prevention &amp; Pain Management</t>
  </si>
  <si>
    <t>Radical Candor</t>
  </si>
  <si>
    <t>Journalists Mentorship Programme 2nd Session 2 Meeting Recording</t>
  </si>
  <si>
    <t>Engaging English Class 7 Unit 17 | Miss Smith and the Black Pearl Explanation | Miss Smith &amp; The Bla</t>
  </si>
  <si>
    <t>Definition And Nature OF Thinking</t>
  </si>
  <si>
    <t>South African Constitution</t>
  </si>
  <si>
    <t>L4 Science ll by Pragati shelote &amp; Team COMETE (10/05/23)</t>
  </si>
  <si>
    <t>Psychosexual Stages of Development ] Psychodynamic Approach ] Urdu/Hindi #wellnessbyfarah</t>
  </si>
  <si>
    <t>Iqta System | Part-1 | Delhi Sultanate | B.A Prog.| 3 Semester| UPSC| PCS</t>
  </si>
  <si>
    <t>how to write statement of purpose (SOP) SIMPLE AND EASY WAY. #sop #phdadmission2023 #admission</t>
  </si>
  <si>
    <t>MITOCHONDRIA diagram | Cell organelle - Mitochondria diagram Class 9</t>
  </si>
  <si>
    <t>Linkage.. ( definition, types, examples of complete and incomplete linkage,)</t>
  </si>
  <si>
    <t>What is Ionic Compounds | Class 10 | Chemistry | #chemistry #class10chemistry</t>
  </si>
  <si>
    <t>what is Sensation? psychology topic for bsc nursing students..#nursingstudent #easylearning</t>
  </si>
  <si>
    <t>#shortsvideo #study #viral #guru #agriculture#bscagriculture</t>
  </si>
  <si>
    <t>Ch 1 Introduction to Macroeconomics I One shot I Class 12 Economics</t>
  </si>
  <si>
    <t>Iqta System under Delhi Sultanate| Lec 4: Medieval Indian History| Optional| UPSC, PCS| Edushine IAS</t>
  </si>
  <si>
    <t>Todo,Basant Aaya-Raghuveer Sahay Class 12 Antraa Hindi तोड़ो, बसन्त आया रघुवीर सहाय अंतरा हिन्दी</t>
  </si>
  <si>
    <t>#Split gene or interrupted gene_xD83D__xDD25_..</t>
  </si>
  <si>
    <t>SELF AND PERSONALITY- INTRODUCTION. CLASS-12,PSYCHOLOGY, CHAPTER-2.#psychology #cbse #ncert #class12</t>
  </si>
  <si>
    <t>Aspirations and Goals of a Society - NCERT| Class 11 Political Science</t>
  </si>
  <si>
    <t>Eric Newby’s “A Short Walk in the Hindu Kush” with Aaron Millar</t>
  </si>
  <si>
    <t>Solutions | Raoult's Law | CBSE 12 Chemistry | CBSE Boards 2024 | Monica Bedi</t>
  </si>
  <si>
    <t>CUET 2023 | Complete Physics - Mock Test Papers | Physics Domain | CUET Exam 2023</t>
  </si>
  <si>
    <t>Trigonometric Functions - Exercise 3.2 Concept Overview (Part 2) | Class 11 Maths Chapter 3</t>
  </si>
  <si>
    <t>Excretion in Human Beings - Life Processes | Class 10 Biology Chapter 5 (LIVE)</t>
  </si>
  <si>
    <t>CBSE Sample Paper Solution 2024 | CBSE Sample Paper Class 12 Informatics Practices|Code 065| 2023-24</t>
  </si>
  <si>
    <t>Different Ways to Use English Words &amp; Phrases | Basic English vs Advanced English (Part 6)</t>
  </si>
  <si>
    <t>Humanistic - Existential Therapy | Class 12 Psychology Chapter 5</t>
  </si>
  <si>
    <t>Therapeutic Relationship | Class 12 Psychology Chapter 5</t>
  </si>
  <si>
    <t>Cognitive Therapy  - Therapeutic Approaches | Class 12 Psychology Chapter 5</t>
  </si>
  <si>
    <t>DEPENDENT PERSONALITY DISORDER</t>
  </si>
  <si>
    <t>Finance for non-financial managers</t>
  </si>
  <si>
    <t>Psychosocial Hazards</t>
  </si>
  <si>
    <t>Happy Easter!</t>
  </si>
  <si>
    <t>Bulimia</t>
  </si>
  <si>
    <t>Studying vaccines for CMV (cytomegalovirus)</t>
  </si>
  <si>
    <t>Why having no time for yourself is nothing to brag about - the cult of busy</t>
  </si>
  <si>
    <t>Why you shouldn’t expect your PR story to ‘go viral’</t>
  </si>
  <si>
    <t>តើអូទីស្សឹមអាចព្យាបាលឲ្យជាបានដែរឬទេ? - Q&amp;A</t>
  </si>
  <si>
    <t>Cyber Services Snapshot 3</t>
  </si>
  <si>
    <t>‘Understanding No win – no fee’: avoid the pitfalls</t>
  </si>
  <si>
    <t>All suspected concussions should be taken seriously.</t>
  </si>
  <si>
    <t>The Symptoms of Vitamin B12 Deficiency | An Easy Guide To Vitamin B12 | Zooki</t>
  </si>
  <si>
    <t>What is Vitamin B12? | An Easy Guide To Vitamin B12 | Zooki</t>
  </si>
  <si>
    <t>What are the benefits of Vitamin B12? An Easy Guide To Vitamin B12? | Zooki</t>
  </si>
  <si>
    <t>Commercial real estate vocabulary</t>
  </si>
  <si>
    <t>How to make Chlorophyll Juice | Juice with me| Chlorophyll Juice Recipe</t>
  </si>
  <si>
    <t>5 Theories on Narcissism: Which one Fits You?</t>
  </si>
  <si>
    <t>An absessed tooth can lead to endocarditis!!</t>
  </si>
  <si>
    <t>Vaginal Pain During Sitting,intercourse|Symptoms,causes,Management</t>
  </si>
  <si>
    <t>3 Possible Signs of stroke | How to identify?? |stroke (disease or medical condition)</t>
  </si>
  <si>
    <t>3 Things I Do To Cultivate Joyful Energy☺️☮️</t>
  </si>
  <si>
    <t>Fortnite dance The Breakfast Club?!</t>
  </si>
  <si>
    <t>Revealing the Secret to Mastering Doodly - You Won't Believe What Happens Next! #follow #idioms</t>
  </si>
  <si>
    <t>Meerschaert McKenzie-tine Guillotine finish</t>
  </si>
  <si>
    <t>How to make a hot towel at home</t>
  </si>
  <si>
    <t>NW Maids House Cleaning Service - Discover Part-Time House Cleaning Jobs in Tacoma</t>
  </si>
  <si>
    <t>How to Strip Tub Guard Non Slip Coating from Bathtub</t>
  </si>
  <si>
    <t>How to Get Over a Breakup</t>
  </si>
  <si>
    <t>Tip toe squat</t>
  </si>
  <si>
    <t>Dance Tutorial - Kick Ball Change| BNDC Jazz Basics</t>
  </si>
  <si>
    <t>Essential Business Skills for Success</t>
  </si>
  <si>
    <t>How to Prepare and Speak in Public</t>
  </si>
  <si>
    <t>How to Have Good Manners - Part 02</t>
  </si>
  <si>
    <t>How to Take Care of Your Feet and Nails</t>
  </si>
  <si>
    <t>How to Enjoy Winter</t>
  </si>
  <si>
    <t>How to Care for Aged Parents</t>
  </si>
  <si>
    <t>How to Have a Natural Skincare Routine | Part 1</t>
  </si>
  <si>
    <t>How to Have a Merry Christmas</t>
  </si>
  <si>
    <t>How to Do Physical Therapy Exercises for the Knees</t>
  </si>
  <si>
    <t>How to Have Good Manners</t>
  </si>
  <si>
    <t>How To Play Chess Like A Grandmaster</t>
  </si>
  <si>
    <t>Bulimia nervosa - causes, symptoms, diagnosis, treatment &amp; pathology</t>
  </si>
  <si>
    <t>Federal government confiscation program – April 26, 2023</t>
  </si>
  <si>
    <t>Koch's Postulates</t>
  </si>
  <si>
    <t>Food Borne infections #foodmicrobiology #foodtechnologist</t>
  </si>
  <si>
    <t>chap 16 second year biology short and long questions support and movement</t>
  </si>
  <si>
    <t>Introduction to Biology: Chapter 1 9th class STBB by Prof:Iftikhar Ali Sheeno</t>
  </si>
  <si>
    <t>Introduction of gaseous  exchange Chapter1 10th class biology  (STBB)   #Iftikharbiologyaccadmay</t>
  </si>
  <si>
    <t>chap 15 homeostasis short and long questions biology second year</t>
  </si>
  <si>
    <t>Food inffuction #foodmicrobiology #foodtechnologist #foodpreservation</t>
  </si>
  <si>
    <t>Osteoprosis | B Pharmacy 2nd semester pathophysiology | Osteoprosis disease in full detail |</t>
  </si>
  <si>
    <t>Gout disease | B pharmacy 2nd semester pathophysiology | Gout disease in full detail |</t>
  </si>
  <si>
    <t>#CBSCclass10 Nutrition.</t>
  </si>
  <si>
    <t>PSYCHOSOCIAL PHARMACY #pharmacy #socialpharmacy #dpharma #psychotropic #narcotic #studypool Pharma</t>
  </si>
  <si>
    <t>Classroom Sensory Overload [SEIZURE WARNING]</t>
  </si>
  <si>
    <t>#Concentration In Sport Psychology in urdu &amp; hindi by aleeza yaqoob @learningwithaleeza</t>
  </si>
  <si>
    <t>FEMALE UTERUS MODEL -LAB</t>
  </si>
  <si>
    <t>Holiday Heart Syndrome | Diagnosis and Treatment | Cardiology</t>
  </si>
  <si>
    <t>Malaria । community health nursing ।2nd yr BSC nursing ।sk nursing way ।</t>
  </si>
  <si>
    <t>trachea functions of trachea, bronchi #bronchioles alveoli #respiratory system gnm 1st year</t>
  </si>
  <si>
    <t>Classification of crude drugs 5 in one class</t>
  </si>
  <si>
    <t>Childhood polycystic kidney disease | Pathogeneses| Morphology | Clinical features</t>
  </si>
  <si>
    <t>The Menstrual Cycle | Phases of the Menstrual Cycle | Gynecology</t>
  </si>
  <si>
    <t>EYE, STRUCTURE OF EYE (PART 3), VISUAL PATHWAY, OPTIC NERVE, OPTIC CHIASMA, EXPLAINED IN HINDI, JIBI</t>
  </si>
  <si>
    <t>Lymphatic System (Part 2), Lumph Nodes, Structure of Lymph Node, Explained in Hindi, Jibi Sebastian</t>
  </si>
  <si>
    <t>EYE, PHYSIOLOGY OF VISION, REFRACTION OF LIGHT, CHANGING SIZE OF LENSE, ACCOMMODATION, IN HINDI</t>
  </si>
  <si>
    <t>BLOOD GROUPS, BLOOD GROUPING, BLOOD GROUP A, B, AB AND O</t>
  </si>
  <si>
    <t>BLOOD &amp; BLOOD CELLS, IMPORTANT POINTS ONLY, RBCs, WBCs, PLATELETS, COMPOSITION OF BLOOD, REVISION</t>
  </si>
  <si>
    <t>BLOOD, BLOOD CELLS, RBCs, WBCs, PLATELETS, COMPOSITION OF BLOOD, PLASMA, TYPES OF BLOOD CELLS</t>
  </si>
  <si>
    <t>SENSE ORGANS, STRUCTURE OF EAR, INNER EAR, VESTIBULE, COCHLEA, SEMI CIRCULAR CANALS, EAR ANATOMY</t>
  </si>
  <si>
    <t>STRUCTURE OF EYE (PART 2), INTERIOR STRUCTURE OF EYE, ANATOMY OF EYE, EXPLAINED IN HINDI, JIBI</t>
  </si>
  <si>
    <t>SENSE OF SMELL &amp; TASTE, NOSE &amp; NASAL CAVITY, TASTE BUDS, SENSE ORGANS, EXPLAINED IN HINDI, JIBI</t>
  </si>
  <si>
    <t>Lymphatic System (Part 3), Lymph Circulation, Circulation of Lymph, Transport of Lymph, In Hindi</t>
  </si>
  <si>
    <t>SENSE ORGANS, STRUCTURE OF EAR, PHYSIOLOGY OF HEARING AND BALANCE, HEARING &amp; BALANCE, IN HINDI</t>
  </si>
  <si>
    <t>MENTAL STATUS EXAMINATION, MSE, MENTAL STATUS EXAM, SIMPLE EXPLANATION</t>
  </si>
  <si>
    <t>MCQs of Excretory System, Objective Questions of Urinary System, Multiple Choice Questions, In Hindi</t>
  </si>
  <si>
    <t>NORCET-2023 | Triage Series | Psychiatric Nursing #5 | Most Important Questions | By Suraj Sir</t>
  </si>
  <si>
    <t>L34 #Disorder of cardiovascular system #Pedia #norcet 23 / ESIC / BHU Class By Pawan Sir Daily 5 PM</t>
  </si>
  <si>
    <t>"Important Terminology" of Psychiatric nursing || For Bsc/Gnm  || in Hindi</t>
  </si>
  <si>
    <t>TECHNOPRENEUR CASE STUDY ANALYSIS</t>
  </si>
  <si>
    <t>90 secs Presentation (Iteration 1) 2223-sem2-m1-07</t>
  </si>
  <si>
    <t>Fmge #10 #protein</t>
  </si>
  <si>
    <t>educational psychology and it's nature</t>
  </si>
  <si>
    <t>psychological measurement and testing #psychology #malayalam #pmt</t>
  </si>
  <si>
    <t>Principles of Object-Oriented Programming || Lecture 3 || Saleem Bhatti</t>
  </si>
  <si>
    <t>Hydrocephalus Kya hote hai | Types| Cause| Signs| Symptoms &amp; Treatment|Microcephalus|#medical#physio</t>
  </si>
  <si>
    <t>INTELLECTUAL DISABILITY</t>
  </si>
  <si>
    <t>MENTAL STATUS EXAMINATION</t>
  </si>
  <si>
    <t>Inheritance Related to Chromosomal Aberrations</t>
  </si>
  <si>
    <t>listening activity</t>
  </si>
  <si>
    <t>Neurodevelopmental Disorder | #psychology | #parenting | B.ED | M.ED</t>
  </si>
  <si>
    <t>MHC 670 Summer 2022 Syllabus Intro</t>
  </si>
  <si>
    <t>Behavior Management Video</t>
  </si>
  <si>
    <t>What is the language of consciousness?</t>
  </si>
  <si>
    <t>Lecture Summary</t>
  </si>
  <si>
    <t>What constitutes happiness? Presentation of College Writing</t>
  </si>
  <si>
    <t>PSY350 TED</t>
  </si>
  <si>
    <t>HOW SHAME SHOWS UP IN THE CLASSROOM.</t>
  </si>
  <si>
    <t>Dementia Wellness Presentation</t>
  </si>
  <si>
    <t>Depression Fundamentals Explained</t>
  </si>
  <si>
    <t>Global Virtual Teams -Students' group work</t>
  </si>
  <si>
    <t>Emergency Management of Diverse Patient Scenarios</t>
  </si>
  <si>
    <t>Schizophrenia - Pathophysiology, Types, First Rank Symptoms, Management - HIGH YIELD</t>
  </si>
  <si>
    <t>5 Ways Dogs Help ADHD Brains -- in 360 Degrees!!!</t>
  </si>
  <si>
    <t>Financial Accounting, Content and Purpose of Financial Reporting</t>
  </si>
  <si>
    <t>Thiele</t>
  </si>
  <si>
    <t>Leadership Model Video Presentation</t>
  </si>
  <si>
    <t>Healthcare Model Leadership Presentation</t>
  </si>
  <si>
    <t>Masterclass</t>
  </si>
  <si>
    <t>Pamorelin 22.5mg</t>
  </si>
  <si>
    <t>Difference Between Starch And Sugar | learning lessons</t>
  </si>
  <si>
    <t>tonet</t>
  </si>
  <si>
    <t>Basic Structure and Function of DNA</t>
  </si>
  <si>
    <t>Health Services In School | B.Ed. 1 Semester | In Hindi #Gyan pe</t>
  </si>
  <si>
    <t>Jean Piaget Theory of Learning by Prof. Sujata Saha, Head, Department of Education</t>
  </si>
  <si>
    <t>All about Urocit-k (potassium citrate)/pharmacy/pharmacist/pharm d.</t>
  </si>
  <si>
    <t>HRT 05M Sushmita Kunwar Research Question 39V</t>
  </si>
  <si>
    <t>Data collection, #how #research #howto #new #trending #video #shorts #thesis #data #thesis #viral</t>
  </si>
  <si>
    <t>My pregnancy story | ये subchorionic hemorrhage क्या होता है?? | Mother healthcare part#1</t>
  </si>
  <si>
    <t>TH DIA 00387 Januvia Janumet Janumet XR</t>
  </si>
  <si>
    <t>Addnok n tablet use in hindi, (Buprenorphine), side effect, Dose</t>
  </si>
  <si>
    <t>theories of disease causation   bsc nursing 2nd year</t>
  </si>
  <si>
    <t>Buprenorphine injection use in hindi, dose , side effects full details</t>
  </si>
  <si>
    <t>Gestational sac malayalam/ gestational sac size/ weeks/ absence of gestational sac</t>
  </si>
  <si>
    <t>BIOLOGICAL THEORIES OF AGING  (RANDOM EVENTS)</t>
  </si>
  <si>
    <t>INDERAL - Generic Name, Drug class, Precautions ,  How to use,  Side Effects</t>
  </si>
  <si>
    <t>EPIDEMIOLOGY OF HEPATITIS- C  Define, epidemiological, pathophysiology, management, interventions</t>
  </si>
  <si>
    <t>JALYN -  Generic Name, Drug class, Precautions ,  How to use,  Side Effects Drug class,</t>
  </si>
  <si>
    <t>INCRUSE ELLIPTA - Generic Name, Drug class, Precautions ,  How to use,  Side Effects</t>
  </si>
  <si>
    <t>INDAPAMIDE - -  Generic Name, Drug class, Precautions ,  How to use,  Side Effects.</t>
  </si>
  <si>
    <t>ASSESSMENT OF THORAX - normal &amp; abnormal heart sounds , normal &amp; abnormal respiratory sounds</t>
  </si>
  <si>
    <t>NATIONAL HEALTH &amp; FAMILY WELFARE PROGRAMMES AND THE ROLE OF NURSE</t>
  </si>
  <si>
    <t>Distinction Between Osteomyelitis. and Osteomalacia</t>
  </si>
  <si>
    <t>ANTI-MÜLLERIAN HORMONE TEST - Medical  Lab Tests - What is? , Uses , Need ,  Preparation , Result</t>
  </si>
  <si>
    <t>BLOOD GLUCOSE TEST -  Medical  Lab Tests -  What is?  , Uses , Need ,  Preparation , Results</t>
  </si>
  <si>
    <t>Distinction Between Esophageal Cancer and Throat Cancer</t>
  </si>
  <si>
    <t>TRAINING AND SUPERVISION OF   HEALTH WORKERS - define, objectives, training, purpose</t>
  </si>
  <si>
    <t>Dyslexia 360° - How does a child with dyslexia feel? - Virtual reality</t>
  </si>
  <si>
    <t>Autism TMI Virtual Reality Experience</t>
  </si>
  <si>
    <t>Autism Simulation</t>
  </si>
  <si>
    <t>CMST 220 Speaking to Persuade Video Lecture</t>
  </si>
  <si>
    <t>CVM Teaching Tip: Imposter syndrome</t>
  </si>
  <si>
    <t>Discover the Real YOU! _xD83E__xDD2F_ Self-Verification Theory Secrets REVEALED (Boost Your Confidence!)</t>
  </si>
  <si>
    <t>how i manifested my dream apartment, car, &amp; lifestyle</t>
  </si>
  <si>
    <t>PSYC 206 - Lecture 4 - Part 5</t>
  </si>
  <si>
    <t>PSYC 206 - Lecture 4 - Part 2</t>
  </si>
  <si>
    <t>#Mnemonic for spinal cord composition.</t>
  </si>
  <si>
    <t>PSYC 206 - Lecture 3 - Part 5</t>
  </si>
  <si>
    <t>Life Insurance Myths And Misconceptions</t>
  </si>
  <si>
    <t>Winding up and Winding down | Dr Varudhini Kankipati | Silly Monks</t>
  </si>
  <si>
    <t>Hypothalamic nuclei [Visual Mnemonic]</t>
  </si>
  <si>
    <t>Unbelievable Trick to WIN Salary Negotiations - You'll NEED THIS!</t>
  </si>
  <si>
    <t>Antisocial Personality Disorder</t>
  </si>
  <si>
    <t>HYPOTHALAMUS AND EPITHALAMUS</t>
  </si>
  <si>
    <t>The difference between anxiety and stress</t>
  </si>
  <si>
    <t>Hope in the Deep End Podcast - Infant Parenting</t>
  </si>
  <si>
    <t>What Is Persistent Depressive Disorder? (Dysthymia) | Symptoms | Dr Varudhini Kankipati</t>
  </si>
  <si>
    <t>The First Signs of My Schizoaffective Disorder</t>
  </si>
  <si>
    <t>Depression &amp; Dysthymia Mnemonics (Memorable Psychiatry Lecture)</t>
  </si>
  <si>
    <t>Easy ways to use ChatGPT as a wedding photographer</t>
  </si>
  <si>
    <t>The Invisible Workload of Motherhood   How to Lighten Mom’s Load and Show Appreciation</t>
  </si>
  <si>
    <t>Dysexecutive Syndrome</t>
  </si>
  <si>
    <t>The One Thing Homeowners Must Do Before Hiring a General Contractor!</t>
  </si>
  <si>
    <t>Scar Revision - What does it involve?</t>
  </si>
  <si>
    <t>How to make the diet work. The one and only requisite for an effective diet.</t>
  </si>
  <si>
    <t>What is a Session 0? (Updated) Setting expectations and establishing ground rules for your group.</t>
  </si>
  <si>
    <t>SEO Tips and Ideas for Local Businesses 2023</t>
  </si>
  <si>
    <t>Post SSRI Sexual Dysfunction (PSSD) from Zoloft (Sertraline)</t>
  </si>
  <si>
    <t>LIFTtherapy | I Don't Want to Have Sex. What's Wrong with Me?</t>
  </si>
  <si>
    <t>Things You May Not Know About ADHD - Part 14 #shorts #passion</t>
  </si>
  <si>
    <t>What is bipolar cyclothymia? here's my experience</t>
  </si>
  <si>
    <t>Importance Of Dental Hygiene | Primary Health Network</t>
  </si>
  <si>
    <t>Psychiatrist explains what happens in your first integrative psychiatry appointment</t>
  </si>
  <si>
    <t>10 Coping Skills for Addiction and Recovery | Applied Care Services</t>
  </si>
  <si>
    <t>Agoraphobia Treatment: Dr. Jordan Peterson explains ABA Methodology</t>
  </si>
  <si>
    <t>The Impact of Trauma on Victims of Domestic Violence</t>
  </si>
  <si>
    <t>Dissociative Identity SIMULATION | 360° video!</t>
  </si>
  <si>
    <t>Substance Use Disorders</t>
  </si>
  <si>
    <t>4 Types of BPD (Borderline Personality Disorder) #bpd #borderlinepersonalitydisorder #mentalhealth</t>
  </si>
  <si>
    <t>Let’s talk about attachment in therapy… or feeling attached to your therapist… #therapy #attachment</t>
  </si>
  <si>
    <t>9 signs of BPD (Borderline Personality Disorder) #bpd #borderlinepersonalitydisorder #mentalhealth</t>
  </si>
  <si>
    <t>The Party: a virtual experience of autism – 360 film</t>
  </si>
  <si>
    <t>Let’s talk about boundaries… #boundaries #healthyboundaries #mentalhealth</t>
  </si>
  <si>
    <t>Narcissistic tendencies versus narcissistic personality disorder… there’s a difference. #narcissist</t>
  </si>
  <si>
    <t>6 Ways to Deal with a BPD Parent (Borderline Personality Disorder)</t>
  </si>
  <si>
    <t>Fun With Z Codes: The Clinician's Guide to Diagnosing Non-Disorders</t>
  </si>
  <si>
    <t>Life can be beautiful and hard all at the same time. ❤️ #lifeisgood #gratitudeattitude #lifeismessy</t>
  </si>
  <si>
    <t>What is a narcissist? #narcissism #narcissist</t>
  </si>
  <si>
    <t>7 Ways to Improve Your Relationship w/ Mom</t>
  </si>
  <si>
    <t>10 Ways to Make New Friends</t>
  </si>
  <si>
    <t>9 signs of childhood emotional neglect - full video on channel! #mentalhealth #shorts</t>
  </si>
  <si>
    <t>Am I Lazy, Depressed, or Burnt Out?</t>
  </si>
  <si>
    <t>VULNERABLE PEOPLE: Stop Being Taken Advantage Of</t>
  </si>
  <si>
    <t>Is My Parent A Narcissist?</t>
  </si>
  <si>
    <t>Unpacking Trust, Unconscious Voting Bias, and James's Rash Behavior</t>
  </si>
  <si>
    <t>Module 2 - Equity</t>
  </si>
  <si>
    <t>TONGUE TWISTER SHORT FILM TRAILER</t>
  </si>
  <si>
    <t>CHE343 Membrane Transport</t>
  </si>
  <si>
    <t>The Science of Working in Groups</t>
  </si>
  <si>
    <t>TiME as a teaching and cross cultural collaboration tool</t>
  </si>
  <si>
    <t>Separation Anxiety: Neurological disorder</t>
  </si>
  <si>
    <t>know me</t>
  </si>
  <si>
    <t>About Mindfulness: How it can help you!!</t>
  </si>
  <si>
    <t>MoMo Stakeholders Conference</t>
  </si>
  <si>
    <t>Value of Direct-to-consumer Drug Advertising Oversold</t>
  </si>
  <si>
    <t>Fight, Flight or Freeze response (FFF) through a caveman analogy</t>
  </si>
  <si>
    <t>_xD835__xDDDB__xD835__xDDEE__xD835__xDDFD__xD835__xDDFD__xD835__xDE06_ _xD835__xDDE0__xD835__xDDFC__xD835__xDE01__xD835__xDDF5__xD835__xDDF2__xD835__xDDFF_'_xD835__xDE00_ _xD835__xDDD7__xD835__xDDEE__xD835__xDE06_ to all the wonderful moms | Truscan Diagnostics</t>
  </si>
  <si>
    <t>Advancing Health Equity in Cancer Prevention and Control through Implementation Science</t>
  </si>
  <si>
    <t>Webinar #5 on Langerhans Cell Histiocytosis | MDforLives | Healthcare</t>
  </si>
  <si>
    <t>Are You Addicted to TikTok? #Shorts</t>
  </si>
  <si>
    <t>How Dopamine Works</t>
  </si>
  <si>
    <t>Can Virtual Reality be the Future of Addiction Treatment?</t>
  </si>
  <si>
    <t>The Impact of Nursing Shortages on Patients During The COVID-19 Pandemic</t>
  </si>
  <si>
    <t>The Procrastination Principles</t>
  </si>
  <si>
    <t>Can Weightlifting Really Stunt Your Growth?</t>
  </si>
  <si>
    <t>Debunking Dietary Supplement Use</t>
  </si>
  <si>
    <t>Protection before Infection: HIV</t>
  </si>
  <si>
    <t>Unmasking a Silent Killer – Ovarian Cancer</t>
  </si>
  <si>
    <t>If OCD Were a Person</t>
  </si>
  <si>
    <t>Exploring the placebo and nocebo effects</t>
  </si>
  <si>
    <t>Diagnostic Criteria of Heart Failure BNP and NT-proBNP</t>
  </si>
  <si>
    <t>Demystifying Zoonotic Diseases</t>
  </si>
  <si>
    <t>Destigmatizing Mental Illness: Showing Compassion Towards Those Around Us</t>
  </si>
  <si>
    <t>Some clarity on the recent The New York Times article on #alzheimer’s and #genetic protection.</t>
  </si>
  <si>
    <t>10 Easy Parenting Tips for a Happy Home</t>
  </si>
  <si>
    <t>Encountering people with dementia - Appreciation (short)</t>
  </si>
  <si>
    <t>5 Parenting Style and Their Effects on life</t>
  </si>
  <si>
    <t>Encountering people with dementia - Respect (short)</t>
  </si>
  <si>
    <t>How to handle difficult conversation in leadership</t>
  </si>
  <si>
    <t>Bookkeeping Procedure</t>
  </si>
  <si>
    <t>payroll procedure</t>
  </si>
  <si>
    <t>ADHD Simulation</t>
  </si>
  <si>
    <t>The Impact of a Coach Approach in Healthcare</t>
  </si>
  <si>
    <t>What is disruptive, impulse control and conduct disorder #impulsecontrol #pyromania #conduct #msw</t>
  </si>
  <si>
    <t>Understanding eating disorders</t>
  </si>
  <si>
    <t>Adjustment Disorders (children and adults)</t>
  </si>
  <si>
    <t>A Closer Look at ADHD with Dr. Joshua Wyner</t>
  </si>
  <si>
    <t>Why Telepsychiatry is the Perfect Alternative for Mental Health Appointments</t>
  </si>
  <si>
    <t>HOW TO TAKE SCREEN SHOT ON YOUR iPhone!10May2023_xD83C__xDDEC__xD83C__xDDE7_</t>
  </si>
  <si>
    <t>Do not get a turbinate reduction!(ENS)</t>
  </si>
  <si>
    <t>Empty Nose Syndrome/Turbinate Reduction</t>
  </si>
  <si>
    <t>NY Youth Symphony wins a Grammy! At the Dimenna Watch Party</t>
  </si>
  <si>
    <t>Opening night at Reunion in Hollywood #neuehousehollywood #girlsnight #reunion</t>
  </si>
  <si>
    <t>Jessica Chastain on ‘A Doll’s House’ and finding solace in theater</t>
  </si>
  <si>
    <t>Today Show Performance: This Is Not Over Yet</t>
  </si>
  <si>
    <t>Forest Kindergarten</t>
  </si>
  <si>
    <t>A look inside M Spa, Boca Raton's most luxurious medical spa</t>
  </si>
  <si>
    <t>Megyn Kelly on the "Corrupt" Leadership of the FBI Based on Durham Report Findings</t>
  </si>
  <si>
    <t>Unlocking the Potential of Cancer Treatment with Keytruda Immunotherapy</t>
  </si>
  <si>
    <t>Watch celebrity interviews, entertaining tips and TODAY Show exclusives | TODAY All Day - May 16</t>
  </si>
  <si>
    <t>Hearts in SF 2022 - Kim Meredith in Conversation with Priscilla Chan</t>
  </si>
  <si>
    <t>LIVE: Top Stories and Breaking News on May 17 | CBS News Mornings</t>
  </si>
  <si>
    <t>Coping With Alzheimer’s, Together and Apart | 360 Video</t>
  </si>
  <si>
    <t>Haley Lu Richardson on becoming a Jonas Brothers fan, starring in music video</t>
  </si>
  <si>
    <t>‘The Bear’ Season 2: Full trailer released</t>
  </si>
  <si>
    <t>Taylor Lautner and Taylor Lautner talk inspiration behind podcast</t>
  </si>
  <si>
    <t>Memorial Weekend: How to beat the summer rush and save money</t>
  </si>
  <si>
    <t>Dolly Parton comments on politics in new song 'World on Fire'</t>
  </si>
  <si>
    <t>Martha Stewart is Sports Illustrated's newest swimsuit model</t>
  </si>
  <si>
    <t>Kim Kardashian on Skims shop, new episodes of ‘The Kardashians’</t>
  </si>
  <si>
    <t>John Cena pitched himself to Margot Robbie for the 'Barbie' movie</t>
  </si>
  <si>
    <t>What are you apologizing for? Inside the push to stop saying ‘sorry’</t>
  </si>
  <si>
    <t>‘Bridgerton’ is inspiring wedding dresses: See the gowns!</t>
  </si>
  <si>
    <t>Checking in with Al Roker after total knee replacement surgery</t>
  </si>
  <si>
    <t>Real estate broker shares insider tips for buying and selling homes</t>
  </si>
  <si>
    <t>Dylan Dreyer travels to Lake Norman with her best friend</t>
  </si>
  <si>
    <t>Hoda Kotb wins Webby Award: See her 5-word acceptance speech</t>
  </si>
  <si>
    <t>Vrbo travel expert shares tips for planning summer getaway</t>
  </si>
  <si>
    <t>What's #DollyParton like at home?</t>
  </si>
  <si>
    <t>Watch Luke Combs teach Ed Sheeran how to shotgun a beer</t>
  </si>
  <si>
    <t>Watch celebrity interviews, entertaining tips and TODAY Show exclusives | TODAY All Day - May 17</t>
  </si>
  <si>
    <t>Paddington Bear wins BAFTA for sketch with Queen Elizabeth</t>
  </si>
  <si>
    <t>OUR Play, OUR Journey, OUR Generation</t>
  </si>
  <si>
    <t>ADHD CLASSROOM STRATEGIES FOR TEACHERS</t>
  </si>
  <si>
    <t>START: An #ADHD Short Film</t>
  </si>
  <si>
    <t>Feeding Tube - Eating Disorder Short Film (Award Winning)</t>
  </si>
  <si>
    <t>School Options for Students with ADHD and Special Needs</t>
  </si>
  <si>
    <t>Michael J. Fox Reflects On His Life With Parkinson's Disease</t>
  </si>
  <si>
    <t>Usman &amp; the Quest for Happiness</t>
  </si>
  <si>
    <t>Early intervention 3 : How can the GP help?</t>
  </si>
  <si>
    <t>Understanding DCD (Developmental Coordination Disorder)</t>
  </si>
  <si>
    <t>Fathers on Caring</t>
  </si>
  <si>
    <t>TYSH</t>
  </si>
  <si>
    <t>I’m a mom of 2, who brings home the bacon and the milk _xD83D__xDE05__xD83D__xDE02_ I work for 8 hrs a day ( plus 1 hr travel time). These are the things I use to pump milk at work. The pump I use is medela pump in style for work and yoboo electric handsfree pump at home, I also have manual medela pump in my office desk in case there’s no power or I left my pump parts at home. 
My youngest is currently 1 month old and I went back to work 3 weeks postpartum. 
I do single and assisted pump or I pump on one side while I massage and help that boob to express milk, since I get clogged ducts so easily. While doing that I use hakaa on the other side for let downs. This also lessen the pump parts that I have to wash
I’m saving these videos to remind me of my journey as a mom, and hopefully it can help other mommies out there who have the same situation as I do.
#filipino #workingmom #breastfeeding  #breastmilk #pumpingmilk #pumping #pumpingroutine #momoftwo #momof2</t>
  </si>
  <si>
    <t>Alice mamando no peito.</t>
  </si>
  <si>
    <t>Wann ist nun der richtige Zeitpunkt für das erste Anlegen deines Babys. Wann ist der richtige Zeitpunkt, um mit dem ersten Stillen anzufangen...??
Erfahre es in meinem neuen Video. 
Folge mir auf instagram: https://www.instagram.com/stillspezialistin.monika.liese/
Meine Seite:
http://www.monikaliese.de
Neu Stillvorbereitungskurse- online:
1. Termin: 07.09.21, Kursnummer: KVHSMSH_21-2-16400
2. Termin: 21.09.21, Kursnummer: KVHSMSH_21-2-16401
3. Termin: 05.10.21, Kursnummer: KVHSMSH_21-2-16402
jeweils zw. 09:30h-11:00h...
Anmeldung unter: www.vhs-msh.de , Onlinekurse, Stillvorbereitungskurs</t>
  </si>
  <si>
    <t>Dizem que quando nasce um bebê também nasce uma mãe. Uma nova mulher, muito mais forte, determinada e que transborda amor. E foi desse amor que surgiu a Hey Mama. Nossos produtos unem estilo e utilidade para você e seu bebê na hora do passeio, apresentando produtos que vão tornar a maternidade muito mais tranquila e gostosa.
Siga a Hey Mama nas redes sociais e acesse o nosso site para ficar por dentro de todas as novidades!
www.heymama.com.br
@useheymama</t>
  </si>
  <si>
    <t>Borstvoeding en verder: Hoe lang kan je voeden? Borstvoeding en werken combineren,....</t>
  </si>
  <si>
    <t>i know its been about months but a lot has happened enjoy Mothers Daywith us also have some huge updates</t>
  </si>
  <si>
    <t>Here are some tips on ways to support a Child facing mental health issues.</t>
  </si>
  <si>
    <t>There are several factors that can unknowingly hamper the confidence of a child. Here are some common ones:
Criticism and Negative Feedback: Constant criticism or negative feedback from parents, teachers, or peers can significantly impact a child's confidence. When children are consistently told they are not good enough or their efforts are constantly criticized, it can lead to self-doubt and low self-esteem.
Unrealistic Expectations: Placing unrealistic expectations on a child can make them feel inadequate or incapable. When parents or other influential figures set impossibly high standards without considering a child's abilities, it can create a fear of failure and undermine their confidence.
Comparison to Others: Constantly comparing a child to their siblings, classmates, or other peers can be detrimental to their confidence. Each child is unique and has their own strengths and weaknesses. When they feel they constantly fall short in comparison to others, it can erode their self-confidence.
Lack of Support and Encouragement: If a child does not receive support and encouragement from their parents, teachers, or caregivers, they may struggle to believe in themselves. It is essential for adults to provide emotional support, praise their efforts, and offer guidance to help a child develop confidence in their abilities.
Bullying and Teasing: Experiencing bullying or teasing from peers can have a significant impact on a child's self-esteem. Constant harassment, name-calling, or exclusion can make a child doubt their worth and undermine their confidence.
Overprotection: Being excessively overprotective can prevent a child from exploring and taking risks. When children are constantly shielded from challenges or not allowed to make decisions and learn from their mistakes, it can hinder their confidence in their own abilities.
Lack of Opportunities for Success: If a child is not given opportunities to succeed and showcase their abilities, it can hinder their confidence. Encouraging children to participate in various activities and providing them with age-appropriate challenges helps them build confidence by experiencing success.
It's important for parents, teachers, and caregivers to be mindful of these factors and create an environment that fosters a child's self-confidence. By offering support, encouragement, and realistic expectations, adults can help children develop a strong sense of self-esteem and belief in their abilities.
========================
Disclaimer for BuildingResilienceinChildren
We are doing our best to prepare the content of this YouTube site. However, BuildingResilienceinChildren cannot warranty the expressions and suggestions of the contents, as well as its accuracy. In addition, to the extent permitted by the law, BuildingResilienceinChildren shall not be responsible for any losses and/or damages due to the usage of the information on our website.
By using our website, you hereby consent to our disclaimer and agree to its terms.
The links contained on our website may lead to external sites, which are provided for convenience only. Any information or statements that appeared in these sites are not sponsored, endorsed, or otherwise approved by BuildingResilienceinChildren. For these external sites, BuildingResilienceinChildren cannot be held liable for the availability of, or the content located on or through it.  Plus, any losses or damages occurred from using these contents or the internet generally.
=========================================
Website https://www.bric2022.com/
IG @bric_2022 https://www.instagram.com/bric_2022/
Linktree https://linktr.ee/Bric2022
Twitter @bric2022
Facebook https://www.facebook.com/childrenstoriesintimesofcorona
Short story publications https://issuu.com/bric2</t>
  </si>
  <si>
    <t>#SURROUNDEDBYIDIOTS
#THOMASERICKSON
#lifeimprovement
#lifeswisdomunleashed</t>
  </si>
  <si>
    <t>psychosexual stages of personality</t>
  </si>
  <si>
    <t>Maine is video mai cognitive psychology ke exam paper ko dikhaya h Or uske question ko read krke bataya h Or bataya h exam paper kitne marks ka hota h regular student ke liye or private student ke liye is tarah se maine exam se related jaankari di h 
..</t>
  </si>
  <si>
    <t>CLASS-12, PSYCHOLOGY, CHAPTER- 2, POST FREUDIAN APPROACHES. This channel release videos on  psychology and psychological disorders and other Master of Social Work topics, along with CLASS 11 and CLASS 12 Psychology topics handled by  MSW, MPhil graduate with PG in Forensic Psychology. 
The information in the video is for educational purpose only. #psychology, #class11, #class12, #MSW, #video</t>
  </si>
  <si>
    <t>This content is published under CC BY SA license</t>
  </si>
  <si>
    <t>#psychologypreparation #psychology #lifespan #developmentalpsychology #gate2023 #net #theory</t>
  </si>
  <si>
    <t>Domains of psychological attributes &amp; assessment methods</t>
  </si>
  <si>
    <t>Theory of trace decay, interference theory &amp; failure of retrieval cues</t>
  </si>
  <si>
    <t>COGNITIVE LEARNING</t>
  </si>
  <si>
    <t>Dr Eija Ranta is University Researcher in Global Development Studies at the University ofHelsinki, Finland. In this video, Dr Ranta discusses 'Development: a Multidimensional Concept'. This chapter features in the 'Research Handbook on Democracy and Development' (Edward Elgar Publishing, 2021), https://www.e-elgar.com/shop/gbp/research-handbook-on-democracy-and-development-9781788112642.html</t>
  </si>
  <si>
    <t>A summary of one of the worst natural gas disasters in US History.
_xD83C__xDF0C_Get Nebula using my link for 40% off an annual subscription: https://go.nebula.tv/Practical-Engineering
✈️Watch Neo's exclusive on the Tenerife disaster: https://nebula.tv/videos/neo-the-tenerife-disaster?ref=practical-engineering
On September 13, 2018, a pipeline crew in the Merrimack Valley in Massachusetts was hard at work replacing an aging cast iron natural gas line with a new polyethylene pipe. By the end of the day, over a hundred structures would be damaged by fire and explosions, several homes would be completely destroyed, 22 people (including three firefighters) would be injured, and one person would be dead.
Watch this video ad-free on Nebula: https://nebula.tv/videos/practical-engineering-merrimack-valley-gas-explosions-what-really-happened?ref=practical-engineering
Signed copies of my book (plus other cool stuff) are available here: https://store.practical.engineering/
Practical Engineering is a YouTube channel about infrastructure and the human-made world around us. It is hosted, written, and produced by Grady Hillhouse. We have new videos posted regularly, so please subscribe for updates. If you enjoyed the video, hit that ‘like’ button, give us a comment, or watch another of our videos!
CONNECT WITH ME
____________________________________
Website:         http://practical.engineering
Twitter:           https://twitter.com/HillhouseGrady
Instagram:     https://www.instagram.com/practicalengineering
Reddit:            https://www.reddit.com/r/PracticalEngineering
Facebook:      https://www.facebook.com/PracticalEngineerGrady​
Patreon:         http://patreon.com/PracticalEngineering
SPONSORSHIP INQUIRIES
____________________________________
Please email my agent at practicalengineering@standard.tv
DISCLAIMER
____________________________________
This is not engineering advice. Everything here is for informational and entertainment purposes only. Contact an engineer licensed to practice in your area if you need professional advice or services. All non-licensed clips used for fair use commentary, criticism, and educational purposes.
SPECIAL THANKS
____________________________________
This video is sponsored by Nebula.
Stock video and imagery provided by Getty Images, Shutterstock, Pond5, and Videoblocks.
Music by Epidemic Sound: http://epidemicsound.com/creator
Tonic and Energy by Elexive is licensed under a Creative Commons Attribution License
Source: https://www.youtube.com/watch?v=U6fBPdu8w9U
Video by Grady Hillhouse
Edited by Wesley Crump
Written and Produced by Ralph Crewe
Production Assistance from Josh Lorenz
Graphics by Nebula Studios</t>
  </si>
  <si>
    <t>Check out Mechabellum today: https://play.paradoxinteractive.com/letsgameitout
And you too can see why I've been obsessed with it since it launched!
JOIN MY STREAMS! ► https://www.twitch.tv/letsgameitout
Merch!  ► http://bit.ly/LetsGameItOutStore
Subscribe if you enjoy! ► http://bit.ly/letsgameitout_show
Twitter ► https://twitter.com/letsgameitout
TikTok ► https://www.tiktok.com/@letsgameitout
Facebook ► https://www.facebook.com/letsgameitout
Want more LGIO?!
More Simulator Mayhem ► https://www.youtube.com/watch?v=UqaNKNgSxYI&amp;list=PLrBjj4brdIRzn3ja4BfqYUForg0p-p5wi
Funny Tycoon Games ► https://www.youtube.com/watch?v=UqaNKNgSxYI&amp;list=PLrBjj4brdIRwf14QPGmfDXCQQrDs860ig
The Finest One-Offs ► https://www.youtube.com/watch?v=zIOFGCbwJSs&amp;list=PLrBjj4brdIRwKf72d6spk7fSHhwwYuQu1
Some Truly Bizarre Games  ► https://www.youtube.com/watch?v=zIOFGCbwJSs&amp;list=PLrBjj4brdIRyM5mUsHwPN0PH6UVNfeNl2
This Is Why a Psychopath Is a Stellar Detective - Shadows of Doubt - Let's Game It Out
#LetsGameItOut #Simulation
----------
Check it out on Steam ► https://store.steampowered.com/app/986130/Shadows_of_Doubt/
More about Shadows of Doubt (from Steam):
A procedurally-generated sandbox stealth game with a whole city of secrets at your fingertips!
Shadows of Doubt is set in an alternate reality in the hyper-industrialized 1980s. Think like a detective and use a variety of gadgets as a private intelligence investigator, gathering evidence and making money by solving cases, finding and selling information and more.
Play your own way in a fully simulated world with hundreds of citizens. Discover, meet and tail individual citizens, each with their own name, job, apartment and daily routine, in unique, procedurally-generated cities. Each case has different culprits, clues and experiences for  you to test your investigative skills.
Explore anywhere in the city! Every nook of every trashy bar, every place of work, every seedy hotel room… This dystopia is your oyster. Break into apartments, rifle through secret documents or hack security systems - even a discarded receipt can be the key to cracking a case. Trace the receipt back to an individual location, scour CCTV footage and match the time up to the receipt to find out who it belonged to!
The entire world is fully simulated. Each citizen has an apartment, job, daily routine, favorite things to do, places to go, and people to interact with. They live out their lives independently, in a world that moves on with or without you— uncover this knowledge and use it to your advantage!
Become a private investigator in a truly unique detective experience. Think like a detective to solve the cases around you: check call histories, find passwords, read private emails, speak to persons of interest, watch CCTV footage and more to retrieve evidence and build your case. Store information on your investigation board and link evidence together as you piece together the full picture.
Features
Become a private investigator and track down a serial killer in a fully-simulated sci-fi city. Think like a detective and use a variety of gadgets to gather evidence and solve cases in this truly unique detective experience.
Meet individual citizens, each with their own name, job, apartment and daily routine, in unique, procedurally-generated cities.
Take on new cases to earn cash, purchase new gadgets and equipment, and customise your apartment.
Gather evidence to build your case - scan fingerprints, check call histories, read private emails, watch CCTV, and find key pieces of evidence to gather information and accuse your suspect.
Play your own way - pick locks, break down doors, sabotage security systems and bribe citizens for information, or stick to the law and play by the book. There are multiple ways to approach each case.
Explore every room in every building, and talk to every citizen. Lose yourself in a detailed sci-fi noir world.</t>
  </si>
  <si>
    <t>Today Architectural Digest is welcomed by RuPaul to tour his dazzling Beverly Hills home. When the 'Drag Race' star and husband Georges LeBar acquired their home they enlisted esteemed AD100 designer Martyn Lawrence Bullard and architect Christopher Hatch McLean to help bring their 1980s palazzo to life. Together they transformed the property into an enchanting homage to Old Hollywood injecting the glamor of 1930s regency throughout. Bursting with color and pattern, RuPaul wanted the design of his home to evoke joy in those who step inside its doors - “The house is a touchstone to remind me to inspire people to feel the magic that’s seemingly so elusive these days,” RuPaul asserts. “It’s meant to be whimsical and fun. None of it is to be taken too seriously—except for love and kindness.”
See more of RuPaul's home here: https://www.architecturaldigest.com/gallery/rupaul-beverly-hills-home
Shop RuPaul’s home style!
Wallpaper: 
(Similar) Etsy Vintage Landscape Wallpaper: https://fave.co/3M751nv
(Similar) Etsy Black and White Stripe Wallpaper: https://fave.co/44ZX1xj
(Similar) Etsy Leopard Wallpaper: https://fave.co/41xVA6p
Accessories: 
(Similar) Amazon 8” Disco Ball: https://amzn.to/3Oe7dMQ
(Similar) Etsy Donna Summer in Cat Eye Glasses: https://fave.co/3MqaN54
(Similar) Etsy Diana Ross Canvas Print: https://fave.co/3MsIDX1
(Similar) Etsy Glass Mannequin Head: https://fave.co/3BtcqIW
(Similar) Etsy Chevron Pillow: https://fave.co/41BVPNQ
(Similar) Rejuvenation Large Antique Terracotta Planter: https://fave.co/3MdvMqC
Neiman Marcus Les Ottomans Ikat Gold Wine Glasses: https://fave.co/3M7W0KO
Neiman Marcus Les Ottomans Ikat Gold Tumbler Glasses: https://fave.co/42DZb4b
(Similar) Etsy Snake Napkin Rings: https://fave.co/42DZlbN
Moro Head Lady Vase: https://fave.co/41IQ0xP
(Similar) Amazon Resin Sculpture: https://amzn.to/3MuA4ey
(Similar) Etsy Large Marble Serving Bowl: https://fave.co/3Mv7dXv
(Similar) Etsy Malachite Obelisks: https://fave.co/42AVNqt
Furniture: 
(Similar) Kathy Kuo Home Regency Lacquer Chair: https://fave.co/3o211ga
(Similar) 1stdibs Louis XV Armchairs, Pair: https://fave.co/42WI2lP
(Similar) Etsy Louis XV Noir Desk: https://fave.co/3W3mQbM
Lighting: 
Lumens Hexsation Pendant by Martyn Lawrence Bullard: https://fave.co/3M3LdBn
(Similar) Kathy Kuo Home Saura Coastal Beach Leaf Pendant: https://fave.co/3WcLLcT
(Similar) SoHo Home Treviso Chandelier: https://fave.co/3IaDgcB
1stdibs Pair of Chocolate Honeycomb Lamps by Gerald Thurston: https://fave.co/3W21zzb
When you buy something through our retail links, we earn an affiliate commission.
Director: Hiatt Woods
Director of Photography: Grant Bell
Editor: Alex Mechanik
Host: RuPaul
Producer: Chase Lewis
Line Producer: Joe Buscemi
Associate Producer: Josh Crowe
Production Manager: Peter Brunette
Talent Booker: Dana Mathews
Camera Operator: Malcolm Cook
Audio: Cassiano Pereira
Production Assistant: Fernando Barajas
Post Production Supervisor: Andrew Montague
Post Production Coordinator: Holly Frew
Supervising Editor: Christina Mankellow
Junior Editor: Paul Tael
Assistant Editor: Justin Symonds
Want even more AD? Subscribe to the magazine and get a free tote ►► https://bit.ly/3Oh8McU
Still haven’t subscribed to Architectural Digest on YouTube? ►► http://bit.ly/2zl7s34
ABOUT ARCHITECTURAL DIGEST
The leading international design authority, Architectural Digest features articles and videos of the best in architecture, style, culture, travel, and shopping.</t>
  </si>
  <si>
    <t>The Memphis Grizzlies suspended Ja Morant from all team activities yesterday after a video surfaced of Morant flashing a gun on a friend’s Instagram Live account. This comes two months after Morant served an 8-game suspension for flashing a gun on his own Instagram Live account. An NBA spokesperson said “We are aware of the social media post involving Ja Morant and are in the process of gathering more information.” Skip Bayless and Shannon Sharpe react.
#Undisputed #NBA #JaMorant
Download the free-to-play FOX Bet Super 6 app: https://foxs.pt/3z96p0j
SUBSCRIBE to get the latest UNDISPUTED content: http://foxs.pt/SubscribeUNDISPUTED
Listen to UNDISPUTED on Spotify: https://foxs.pt/UNDISPUTEDSpotify
The all-new FOX Sports App, built for the modern sports fan: https://tinyurl.com/y4uouolb
► Watch the latest content from UNDISPUTED: https://foxs.pt/TheLatestOnUNDISPUTED
▶ First Things First's YouTube channel: http://foxs.pt/SubscribeFIRSTTHINGSFIRST
▶ The Herd with Colin Cowherd’s YouTube channel: http://foxs.pt/SubscribeTHEHERD
► SPEAK's YouTube channel: http://sprtspod.fox/SUBSCRIBEtoSpeak
► FOX Bet Live’s YouTube channel: https://foxs.pt/SubscribeFOXBETLIVE
► Club Shay Shay’s YouTube channel: http://foxs.pt/SubscribeCLUBSHAYSHAY
► The Skip Bayless Show YouTube channel: http://sprtspod.fox/SUBSCRIBESkipShow
► What's Wright? with Nick Wright YouTube channel: http://sprtspod.fox/whatswright/youtube
▶ The Carton Show’s YouTube channel: http://sprtspod.fox/SubscribeCartonShow
See more from UNDISPUTED: http://foxs.pt/UNDISPUTEDFoxSports
Like UNDISPUTED on Facebook: http://foxs.pt/UNDISPUTEDFacebook
Follow UNDISPUTED on Twitter: http://foxs.pt/UNDISPUTEDTwitter
Follow UNDISPUTED on Instagram: http://foxs.pt/UNDISPUTEDInstagram
Follow UNDISPUTED on TikTok: https://www.tiktok.com/@undisputedonfs1?lang=en
Follow Skip Bayless on Twitter: http://foxs.pt/SkipBaylessTwitter
Follow Shannon Sharpe on Twitter: http://foxs.pt/ShannonSharpeTwitter
About Skip and Shannon: UNDISPUTED:
UNDISPUTED is a daily two-and-a-half hour sports debate show starring Skip Bayless and Shannon Sharpe. Every day, Skip and Shannon will give their unfiltered, incisive, passionate opinions on the biggest sports topics of the day.
Ja Morant suspended from all Grizzlies activities after flashing gun on IG Live | NBA | UNDISPUTED
https://youtu.be/SQIgkcBjPFI
Skip and Shannon: UNDISPUTED
https://www.youtube.com/c/UndisputedOnFS1</t>
  </si>
  <si>
    <t>Shakira - Acróstico (Official Video)
Music:
Apple Music: https://Shakira.lnk.to/Acrostico/applemusic
Spotify: https://Shakira.lnk.to/Acrostico/spotify
Amazon: https://Shakira.lnk.to/Acrostico/amazonmusicstreaming
YouTube: https://Shakira.lnk.to/Acrostico/youtube
iTunes: https://Shakira.lnk.to/Acrostico/itunes
Deezer: https://Shakira.lnk.to/Acrostico/deezer
TikTok: https://Shakira.lnk.to/Acrostico/tiktokusemysound
Pandora: https://Shakira.lnk.to/Acrostico/pandora
Lyrics:
Me enseñaste que el amor no es una estafa, y que cuando es real no se acaba
Intenté que no me veas llorar, que no vieras mi fragilidad, pero
Las cosas no son siempre como las soñamos
A veces corremos, pero no llegamos
Nunca dudes que aquí voy a estar
Háblame que te voy a escuchar…
Y aunque la vida me tratara así
Voy a ser fuerte solo para ti
Lo único que quiero es tu felicidad
Y estar contigo
La sonrisa tuya es mi debilidad
Quererte
Sirve de anestesia al dolor
Hace que me sienta mejor
Para lo que necesites estoy
Viniste a completar lo que soy
Se nos rompió solo un plato no toda la vajilla,
Y aunque no sé poner la otra mejilla
Aprender a perdonar es de sabios,
Que solo te salga amor de esos labios
Si las cosas se dañan no se botan, se reparan,
los problemas se afrontan y se encaran
Hay que reírse de la vida
A pesar de que duelan las heridas
Si ha de entregar entero el corazón
Aunque le hagan daño sin razón
Lo único que quiero es tu felicidad
Y estar contigo
Una sonrisa tuya es mi debilidad
Quererte
Sirve de anestesia al dolor
Hace que me sienta mejor
Para lo que necesites estoy
Viniste a completar lo que soy
Sirve de anestesia al dolor
Hace que me sienta mejor
Para lo que necesites estoy
Viniste a completar lo que soy
Official site: http://www.shakira.com
Shop: https://shakira.store
TikTok: https://www.tiktok.com/@shakira
Facebook: http://www.facebook.com/shakira
Twitter: http://www.twitter.com/shakira
Instagram: http://www.instagram.com/shakira
“Te quiero Milan” book written by Shakira and illustrated by Xevidom. https://www.xevidom.com/
#Shakira #Acróstico
Music video by Shakira performing Acróstico (Official Video). (C) 2023 Ace Entertainment S.ar.l. under exclusive license to Sony Music Entertainment US Latin LLC</t>
  </si>
  <si>
    <t>Pada video ini, kami membahas implementasi unique selling point dalam aspek sustainable marketing strategy bagi bisnis pemula. Presentasi ini merujuk pada artikel ilmiah yang telah dibuat pada tugas kelompok sebelumnya. 
Presentasi ini dibuat untuk memenuhi tugas kelompok 3 mata kuliah Indonesia yang diampu oleh Ibu Nina Amalia Nurichsania, S.Pd., M.Pd. 
Kelompok-5 (JEEA) :
Agnes Febrianti - 2502143900
Cyndyana Lorens - 2502144014
Nabila Kanaya W.P - 2502149495
Niko Saputro - 2502141145
Yolanda Rukmantara - 2602196095
BINUS Online Learning</t>
  </si>
  <si>
    <t>Assalamualaikum Wr.Wb
Kami dari kelompok 4 ingin memaparkan hasil tugas kami dengan berjudul "Rekrutmen dan Seleksi". Berikut nama kelompok 4:
1. Aeni Yulieanti (3101200019)
2. M. Hadi Nur Saputra (3101200023)
3. Rezki Putri Melati (3101200024)
Sekian video presentasi kelompok 4 kurang lebihnya mohon maaf apa bila ada kata-kata yang kurang berkenan bagi bapak. Atas perhatiannya kami ucapkan Terimakasih.
Wassalamu'alaikum wr.wb</t>
  </si>
  <si>
    <t>May video with thanks and updates</t>
  </si>
  <si>
    <t>https://triyambak.org/
https://triyambak.org/courses?program=tpp
https://triyambak.org/previous-year-question/csir-net-life-sciences
https://triyambak.org/previous-year-question/dbt-jrf-bet
https://triyambak.org/previous-year-question/gate-biotechnology
https://triyambak.org/previous-year-question/gate-ecology-evolution
https://triyambak.org/previous-year-question/gate-life-sciences
https://triyambak.org/courses
Telegram Link: https://t.me/TLSOnlinelifescience
Facebook: https://www.facebook.com/triyambaklifescience
Instagram: https://www.instagram.com/triyambaklifesciences
_xD835__xDC09__xD835__xDC28__xD835__xDC22__xD835__xDC27_ _xD835__xDC28__xD835__xDC2E__xD835__xDC2B_ "_xD835__xDC0B__xD835__xDC08__xD835__xDC15__xD835__xDC04_ _xD835__xDC0E__xD835__xDC0D__xD835__xDC0B__xD835__xDC08__xD835__xDC0D__xD835__xDC04_ _xD835__xDC02__xD835__xDC0B__xD835__xDC00__xD835__xDC12__xD835__xDC12__xD835__xDC11__xD835__xDC0E__xD835__xDC0E__xD835__xDC0C_ _xD835__xDC02__xD835__xDC0E__xD835__xDC14__xD835__xDC11__xD835__xDC12__xD835__xDC04_" 
_xD835__xDC1F__xD835__xDC28__xD835__xDC2B_ 
_xD83D__xDC49_ _xD835__xDC0D__xD835__xDC1E__xD835__xDC30_ _xD835__xDC01__xD835__xDC1A__xD835__xDC2D__xD835__xDC1C__xD835__xDC21__xD835__xDC1E__xD835__xDC2C_ _xD835__xDC1F__xD835__xDC28__xD835__xDC2B_ _xD835__xDC02__xD835__xDC12__xD835__xDC08__xD835__xDC11_ _xD835__xDC0D__xD835__xDC04__xD835__xDC13_ _xD835__xDC0B__xD835__xDC22__xD835__xDC1F__xD835__xDC1E_ _xD835__xDC12__xD835__xDC1C__xD835__xDC22__xD835__xDC1E__xD835__xDC27__xD835__xDC1C__xD835__xDC1E__xD835__xDC2C_
Live Online Classroom course
_xD835__xDC0F__xD835__xDC25__xD835__xDC1E__xD835__xDC1A__xD835__xDC2C__xD835__xDC1E_ _xD835__xDC2F__xD835__xDC22__xD835__xDC2C__xD835__xDC22__xD835__xDC2D_: _xD835__xDC30__xD835__xDC30__xD835__xDC30_._xD835__xDC2D__xD835__xDC2B__xD835__xDC22__xD835__xDC32__xD835__xDC1A__xD835__xDC26__xD835__xDC1B__xD835__xDC1A__xD835__xDC24_._xD835__xDC28__xD835__xDC2B__xD835__xDC20_
_xD835__xDC1C__xD835__xDC1A__xD835__xDC25__xD835__xDC25_ _xD835__xDC1A__xD835__xDC2D_: +_xD835__xDFD7__xD835__xDFCF_-_xD835__xDFD7__xD835__xDFD7__xD835__xDFCF__xD835__xDFD7__xD835__xDFCF__xD835__xDFD2__xD835__xDFD7__xD835__xDFCE__xD835__xDFCE__xD835__xDFCF_, +_xD835__xDFD7__xD835__xDFCF_-_xD835__xDFD7__xD835__xDFD7__xD835__xDFD1__xD835__xDFD4__xD835__xDFD1__xD835__xDFD1__xD835__xDFD2__xD835__xDFD6__xD835__xDFD3__xD835__xDFD5_, +_xD835__xDFD7__xD835__xDFCF_-_xD835__xDFD5__xD835__xDFCE__xD835__xDFCE__xD835__xDFD5__xD835__xDFD7__xD835__xDFCF__xD835__xDFD0__xD835__xDFCF__xD835__xDFD1__xD835__xDFD1_
Triyambak Life Sciences is learning platform for CSIR-NET, GATE &amp; IIT-JAM Life Science and Biotechnology. 
We proudly quote and insist learners to take reference from Lehninger Principles of Biochemistry, Molecular Biology of The Gene, Molecular Cell Biology
Book by David Baltimore and Harvey Lodish, Developmental Biology by Scott F. Gilbert and Elements of Ecology to give in-depth insight of subjects such as #Biochemistry #Molecular_Biology #Ecology #Evolution #Immunology #Genetics #Developmental_biology</t>
  </si>
  <si>
    <t>.
Chapters
0:00 Introduction
1:08 Causes of Conduct Disorder
2:07 Symptoms of Conduct Disorder
2:49 Diagnosis for Conduct Disorder
3:13 Treatment of Conduct Disorder
Conduct disorder (CD) is a mental disorder diagnosed in childhood or adolescence that presents itself through a repetitive and persistent pattern of behavior that includes theft, lies, physical violence that may lead to destruction, and reckless breaking of rules,[1] in which the basic rights of others or major age-appropriate norms are violated. These behaviors are often referred to as "antisocial behaviors."[2] It is often seen as the precursor to antisocial personality disorder, which by definition cannot be diagnosed until the individual is 18 years old.[3] Conduct disorder may result from parental rejection and neglect and can be treated with family therapy, as well as behavioral modifications and pharmacotherapy.[4] Conduct disorder is estimated to affect 51.1 million people globally as of 2013.[5]
One of the symptoms of conduct disorder is a lower level of fear. Research performed on the impact of toddlers exposed to fear and distress shows that negative emotionality (fear) predicts toddlers' empathy-related response to distress. The findings support that if a caregiver is able to respond to infant cues, the toddler has a better ability to respond to fear and distress. If a child does not learn how to handle fear or distress the child will be more likely to lash out at other children. If the caregiver is able to provide therapeutic intervention teaching children at risk better empathy skills, the child will have a lower incident level of conduct disorder.[6]
Increased instances of violent and antisocial behavior are also associated with the condition;[7] examples may range from pushing, hitting and biting when the child is young, progressing towards beating and inflicted cruelty as the child becomes older.[8][9]
Conduct disorder can present with limited prosocial emotions, lack of remorse or guilt, lack of empathy, lack of concern for performance, and shallow or deficient affect. Symptoms vary by individual, but the four main groups of symptoms are described below.[10]
Aggression to people and animals
    Often bullies, threatens or intimidates others
    Often initiates physical fights
    Has used a weapon that can cause serious physical harm to others (e.g., a bat, brick, broken bottle, knife, gun)
    Has been physically cruel to people
    Has been physically cruel to animals
    Has stolen while confronting a victim (e.g., mugging, purse snatching, extortion, armed robbery)
    Has forced someone into sexual activity (rape or molestation)[10]
    Feels no remorse or empathy towards the harm, fear, or pain they may have inflicted on others
Destruction of property
    Has deliberately engaged in fire setting with the intention of causing serious damage
    Has deliberately destroyed others' property (other than by fire setting)[10]
Deceitfulness or theft
    Has broken into someone else's house, building, or car
    Often lies to obtain goods or favors or to avoid obligations (i.e., "cons" others)
    Has stolen items of nontrivial value without confronting a victim (e.g., shoplifting, but without breaking and entering; forgery)[10]
Serious violations of rules
    Often stays out at night despite parental prohibitions, beginning before age 13 years
    Has run away from home overnight at least twice while living in parental or parental surrogate home (or once without returning for a lengthy period)
    Is often truant from school, beginning before age 13 years[10]
The lack of empathy these individuals have and the aggression that accompanies this carelessness for the consequences is dangerous- not only for the individual but for those around them. [11]</t>
  </si>
  <si>
    <t>What do you know about ASD or Autism Spectrum Disorder? In this video, we will cover the definition, criteria, and strategies on how to help children with autism.
Please help our channel grow as we spread awareness and knowledge about the Special World.
Please like, subscribe and enjoy our video!
#autism #specialeducation #specialeducationteacher #awarenessvideo</t>
  </si>
  <si>
    <t>Ohio is under attack from the forces of evil. George Soros and his minions are seeking to expand Abortion and "Wokeism" in Ohio! This is a direct assault on women and children. The egregious "Reproductive Rights" ballot initiative to change to Ohio Constitution should more accurately be labeled the Endangerment of Women and Children Act!
Learn how you can help at https://protectwomenohio.com</t>
  </si>
  <si>
    <t>Check out our guide here:
www.carepatron.com/guides/person-centered-therapy
Carepatron is free to use. Sign up here: 
https://app.carepatron.com/Signup?type=admin&amp;isBusiness=true
Intro 0:00
When to use Person Centered Therapy 0:40
Person Centered Therapy Techniques 1:13
Carepatron 2:57</t>
  </si>
  <si>
    <t>Description:
Parenting a child with special needs can be a challenging and rewarding journey. But it also comes with its own unique set of challenges that can be overwhelming for many parents. In this video, we'll discuss the resources and support available to help you navigate this journey and thrive.
First, we'll talk about the importance of connecting with other parents who are going through similar experiences. We'll show you different ways to find support groups for parents, both in-person and online, and explain how they can provide a sense of community and support.
Next, we'll discuss how to navigate the complex medical system, from appointments with specialists to managing medications and treatments. We'll show you how patient navigators can help guide you through the process and ensure that your child receives the best possible care.
Finally, we'll talk about advocating for your child's education, which can be a daunting task. We'll show you different resources available, such as special education programs and individualized education plans (IEPs), to help ensure that your child receives the education they deserve.
By the end of this video, you'll have a better understanding of the resources and support available to help you navigate the journey of parenting a child with special needs. You'll also feel empowered to advocate for your child and provide them with the best possible care and education.
Tags: parenting, special needs, resources, support, navigating, medical system, education, advocacy, community, parents, children, patient navigators
Hashtags: #specialneeds #parenting #resources #support #medicalsystem #education #advocacy #community #parentingtips #parentingadvice #parentingsupport #patientnavigators</t>
  </si>
  <si>
    <t>medication for depression and anxiety - https://www.mrdepression.com/fight
The Best Strategy To Use For How to Fight Depression Without Medication   
Antidepressant drugs are most frequently made use of to aid eliminate the grief of depression or anxiousness. Although the role of serotonin in clinical depression is not very clear, it is assumed that serotonin ensures the immune system device to damage the bacteria that generate serotonin, creating a new kind of chemical that can repair mind serotonin amounts, and stop the development of brand new nerve cells. The experts likewise recommend that serotonin increases the serotonin activity that stimulates the body system's very own invulnerable device to mend the tension caused through clinical depression or stress and anxiety.
Antidepressant medicines are very most often utilized to help soothe the grief of anxiety or anxiousness. Although the role of serotonin in depression is not clear, it is thought that serotonin promotes the invulnerable system to destroy the microorganisms that create serotonin, producing a new kind of chemical that may repair human brain serotonin levels, and avoid the formation of new neurons. The scientists also recommend that serotonin increases the serotonin activity that promotes the body's very own immune device to repair the worry caused through clinical depression or stress and anxiety.
They are additionally utilized to assist with various other conditions such as bulimia and persistent discomfort. There is actually no proven remedy for diabetes mellitus, but the procedure frequently works through targeting the part of the mind that regulate food cravings, depending on to the analysts' end result, which appeared as an open-access internet diary in the publication Current Biology. The majority of of the known pain-relieving strategies involved using medication in a assortment of conditions, with the authors concentrating on various types of treatments.
However, they don't function for everyone. The lower collection is that our goal is to get extra effective, and lessen expense through leveraging innovation in a lasting, environmentally-friendly means. We may take the upcoming actions by spending in infrastructure that are going to protect wildlife, generate work, and increase financial wealth; that are going to carry out little bit of to limit the effects of environment adjustment, even though they may result in disastrous food insecurity in individuals, pets, and environments around the world for generations to happen.
Even when they do job effectively, they can merely perform thus a lot. It's like throwing money right into the fire as you are shedding your household. But they are truly not carrying out that, they are doing what they may for their family members. They have been the most essential individuals in the nation to their households. They are carrying out everything for their family members.". If Trump can view the fire, he'd be significantly more thoughtful to those who have died making an effort to store down that authorities.
They usually operate most ideal when they are combined with chat therapy, help coming from family members and buddies and self-care (e.g., frequent workout, a nutritious diet regimen and obtaining enough rest). They offer both therapy and sustain by means of support groups and community workshops. For some of the benefits of intellectual behavioral therapy [1], some of these groups, consisting of intellectual behavioral treatment, are highly successful.
Antidepressants may take up to several full weeks to be completely efficient. This has to hang around for additional protection research studies. The American Foundation For Psychotherapy is an company that has been observing these drugs all the method to the Centers for Disease Control and Prevention. But it's time for the NIH to finally carry some severe management to its screening of antidepressants. The CDC is presently checking out reports that serotonin in the blood stream of individuals with severe mental illness is elevated.
Very early signs that the medicine is working consist of boosted rest, hunger and power. "Folks are quite thrilled and thrilled through what we're carrying out as well," said Dr. Michael Vail, President of North America Research and Medical Research Council (SNRC), North America's primary facility for medicine advancement. The test was funded via the North American Psychiatric Association and the National Institut...</t>
  </si>
  <si>
    <t>Anxiety disorder is a mental health condition characterized by persistent feelings of fear, worry, or unease that are excessive or disproportionate to the situation at hand.
There are several types of anxiety disorders, including:
#generalized anxiety disorder
#panic disorder
#specific phobias
#agoraphobia
#social anxiety disorder
#separation anxiety disorder
Anxiety Disorder physical symptoms such as:
#sweating
#trembling
#rapid heartbeat
#shortness of breath
#difficulty sleeping
#muscle tension
# irritability
#fatigue
#restlessness
Treatment for anxiety disorders may include
#therapy
# medication
#combination of both
#serotonin reuptake inhibitors (SSRIs)
#benzodiazepines
#cognitive-behavioral therapy (CBT)
#exposure therapy</t>
  </si>
  <si>
    <t>Laparoscopic GIST resection has the advantages over the open conventional approaches as being more precise procedure. Book an appointment with Dr Soumen Roy to know more about the procedure.
_xD83D__xDCCD_ Dr. Soumen Roy
Surgical Gastroenterologist
Senior Consultant
Department of GI-HPB Surgery
Bhubaneswar. Odisha
_xD83D__xDDA5_️ Visit our website: http://www.drsoumenroy.com/
#cancercare
#LaparoscopicGISTresection
#healthyweight
#drsoumenroy
#gastroenterology
#GI
#HPB
#oncosurgeon
#laparoscopic
#odisha
#bhubaneswar
#bhubaneswarsmartcity
#prevention
#PreventionIsBetterThanCure
#gastrosurgeon
#gastrointestinaltractcancer
#neuroendocrinetumourofgastrointestinaltract
#stomachcancer
#livertransplant
#bariatricsurgery
#consultation
#medicalservices</t>
  </si>
  <si>
    <t>Need a blood test? Metropolis has you covered! We offer a variety of blood tests, from basic blood tests to more complicated tests. We also offer a variety of payment options, so you can get the blood test you need without having to worry about costs.
When you need a blood test, call Metropolis – we have you covered! We offer a variety of blood tests, from basic blood tests to more complicated tests. We also offer a variety of payment options, so you can get the blood test you need without having to worry about costs. We understand that sometimes blood tests can be a big financial burden, so we have a variety of payment options to choose from. So call us today and get your blood test done!
Need a blood test? Metropolis has you covered! We offer a variety of blood tests, from basic blood tests to more complicated tests. We also offer a variety of payment options, so you can get the blood test you need without having to worry about costs.When you need a blood test, call Metropolis – we have you covered! We offer a variety of blood tests, from basic blood tests to more complicated tests. We also offer a variety of payment options, so you can get the blood test you need without having to worry about costs. We understand that sometimes blood tests can be a big financial burden, so we have a variety of payment options to choose from. So call us today and get your blood test done!Need a blood test? Metropolis has you covered! We offer a variety of blood tests, from basic blood tests to more complicated tests. We also offer a variety of payment options, so you can get the blood test you need without having to worry about costs.When you need a blood test, call Metropolis – we have you covered! We offer a variety of blood tests, from basic blood tests to more complicated tests. We also offer a variety of payment options, so you can get the blood test you need without having to worry about costs. We understand that sometimes blood tests can be a big financial burden, so we have a variety of payment options to choose from. So call us today and get your blood test done!for More deatails :-
~~~~~~~~~~~~~~plz call or whatsapp : 9894166640WhatsApp Link for Health Packages and Enquiery : https://wa.me/919894166640Write us : cbemedcare@gmail.comSubscribehttps://bit.ly/3NPQpbN#Medcare #Metropolis #Healthcare #medical videos #health videos#healthcare_videos</t>
  </si>
  <si>
    <t>This is my story of dealing with TMAU like symptoms. I will hold my head high through all the comments and trust Yah, knowing that it's all working together for my good! Thank you so much for watching, please subscribe for more faith filled content. I love you! 
-Rae</t>
  </si>
  <si>
    <t>I purchased an "almost new" Specialized Tarmac SL7 Comp from an interstate vendor and had it shipped to me in a bike box. It was mostly pre-assembled and I just needed to unbox it and correctly position the front wheel, seat post, handlebars and my preferred pedals. It was a fairly straightforward process and the final bike looks amazing! 
I know all my bike geometry measurements so it was just a matter of setting up the components with a torque wrench and a tape measure. Now I'm really looking forward to my first ride on my own bike with electronic shifting and disc brakes!</t>
  </si>
  <si>
    <t>It's our mission to empower patients to live their lives with a confident and healthy smile.</t>
  </si>
  <si>
    <t>This video is about the most common cause of the symptoms behind Traumatic Brain Injury: Diffuse Axonal Injury.  In this video we take a look at the mechanism behind DAI, the pathophysiology of Diffuse Axonal Injury, How DAI severity is graded, and what prognosis is likely to be following DAI.   We also talk about prospective treatment and what we can currently do today for DAI.
    Please Click Like and Subscribe and Hit the Bell Icon.
#braininjury #diffuseaxonalinjury #DAI</t>
  </si>
  <si>
    <t>Dr. Kristin Porter explains why the use of MR contrast enhancement is beneficial.</t>
  </si>
  <si>
    <t>Rodents are disease-carrying machines that spread viruses and bacteria everywhere they go. If there are rodents making your home their own, you are likely to come across rodent droppings. But don’t reach for the paper towels just yet – these droppings can spread harmful airborne particles that could get you and your family sick. To protect the health of your household, learn how to properly remove rodent remnants from your home.
For more tips and advice, call 1-800-800-6754 or visit https://www.orkincanada.ca/
Follow us on Social Media:
- LinkedIn: https://www.linkedin.com/company/orki...
- Twiitter: https://twitter.com/OrkinCanada
- Facebook: https://www.facebook.com/OrkinCanada
#rodentcleanup #howtoproperlycleanratdroppings #howtoproperlycleanrodentdroppings</t>
  </si>
  <si>
    <t>.
Chapters
0:00 Introduction
0:28 What sis Tantric Yoga?
1:00 Benefits of Tantric Yoga
1:49 How to practice Tantric Yoga?
Are you interested in exploring the ancient practice of yoga and taking it to a whole new level? Then you might want to check out Tantric Yoga. This type of yoga is often misunderstood and has a reputation for being solely focused on sex, but in reality, it is much more than that.
In this blog, we'll explore what Tantric Yoga is all about, its philosophy and practices, and its benefits for mind, body, and spirit.
So, what is Tantric Yoga?
Tantric Yoga is a practice that originated in ancient India, and it has been passed down through the centuries. It is a unique blend of yoga, meditation, and spirituality, which aims to connect the mind, body, and soul.
The philosophy behind Tantric Yoga is that everything in the universe is interconnected, and we can access this interconnectedness through our bodies and minds. The practice focuses on harnessing our inner energy, or Kundalini, which is believed to be coiled at the base of the spine. By awakening and raising this energy, we can achieve a higher state of consciousness and connect with the divine.
Now, let's look at the practices involved in Tantric Yoga.
One of the main practices of Tantric Yoga is breathwork, or Pranayama. This involves controlling the breath to channel energy throughout the body. Another practice is the use of mantras and chanting to focus the mind and connect with the divine.
Tantric Yoga also incorporates physical postures, or Asanas, which are similar to those in traditional yoga. However, in Tantric Yoga, the postures are held for longer periods, allowing for a deeper connection with the body and inner energy.
Finally, Tantric Yoga involves meditation, which is a key component of the practice. Through meditation, we can quiet the mind, focus our thoughts, and connect with our inner selves.
So, what are the benefits of Tantric Yoga?
Firstly, Tantric Yoga can improve physical health by increasing flexibility, strength, and balance. It can also help with stress reduction, as well as improving mental health and overall well-being. By connecting with our inner energy and achieving a higher state of consciousness, we can experience a deeper sense of inner peace, joy, and fulfillment.
In conclusion, Tantric Yoga is a powerful practice that can help us to connect with our inner selves, harness our inner energy, and achieve a higher state of consciousness. By incorporating breathwork, physical postures, chanting, and meditation, we can improve our physical, mental, and spiritual health. So, if you're looking to take your yoga practice to the next level, why not give Tantric Yoga a try?</t>
  </si>
  <si>
    <t>2 Convenient Locations to Serve You!
436 N Bedford Drive, Suite 311
Beverly Hills, CA 90210
(310) 890-5834
2121 Santa Monica Blvd
Santa Monica, CA 90404
(310) 904-6647
https://www.drdannyshouhed.com/</t>
  </si>
  <si>
    <t>.
Chapters
0:00 Introduction
0:48 Monitor air quality
1:10 Take preventive measures
1:33 Work with your doctor
1:50 Be prepared
2:15 Exercise caution when exercising
Breathing is something that we do every day, but it's easy to forget how powerful it can be. By focusing on your breath and learning some simple techniques, you can unlock the power of your breath and improve your life. In this blog, we will explore "The Power of Breath: How to Breathe Easy and Improve Your Life." Let's get started!
Why is Breathing Important?
Breathing is not just a physical process, it's a mental and emotional one as well. Deep breathing techniques can help calm your mind, reduce stress and anxiety, and improve your overall well-being. Moreover, breathing can have a profound impact on your body. It can lower blood pressure, improve lung function, and boost your immune system. Breathing is the foundation of life, and by tapping into its power, you can significantly improve your health and happiness.
How to Breathe Easy
Now that we understand the importance of breathing, let's look at some techniques for breathing easy. These techniques are simple, and you can practice them anywhere, at any time.
Diaphragmatic breathing: This technique involves breathing deeply from your diaphragm. To do this, place one hand on your chest and the other on your stomach. Take a deep breath in, and as you do, you should feel your stomach expand. Exhale slowly, and as you do, feel your stomach contract. Repeat this process several times until you feel more relaxed.
Equal Breathing: This technique involves inhaling and exhaling for an equal amount of time. To do this, inhale for a count of four, hold your breath for a count of four, exhale for a count of four, and hold your breath for a count of four. Repeat this process several times.
Box Breathing: This technique is similar to equal breathing, but it involves holding your breath for a longer period. To do this, inhale for a count of four, hold your breath for a count of four, exhale for a count of four, and hold your breath for a count of six. Repeat this process several times.
Benefits of Breathing Easy
Now that we know some simple breathing techniques let's look at the benefits of breathing easy.
Reduced stress and anxiety: By focusing on your breath and breathing deeply, you can calm your mind and reduce stress and anxiety.
Improved lung function: By breathing deeply and using your diaphragm, you can improve lung function and increase oxygen intake.
Lowered blood pressure: Deep breathing can lower blood pressure, which can help reduce the risk of heart disease.
Boosted immune system: By breathing deeply, you can increase oxygen levels in your body, which can help boost your immune system.
Conclusion:
Breathing is a powerful tool that we often take for granted. By focusing on your breath and practicing some simple techniques, you can tap into the power of your breath and improve your life. Remember to take some deep breaths throughout the day and make breathing a part of your daily routine. By doing so, you can experience the numerous benefits of breathing easy.</t>
  </si>
  <si>
    <t>.
Chapters
0:00 Introduction
0:36 Pumping breastmilk
1:15 Storing breastmilk
2:09 Feeding breastmilk
Congratulations on your decision to breastfeed your baby! Breast milk is a highly nutritious food that provides your baby with all the necessary nutrients for healthy growth and development. As a breastfeeding mom, you may face the challenge of having to pump and store your breast milk for later use. Proper breast milk storage is crucial to maintain the quality and safety of your milk. In this blog post, we will provide you with a comprehensive breast milk storage guide.
Why is Proper Breast Milk Storage Important?
Breast milk is a living substance that contains vital nutrients, immune-boosting factors, and antibodies that protect your baby from infections. However, breast milk can also harbor harmful bacteria if it's not stored properly. Improper storage of breast milk can lead to bacterial growth and contamination, which can cause your baby to become ill. Therefore, it's essential to follow the recommended guidelines for breast milk storage.
Breast Milk Storage Guidelines:
Wash Your Hands:
Before handling breast milk, make sure to wash your hands thoroughly with soap and water. This will help to prevent the transfer of germs and bacteria from your hands to your milk.
Label and Date Your Milk:
Label each container of breast milk with the date that you expressed it and the amount. This will help you to keep track of the freshness of your milk and ensure that you use the oldest milk first.
Use Clean Containers:
Always use clean and sterile containers to store your breast milk. You can use glass or BPA-free plastic bottles or storage bags that are specifically designed for breast milk storage.
Store Milk in Small Quantities:
Store breast milk in small quantities of 2 to 4 ounces per container. This will help to reduce waste and ensure that your baby gets a fresh supply of milk every time.
Store Milk in the Back of the Fridge or Freezer:
Store your breast milk in the back of the fridge or freezer, where the temperature is the coldest. This will help to maintain the quality and safety of your milk.
Use Fresh Breast Milk Whenever Possible:
Whenever possible, use fresh breast milk instead of stored milk. Fresh milk is always the best option for your baby's health.
Thaw Milk Safely:
When thawing frozen breast milk, never use a microwave or hot water. Instead, place the frozen milk in the refrigerator overnight or under cool running water until it's fully thawed.
Conclusion:
Proper breast milk storage is crucial for your baby's health and well-being. By following these guidelines, you can ensure that your breast milk remains safe and nutritious for your little one. Remember to always wash your hands, use clean containers, label and date your milk, and store it in the back of the fridge or freezer. With these tips, you can provide your baby with the best possible nutrition and protection against infections.</t>
  </si>
  <si>
    <t>Clinical psychologist Dr. Kathryn DeLonga, of the NIMH Mood Brain &amp; Development Unit, discusses depression in teens.
For things to consider when choosing a mental health professional, see:
https://www.nimh.nih.gov/health/topics/psychotherapies/index.shtml
If You or Someone You Know Is in Crisis and Needs Immediate Help:
https://www.nimh.nih.gov/site-info/if-you-or-someone-you-know-is-in-crisis-and-needs-immediate-help.shtml
NIH Teen Depression Study: Enrolling ages 11-17 to find causes and treatments. Initial evaluation, then several outpatient visits/year. If eligible, treatment (inpatient or outpatient.) https://www.nimh.nih.gov/teendepressionstudy.gov</t>
  </si>
  <si>
    <t>.
Chapters
0:00 Introduction
0:26 Symptoms of Amniotic Fluid Embolism
1:00 Causes of Amniotic Fluid Embolism
2:00 Treatment for Amniotic Fluid Embolism
Pregnancy and childbirth are among the most beautiful experiences that a woman can have. However, they also come with their fair share of risks and complications, some of which can be fatal. One such complication is Amniotic Fluid Embolism (AFE), a rare but life-threatening condition that can affect expectant mothers during labor and delivery.
AFE occurs when the amniotic fluid, which surrounds the baby in the uterus, enters the mother's bloodstream and triggers an allergic reaction. This reaction can cause the mother's blood pressure to drop dramatically, leading to severe organ damage and even death. AFE is a medical emergency that requires immediate treatment and intervention.
Despite being rare, AFE is one of the leading causes of maternal mortality worldwide. The condition affects approximately 1 in 10,000 deliveries and has a mortality rate of up to 80%. Its unpredictability and rapid onset make it challenging to diagnose and manage.
Symptoms of AFE can be sudden and severe, and can include shortness of breath, chest pain, seizures, and cardiac arrest. In some cases, the symptoms may be subtle and can easily be mistaken for other conditions, such as anxiety or panic attacks.
There is no known cause of AFE, but some risk factors have been identified, such as advanced maternal age, induced labor, and multiple pregnancies. Other risk factors include a history of medical conditions such as asthma or allergies, and the use of certain medications during labor and delivery.
The treatment for AFE depends on the severity of the condition and the mother's overall health. Treatment may involve stabilizing the mother's vital signs, administering oxygen therapy, and using blood products to replace lost blood. In severe cases, emergency surgery may be required.
Prevention is key when it comes to AFE. Women who are at high risk of developing the condition should be closely monitored during labor and delivery. Healthcare providers should also be trained to recognize the signs and symptoms of AFE and to provide prompt and appropriate care.
In conclusion, Amniotic Fluid Embolism is a rare but potentially life-threatening condition that every expectant mother should be aware of. Knowing the risk factors, recognizing the signs and symptoms, and seeking prompt medical attention can make all the difference in the outcome. By breaking down the mystery surrounding AFE and raising awareness, we can help save lives and ensure that every mother and child can enjoy a healthy and happy pregnancy and childbirth experience.</t>
  </si>
  <si>
    <t>.
Chapters
0:00 Introduction
0:34 Causes of beer belly
1:27 Tips on how to get rid of a beer belly
Ah, the dreaded beer belly. It's a common problem among those who love to indulge in beer and other alcoholic beverages. But fear not, as there are ways to get rid of that stubborn belly fat and achieve a flat stomach.
First and foremost, it's important to understand that spot reduction of fat is not possible. This means that doing endless amounts of crunches or sit-ups won't necessarily target the fat in your belly area. Instead, you'll need to focus on overall weight loss to reduce fat from all parts of your body, including your belly.
Here are some effective strategies to help you get rid of your beer belly:
    Cut back on alcohol: This may seem obvious, but it's worth mentioning. Alcohol is high in calories and can lead to weight gain, especially in the belly area. Cutting back on your alcohol consumption or eliminating it altogether can make a significant difference in your weight loss journey.
    Eat a healthy diet: Eating a balanced diet that is rich in nutrients and low in calories can help you lose weight and reduce belly fat. Focus on consuming plenty of vegetables, fruits, lean proteins, and healthy fats.
    Engage in physical activity: Exercise is key to weight loss and reducing belly fat. Aim for at least 150 minutes of moderate-intensity aerobic exercise or 75 minutes of vigorous-intensity aerobic exercise per week. Additionally, strength training can help increase muscle mass and boost your metabolism.
    Get enough sleep: Not getting enough sleep can lead to weight gain and an increase in belly fat. Aim for seven to eight hours of sleep each night to help regulate your metabolism and support weight loss.
    Manage stress: Chronic stress can lead to an increase in cortisol, a hormone that can contribute to belly fat. Find ways to manage stress such as yoga, meditation, or deep breathing exercises.
    Consider professional help: In some cases, weight loss and reducing belly fat can be challenging. Consider seeking professional help from a registered dietitian or personal trainer to develop a personalized plan to achieve your goals.
In conclusion, getting rid of a beer belly requires a combination of healthy eating, regular exercise, stress management, and enough sleep. By making small changes to your lifestyle, you can achieve a flat stomach and improve your overall health and well-being. Remember to be patient and consistent in your efforts, as sustainable weight loss takes time and effort.</t>
  </si>
  <si>
    <t>.
Chapters
0:00 Introduction
0:14 What is Lichen Planus?
0:24 What causes Lichen Planus?
1:05 What are the symptoms of Lichen Planus?
1:44 How is Lichen Planus diagnosed?
2:14 What is the treatment of Lichen Planus?
Today, we delve into the enigmatic world of lichen planus. This chronic inflammatory skin condition often leaves people puzzled and seeking answers. Join us as we unlock the mystery behind lichen planus, exploring its causes, symptoms, diagnosis, treatment options, and management strategies.
[ 1: What is Lichen Planus?]
Lichen planus is an autoimmune disease that can affect the skin, mucous membranes, nails, and scalp. Though the exact cause remains elusive, researchers believe that genetic, immune system, and environmental factors contribute to its development. Lichen planus is not contagious and cannot be spread from person to person.
[ 2: Signs and Symptoms]
Lichen planus presents itself in various ways, depending on the affected area. Common symptoms include itchy, flat-topped, and shiny papules or plaques on the skin. These may have a reddish or purplish color. In oral lichen planus, the mouth may show white, lacy patches or painful sores. Nail involvement can lead to ridges, grooves, and even nail loss. Scalp involvement may cause hair loss or scarring.
[3: Diagnosis]
Diagnosing lichen planus usually involves a comprehensive examination of the affected areas and a detailed medical history review. In some cases, a skin biopsy may be performed to confirm the diagnosis. It's crucial to consult a dermatologist or a healthcare professional experienced in diagnosing and treating lichen planus for an accurate assessment.
[4: Treatment Options]
While there is no definitive cure for lichen planus, various treatment options can help manage the symptoms and reduce discomfort. Topical corticosteroids, such as creams or ointments, are commonly prescribed for mild cases. For more severe or widespread cases, oral corticosteroids or other immunosuppressive medications may be used. Other therapies, such as phototherapy, retinoids, or immune response modifiers, may also be considered based on individual circumstances.
[5: Management and Self-Care]
Managing lichen planus involves a combination of medical treatments and self-care practices. Maintaining good oral hygiene is vital for oral lichen planus. Avoiding triggers like certain medications, allergens, and traumatic events can help prevent flare-ups. It is also important to protect the skin from excessive sun exposure, stress, and injury. Regular follow-ups with healthcare professionals will aid in monitoring the condition's progress and adjusting treatment plans as necessary.
[6: Living with Lichen Planus]
Living with lichen planus can be challenging, both physically and emotionally. Connecting with support groups or online communities can provide a sense of belonging and allow for sharing experiences and coping strategies. Remember that each person's journey with lichen planus is unique, and patience, self-care, and a positive mindset can go a long way in managing the condition.
[Conclusion]
While lichen planus may present challenges, it is important to remember that there are treatment options available and support systems in place. If you suspect you may have lichen planus, consult a healthcare professional for an accurate diagnosis and appropriate management. Together, we can navigate this mysterious condition and strive for a better quality of life.</t>
  </si>
  <si>
    <t>.
Chapters
0:00 Introduction
0:32 Benefits of honey for your face
1:04 Benefits of lemon for your face
1:40 How to use honey and lemon on your face
2:19 Precautions
2:47 Conclusion
Are you tired of spending hundreds of dollars on skincare products that don't seem to work? Well, it's time to go back to basics! Honey and lemon have been used for centuries for their amazing skincare benefits, and it's time for you to try them out for yourself. In this video, we'll explore the numerous benefits of using honey and lemon on your skin, and we'll show you how to incorporate them into your skincare routine.
Benefits of Honey and Lemon for Your Skin:
Honey and lemon are two natural ingredients that have been used in skincare for centuries. Honey is a natural humectant, meaning it helps to keep your skin moisturized, while lemon contains vitamin C which is a powerful antioxidant that can help to brighten your skin. When used together, these ingredients can work wonders for your skin. Some of the benefits of honey and lemon for your skin include:
Moisturizing: Honey helps to lock in moisture, keeping your skin hydrated and soft.
Exfoliating: Lemon contains citric acid which can help to gently exfoliate your skin, removing dead skin cells and revealing a brighter complexion.
Anti-aging: The antioxidants in lemon and honey can help to fight free radicals that can damage your skin and cause premature aging.
Brightening: Lemon's vitamin C content can help to brighten your skin and even out your skin tone.
Acne-fighting: Honey has antibacterial properties that can help to fight acne-causing bacteria, while lemon's acidic properties can help to unclog pores and prevent future breakouts.
How to Use Honey and Lemon for Your Skin:
There are many ways to incorporate honey and lemon into your skincare routine. Here are a few easy DIY recipes to get you started:
Honey and Lemon Face Mask: Mix one tablespoon of honey with a few drops of lemon juice and apply it to your face. Leave it on for 15-20 minutes, then rinse it off with warm water.
Honey and Lemon Scrub: Mix one tablespoon of honey with one tablespoon of sugar and a few drops of lemon juice. Gently massage the mixture onto your face, then rinse it off with warm water.
Lemon and Honey Toner: Mix equal parts lemon juice and honey, and apply it to your face using a cotton ball. Leave it on for a few minutes, then rinse it off with warm water.
Conclusion:
Honey and lemon may be simple ingredients, but they are packed with powerful skincare benefits. By incorporating them into your skincare routine, you can achieve a brighter, more radiant complexion without spending a fortune on expensive products. So go ahead and give honey and lemon a try – your skin will thank you!</t>
  </si>
  <si>
    <t>.
Chapters
0:00 Introduction
0:23 What is waxing?
1:05 What is shaving?
When it comes to hair removal, two of the most popular methods are waxing and shaving. While they may seem similar, there are some key differences between the two. Understanding these differences can help you decide which method is best for you.
Shaving is a quick and easy method of hair removal that involves using a razor to cut hair at the surface of the skin. It's a popular choice for both men and women and can be done in the comfort of your own home. Shaving can be done daily and is relatively inexpensive compared to other hair removal methods.
Waxing, on the other hand, involves applying warm or hot wax to the skin and then removing the hair from the root. It's a more long-lasting method of hair removal that can keep hair away for up to four weeks. Waxing is typically done at a salon or spa and can be more expensive than shaving.
Here are some key differences between waxing and shaving:
    Hair regrowth: Shaving only removes hair at the surface of the skin, which means that hair regrowth can happen quickly. Waxing, on the other hand, removes hair from the root, which means that hair regrowth takes longer.
    Duration of results: Shaving provides temporary results that usually last a day or two, while waxing provides longer-lasting results that can last up to four weeks.
    Pain: Shaving is generally painless, although you can experience razor burn, cuts, or nicks. Waxing can be painful, especially for those with sensitive skin, as the waxing process involves pulling hair out from the root.
    Ingrown hairs: Shaving can cause ingrown hairs, especially in sensitive areas such as the bikini area. Waxing, on the other hand, can help prevent ingrown hairs by removing hair from the root and exfoliating the skin.
    Cost: Shaving is a relatively inexpensive method of hair removal, as all you need is a razor and some shaving cream. Waxing, on the other hand, can be more expensive, as it's typically done at a salon or spa.
In conclusion, both waxing and shaving have their pros and cons, and the best method for you will depend on your individual preferences and needs. If you're looking for a long-lasting hair removal method and don't mind some discomfort, waxing may be the better option for you. If you're looking for a quick and painless hair removal method that can be done at home, shaving may be the better choice. Ultimately, the decision is up to you!</t>
  </si>
  <si>
    <t>.
Chapters
0:00 Introduction
0:46 Make dietary changes
1:16 Stay hydrated
1:32 Incorporate exercise into your routine
2:01 Reduce stress
2:22 Get enough sleep
2:4 Conclusion
Losing Lower Belly Fat: Tips and Strategies
Are you struggling with stubborn lower belly fat that just won't budge, no matter how many crunches or sit-ups you do? You're not alone. Lower belly fat can be one of the most challenging areas to target, but with the right strategies, it's possible to see results. In this post, we'll explore some tips and tricks for losing lower belly fat and achieving a flatter, more toned stomach.
    Eat a healthy, balanced diet
When it comes to losing belly fat, diet is key. You can do all the crunches in the world, but if you're not eating a healthy, balanced diet, you're unlikely to see results. Focus on eating plenty of fruits, vegetables, whole grains, and lean protein, and avoid processed foods, sugary drinks, and excessive amounts of alcohol. Try to eat smaller, more frequent meals throughout the day to keep your metabolism revved up.
    Incorporate cardio into your routine
Cardiovascular exercise is one of the most effective ways to burn fat, including lower belly fat. Aim for at least 30 minutes of moderate-intensity cardio, such as brisk walking, jogging, cycling, or swimming, most days of the week. High-intensity interval training (HIIT) can also be effective, as it helps to boost your metabolism and burn calories long after your workout is over.
    Strength train to build muscle
Building lean muscle mass can also help to reduce lower belly fat, as muscle burns more calories than fat, even at rest. Incorporate strength training exercises into your routine, such as squats, lunges, push-ups, and planks. Focus on full-body workouts that target multiple muscle groups at once, rather than isolating individual muscles.
    Get enough sleep
Getting enough sleep is crucial for overall health and wellbeing, but it can also play a role in weight loss. When you don't get enough sleep, your body produces more of the hormone cortisol, which can lead to increased belly fat. Aim for 7-8 hours of sleep per night, and try to establish a consistent sleep schedule.
    Reduce stress
Stress can also contribute to belly fat, as it triggers the release of cortisol. Incorporate stress-reducing activities into your routine, such as meditation, yoga, deep breathing, or simply taking a walk in nature. Prioritize self-care and relaxation to help keep stress levels in check.
    Be patient and persistent
Finally, it's important to remember that losing lower belly fat takes time and effort. Don't get discouraged if you don't see results right away – stick with your healthy diet and exercise routine, and be patient. Consistency is key when it comes to achieving your goals.
In conclusion, losing lower belly fat is a challenging but achievable goal with the right strategies. By eating a healthy diet, incorporating cardio and strength training, getting enough sleep, reducing stress, and being patient and persistent, you can work towards a flatter, more toned stomach. Remember to focus on overall health and wellbeing, and celebrate your progress along the way.</t>
  </si>
  <si>
    <t>.
Chapters
0:00 Introduction
0:29 What is Intestinal Lymphoma
0:53 What are the symptoms of Intestinal Lymphoma
1:25 What causes Intestinal Lymphoma
2:06 How is Intestinal Lymphoma diagnosed?
2:51 How is Intestinal Lymphoma treated?
3:36 Conclusion
Intestinal lymphoma is a type of cancer that affects the lymphatic system, specifically the lymphocytes or white blood cells. It is a rare form of cancer that develops in the gastrointestinal tract, specifically in the small intestine, and it can also affect other organs in the body such as the liver, spleen, and bone marrow.
The symptoms of intestinal lymphoma may vary depending on the location and size of the tumor, but some of the common symptoms include abdominal pain, bloating, diarrhea, constipation, nausea, vomiting, and weight loss. These symptoms can easily be mistaken for other digestive disorders such as irritable bowel syndrome (IBS), inflammatory bowel disease (IBD), or celiac disease. It is important to consult with a doctor if these symptoms persist for a prolonged period of time.
The diagnosis of intestinal lymphoma may involve a series of tests including blood tests, imaging tests such as CT scans or MRIs, and a biopsy of the affected tissue. A biopsy is the only way to confirm the presence of cancerous cells.
The treatment of intestinal lymphoma may vary depending on the stage and type of the cancer, as well as the patient's overall health. Some of the treatment options include chemotherapy, radiation therapy, and surgery. In some cases, a combination of these treatments may be necessary.
Living with intestinal lymphoma can be challenging, both physically and emotionally. The treatment can cause a range of side effects such as hair loss, fatigue, nausea, and vomiting. It is important for patients to have a strong support system to help them cope with the challenges of the disease.
In conclusion, intestinal lymphoma is a rare form of cancer that affects the lymphatic system. The symptoms can be easily mistaken for other digestive disorders, so it is important to consult with a doctor if these symptoms persist. Early detection and treatment can greatly improve the chances of recovery. Living with intestinal lymphoma can be challenging, but with the right treatment and support, it is possible to beat the disease and live a fulfilling life.</t>
  </si>
  <si>
    <t>.
Chapters
0:00 Introduction
0:43 Causes of Obesophobia
1:29 Symptoms of Obesophobia
2:17 diagnosis of Obesophobia
2:47 Treatment of Obesophobia
Social stigma of obesity is broadly defined as bias or discriminatory behaviors targeted at overweight and obese individuals because of their weight.[1][2] Such social stigmas can span one's entire life, as long as excess weight is present, starting from a young age and lasting into adulthood.[3] Several studies from across the world (e.g., United States, University of Marburg, University of Leipzig) indicate overweight and obese individuals experience higher levels of stigma relative to their thinner counterparts. In addition, they marry less often, experience fewer educational and career opportunities, and on average earn a lesser income than normal weight individuals.[3] Although public support regarding disability services, civil rights, and anti-workplace discrimination laws for obese individuals have gained support across the years, overweight and obese individuals still experience discrimination, which may have detrimental implications in relation to both physiological[4] and psychological health. These issues are compounded by the significant negative physiological effects that are already associated with obesity,[5] which some have proposed may be caused by stress from the social stigma of obesity, rather than from obesity per se.[4]
Anti-fat bias refers to prejudicial assumptions that are based on an assessment of a person as being overweight or obese. It is also known as "fat shaming". Anti-fat bias can be found in many facets of society,[6] and fat activists commonly blame popular media for the pervasiveness of this phenomenon.[7][8] Research indicates that self-reported incidents of weight-based discrimination have increased in the last few decades.[9] Individuals who are subjected to weight-related stigma appear to be rated more negatively when compared with other groups, such as sexual minorities and those with mental illness.[10]
Anti-fat bias has been observed in groups hoping to become physical education instructors. In one study, a group of 344 psychology or physical education majors at a New Zealand University were compared, and it was found that the prospective physical education teachers were more likely to display implicit anti-fat attitudes than the psychology majors.[11]
A number of studies have found that health care providers frequently have explicit and/or implicit biases against overweight people, and it has been found that overweight patients may receive lower quality care as a result of their weight.[12] Medical professionals who specialize in the treatment of obesity have been found to have strong negative associations toward obese individuals.[13] The stress from obesity-related stigma may also cause negative health outcomes.[4]
In one study, preschool-aged children reported a preference for average-sized children over overweight children as friends.[14] As a consequence of anti-fat bias, overweight individuals often find themselves suffering repercussions in many facets of society, including legal and employment issues later in their life.[6]
According to a 2010 review of published studies, interventions seeking to reduce prejudice and social stigma against fat and obesity are largely ineffective.[15]</t>
  </si>
  <si>
    <t>.
Chapters
0:00 Introduction
0:24 What are the symptoms of ankle arthritis?
1:10 What are the causes of ankle arthritis
1:49 What are the treatment options of ankle arthritis
3:26 Conclusion
Arthritis is a common condition that affects millions of people around the world. It's characterized by inflammation of the joints, which can cause pain, stiffness, and swelling. While arthritis is commonly associated with the knees and hips, it can also affect other parts of the body, including the ankles.
Ankle arthritis can be a particularly challenging condition to deal with, as it can significantly impact mobility and quality of life. If you're experiencing ankle pain or other symptoms, it's essential to understand what's causing it and what your treatment options are.
Symptoms of Ankle Arthritis
Ankle arthritis can manifest in different ways, and the severity of symptoms can vary from person to person. Here are some common signs of ankle arthritis to watch out for:
    Pain: One of the most noticeable symptoms of ankle arthritis is pain in the ankle joint. The pain can be mild or severe and may be present during movement or at rest.
    Stiffness: People with ankle arthritis may experience stiffness in the joint, which can make it challenging to move the ankle freely.
    Swelling: Inflammation in the ankle joint can cause swelling and tenderness in the affected area.
    Limited mobility: As arthritis progresses, the range of motion in the ankle joint may become limited, making it difficult to walk or perform daily activities.
Treatment Options for Ankle Arthritis
If you're experiencing symptoms of ankle arthritis, there are several treatment options available to help manage the condition. Here are some common treatment options to consider:
    Pain management: Over-the-counter pain medications like ibuprofen and acetaminophen can help reduce pain and inflammation.
    Physical therapy: A physical therapist can develop an exercise program that can help improve mobility, strength, and flexibility in the ankle joint.
    Bracing: Wearing a brace can help provide support to the ankle joint and relieve pain.
    Injections: Corticosteroid injections can help reduce inflammation and provide relief from pain.
    Surgery: In severe cases of ankle arthritis, surgery may be necessary. Joint replacement surgery is a common procedure used to replace damaged ankle joints with artificial ones.
Living with Ankle Arthritis
While ankle arthritis can be a challenging condition to deal with, there are ways to manage it effectively. Here are some tips for living with ankle arthritis:
    Stay active: Regular exercise can help improve mobility and reduce pain.
    Maintain a healthy weight: Excess weight can put added stress on the ankle joint, exacerbating symptoms of arthritis.
    Wear comfortable shoes: Choose shoes with good support and cushioning to help reduce pressure on the ankle joint.
    Use assistive devices: Canes, walkers, and other assistive devices can help take the pressure off the ankle joint when walking.
Conclusion
If you're experiencing ankle pain or other symptoms, it's essential to seek medical attention to determine the underlying cause. Ankle arthritis can be a challenging condition to deal with, but with the right treatment and lifestyle modifications, it's possible to manage the symptoms effectively and maintain a good quality of life.</t>
  </si>
  <si>
    <t>.
Chapters
0:00 Introduction
0:39 Causes of nighttime urination
1:45 Symptoms of nighttime urination
2:19 Treatment options for nighttime urination
3:32 When to see an healthcare provider
4:03 Takeaway
Do you find yourself waking up multiple times during the night to use the bathroom? If so, you're not alone. Nighttime urination, also known as nocturia, is a common condition that affects many people. In this blog post, we'll explore everything you need to know about nighttime urination, including its causes, symptoms, and treatments.
What Causes Nighttime Urination?
Nighttime urination can be caused by a variety of factors, including:
    Aging - As we age, our bodies produce less of an antidiuretic hormone that helps us retain fluid, leading to more frequent urination.
    Medications - Some medications, such as diuretics, can increase urine production and lead to more frequent urination.
    Medical conditions - Certain medical conditions, such as diabetes, bladder infections, and prostate problems, can cause nighttime urination.
    Lifestyle habits - Consuming caffeine and alcohol, especially in the evening, can stimulate the bladder and increase urine production.
    Overactive bladder - An overactive bladder is a condition in which the bladder muscles contract involuntarily, leading to frequent urination.
What Are the Symptoms of Nighttime Urination?
The most obvious symptom of nighttime urination is waking up one or more times during the night to use the bathroom. Other symptoms may include:
    Difficulty falling back to sleep after using the bathroom.
    Fatigue during the day due to disrupted sleep.
    Urinary incontinence, or the involuntary leakage of urine.
    Pain or discomfort while urinating.
How Is Nighttime Urination Treated?
The treatment for nighttime urination will depend on the underlying cause. Here are some potential treatments:
    Lifestyle changes - Avoiding caffeine and alcohol before bed and emptying your bladder before bedtime can help reduce nighttime urination.
    Medications - If a medical condition is causing your nighttime urination, your doctor may prescribe medication to treat the underlying condition.
    Bladder training - Bladder training involves gradually increasing the amount of time between bathroom breaks to train your bladder to hold more urine.
    Surgery - In some cases, surgery may be necessary to correct the underlying condition causing nighttime urination.
When to See a Doctor
If you experience nighttime urination frequently, you should consult your doctor. Your doctor can help determine the underlying cause of your symptoms and develop a treatment plan that works for you. Additionally, if you experience any pain or discomfort while urinating, blood in your urine, or a fever, you should seek medical attention immediately.
Conclusion
Nighttime urination is a common condition that affects many people. While it can be a nuisance, there are treatments available to help alleviate symptoms. If you experience nighttime urination frequently, talk to your doctor to determine the underlying cause and develop a treatment plan that works for you.</t>
  </si>
  <si>
    <t>.
Chapters
0:00 Introduction
0:28 What comes to mind
Today, we dive into a critical issue that affects millions of lives worldwide: the impact of air pollution on lung cancer. With the increase in industrialization, urbanization, and vehicular emissions, the air we breathe has become a toxic cocktail of harmful substances. Join us as we explore the connection between air pollution and lung cancer, shedding light on the alarming consequences that arise from breathing polluted air.
1.Air pollution is an invisible threat that permeates our daily lives. We often associate it with respiratory problems, allergies, and asthma. However, recent research has shown a strong link between air pollution and lung cancer. It is important to recognize that lung cancer is not solely caused by smoking; non-smokers are also susceptible to developing this devastating disease due to prolonged exposure to polluted air.
2.The primary culprits in air pollution are particulate matter (PM) and toxic gases. PM refers to tiny particles suspended in the air, such as dust, soot, and various chemical compounds. These particles can easily enter our respiratory system, penetrating deep into the lungs. Over time, the accumulation of these harmful substances can trigger the development of cancerous cells and increase the risk of lung cancer.
3.Several studies have highlighted the association between long-term exposure to air pollution and an increased incidence of lung cancer. One notable research project, conducted in a highly polluted city, demonstrated that residents exposed to high levels of air pollution had a significantly higher risk of developing lung cancer compared to those in less polluted areas. These findings emphasize the importance of reducing air pollution to safeguard public health.
4.The harmful effects of air pollution on lung health are not limited to the outdoor environment. Indoor air pollution, caused by factors such as cooking fumes, tobacco smoke, and the use of certain building materials, can also contribute to lung cancer. This highlights the need for comprehensive measures to tackle air pollution, both outdoors and indoors.
5.Addressing the issue of air pollution requires collective action from individuals, communities, and policymakers. Implementing stricter emission standards for vehicles, promoting renewable energy sources, and investing in green infrastructure are crucial steps toward reducing air pollution levels. Additionally, raising awareness about the dangers of air pollution and advocating for cleaner air can have a significant impact on public health.
6.In conclusion, the impact of air pollution on lung cancer is a pressing concern that cannot be ignored. The evidence linking polluted air to the development of lung cancer is mounting, highlighting the urgent need for decisive action. By understanding the risks, spreading awareness, and taking steps to reduce air pollution, we can protect ourselves and future generations from the harmful effects of polluted air. Let us strive for cleaner skies and healthier lungs.
Conclusion:
Thank you for joining us in exploring the impact of air pollution on lung cancer. Remember, each one of us has a role to play in preserving the quality of the air we breathe. Together, we can create a healthier and safer environment for everyone.</t>
  </si>
  <si>
    <t>.
Chapters
0:00 Introduction
0:32 What are deodorants and antiperspirants
1:10 Benefits of deodorants
1:31 Risks of deodorants
1:49 Benefits of antiperspirants
2:12 Risks of antiperspirants
2:38 Which one should you choose?
Most of us have probably used one or the other at some point in our lives, but do we really know the difference between them? In this post, we'll explore what deodorants and antiperspirants are, how they work, their pros and cons, and which one might be right for you.
Section 1: What are deodorants?
Deodorants are products designed to combat body odor caused by sweat. They work by masking the smell of sweat and killing the bacteria that cause it. Most deodorants also contain fragrance to give a pleasant scent. Deodorants come in various forms such as sticks, sprays, roll-ons, and creams, and can be made with natural or synthetic ingredients.
One of the advantages of using deodorants is that they are generally gentler on the skin than antiperspirants. They also allow your body to sweat naturally, which is important for regulating your body temperature and releasing toxins. However, deodorants may not be effective for people with excessive sweating or hyperhidrosis.
Some popular brands of deodorant include Dove, Degree, and Secret. Dove is known for its moisturizing properties and gentle formula, while Degree offers long-lasting protection and a variety of scents. Secret is popular for its clinical strength formula and effectiveness against sweat and odor.
Section 2: What are antiperspirants?
Antiperspirants are products designed to reduce sweating by blocking the sweat glands. They contain aluminum-based compounds that form a temporary plug in the sweat ducts, preventing sweat from reaching the skin's surface. Like deodorants, antiperspirants also often contain fragrance to mask body odor.
Antiperspirants come in various forms such as sticks, sprays, roll-ons, and gels, and can also be made with natural or synthetic ingredients. They are typically more effective than deodorants at preventing sweat and odor, making them a popular choice for people with excessive sweating or those who want long-lasting protection.
However, antiperspirants can be harsh on the skin, causing irritation or allergic reactions for some people. They can also disrupt the natural process of sweating and potentially contribute to the development of breast cancer, although this link is not conclusive and requires further research.
Some popular brands of antiperspirant include Dove, Secret, and Mitchum. Dove offers a range of antiperspirants with moisturizing properties and a variety of scents. Secret offers a clinical strength formula that is effective against sweat and odor. Mitchum is known for its effectiveness against sweat and long-lasting protection.
Section 3: The pros and cons of each product
So, which one is better: deodorants or antiperspirants? It really depends on your personal preference and needs. Here are some of the pros and cons of each product:
Deodorants:
Pros: gentler on the skin, allow natural sweating, usually less expensive.
Cons: may not be effective against excessive sweating, may not provide long-lasting protection.
Antiperspirants:
Pros: more effective at preventing sweat and odor, provide long-lasting protection.
Cons: can be harsh on the skin, may disrupt the natural process of sweating, potentially linked to health risks.
When choosing between deodorants and antiperspirants, consider factors such as your sweating patterns, skin sensitivity, and personal values. If you're looking for a natural option, consider a deodorant made with natural ingredients like coconut oil or baking soda. If you need long-lasting protection against sweat and odor, an antiperspirant might be a better option.
Conclusion:
So, which one is better: deodorants or antiperspirants? The answer is, it depends. Both products have their pros and cons, and the best option for you depends on your personal preferences and needs. If you're concerned about harsh chemicals or skin sensitivity, consider a natural deodorant. If you need long-lasting protection against sweat and odor, an antiperspirant might be a better option. Ultimately, the choice is yours.
Remember, no matter which product you choose, it's important to practice good hygiene habits, such as showering regularly and wearing clean clothes. And if you experience any irritation or discomfort, stop using the product and consult a dermatologist. Happy battling of the underarms!</t>
  </si>
  <si>
    <t>.
Chapters
0:00 Introduction
0:49 Humidify the air
1:07 Keep yourself warm and hydrated
1:28 Use salt water to gargle
1:56 Add Eucalyptus oil to your daily diet
2:20 Do you need to see a doctor?
Phlegm is something that we all experience at some point in our lives. It can be uncomfortable, frustrating, and downright annoying. Whether you're dealing with a cold, allergies, or another health condition, excess mucus can make it difficult to breathe and can leave you feeling tired and worn out. Luckily, there are a few things you can do to manage your phlegm and keep your airways clear. In this post, we'll go over everything you need to know to deal with phlegm effectively.
    Stay hydrated: Drinking plenty of water is one of the easiest and most effective ways to thin out mucus and help it move out of your system. Aim to drink at least eight glasses of water per day, and avoid caffeine and alcohol, which can dehydrate you.
    Steam it out: Breathing in steam can help loosen up phlegm and make it easier to cough up. You can take a hot shower or bath, use a humidifier, or simply fill a bowl with hot water and hold your face over it with a towel draped over your head.
    Blow your nose: Blowing your nose regularly can help get rid of excess mucus in your nasal passages. However, be gentle and don't blow too hard, as this can cause further irritation.
    Use saline sprays: Saline nasal sprays can help moisten your nasal passages and thin out mucus, making it easier to clear. You can purchase saline sprays at most drugstores or make your own by mixing a quarter teaspoon of salt with eight ounces of warm water.
    Try over-the-counter medications: If you're dealing with a cold or allergies, over-the-counter medications like antihistamines, decongestants, and expectorants can help reduce your symptoms and make it easier to manage your phlegm. However, always follow the instructions on the label and talk to your doctor if you have any concerns.
    Rest up: Your body needs plenty of rest to fight off infections and other health issues. Make sure you're getting enough sleep each night, and take it easy when you're feeling under the weather.
Dealing with phlegm can be frustrating, but there are plenty of things you can do to manage your symptoms and keep your airways clear. Try incorporating some of these tips into your daily routine, and talk to your doctor if you're still having trouble. With a little patience and perseverance, you can banish phlegm for good!</t>
  </si>
  <si>
    <t>JOIN MY MENTAL WELLNESS COMMUNITY https://MentalWellnessSpace.com
Oppositional Defiant Disorder (ODD) is a condition that affects both children and adults, causing them to display persistent defiance, hostility, and disobedience towards authority figures. In this video, we'll explore what ODD is, the symptoms and behaviors associated with the disorder, and how it affects individuals in their daily lives. 
References
American Psychiatric Association. (2022). Diagnostic and statistical manual of mental disorders (5th ed., text rev.). https://doi.org/10.1176/appi.books.9780890425787
Junghänel, M., Thöne, AK., Ginsberg, C. et al. Irritability and Emotional Impulsivity as Core Feature of ADHD and ODD in Children. J Psychopathol Behav Assess 44, 679–697 (2022). https://doi.org/10.1007/s10862-022-09974-8
WANT TO START IN THERAPY? Here’s a convenient and affordable option with my sponsor BetterHelp
https://Betterhelp.com/drmarks 
For a monthly fee, you get a REAL licensed therapist with whom you can meet weekly by phone, video or chat. You can also send daily messages. 
For a full review of the service, watch this video https://youtu.be/kDs9HxGnyxw
If you use this link you will get a 10% discount on your first month. https://betterhelp.com/drmarks This is an option I've researched. I get a referral commission if you sign up.
GET MY ANXIETY BOOK  http://WhyAmIAnxious.com
Want to know more about mental health and self-improvement? On this channel I discuss topics such as bipolar disorder, major depression, anxiety disorders, attention deficit disorder (ADHD), relationships and personal development/self-improvement. I upload weekly. If you don’t want to miss a video, click here to subscribe. https://goo.gl/DFfT33 
Disclaimer: All of the information on this channel is for educational purposes and not intended to be specific/personal medical advice from me to you. Watching the videos or getting answers to comments/question, does not establish a doctor-patient relationship. If you have your own doctor, perhaps these videos can help prepare you for your discussion with your doctor.</t>
  </si>
  <si>
    <t>.
Chapters
0:00 Introduction
0:41 Signs and symptoms of free floating anxiety
1:00 Possible causes of free floating anxiety
2:08 Coping with free floating anxiety
3:29 When to get professional support?
Welcome back to our channel, where we delve into important topics related to mental health and personal well-being. Today, we are going to tackle a subject that affects millions of people worldwide: free floating anxiety. Whether you've experienced it firsthand or know someone who has, understanding this type of anxiety is crucial for our overall well-being. So, let's dive right in and explore what you need to know about free floating anxiety.
1. Defining Free Floating Anxiety
To begin, let's define free floating anxiety. Unlike specific anxieties triggered by certain situations or events, free floating anxiety is characterized by a general sense of unease or worry that seemingly appears out of nowhere. It can creep into our lives unexpectedly, leaving us feeling anxious without a clear reason. This type of anxiety often lingers in the background, affecting our daily functioning and overall quality of life.
 2: Common Symptoms and Signs
Free floating anxiety manifests in various ways, and recognizing its symptoms is key to identifying and addressing it. Some common signs include persistent worry, restlessness, irritability, difficulty concentrating, muscle tension, and even physical discomfort like headaches or stomachaches. These symptoms can occur without a specific trigger, making it challenging to pinpoint the source of anxiety.
3: Understanding the Causes
 While the exact causes of free floating anxiety are not fully understood, several factors are believed to contribute to its development. These may include genetic predisposition, brain chemistry imbalances, past traumatic experiences, chronic stress, or even certain personality traits. It's important to remember that everyone's experience with free floating anxiety is unique, and multiple factors can intertwine to create this condition.
4: Impact on Daily Life
 Free floating anxiety can significantly impact our daily lives. It can interfere with our ability to concentrate, perform tasks efficiently, and maintain healthy relationships. It may also affect our sleep patterns, leading to fatigue and decreased productivity. By recognizing the impact of free floating anxiety, we can take steps to manage it effectively.
5: Coping Strategies and Management
Now, let's talk about coping strategies and management techniques for free floating anxiety. It's crucial to develop a personalized approach that works for you. Some strategies that may help include regular exercise, practicing relaxation techniques such as deep breathing or meditation, maintaining a healthy lifestyle with a balanced diet, getting adequate sleep, and seeking professional help through therapy or counseling.
6: Breaking the Stigma and Seeking Support
Remember, you are not alone in this journey. Breaking the stigma surrounding mental health is essential, and seeking support is a sign of strength. Reach out to friends, family, or professionals who can provide the necessary support and guidance. Together, we can create a supportive community where individuals feel comfortable discussing their experiences with free floating anxiety.
Conclusion:
Host: As we wrap up today's discussion on free floating anxiety, it's important to acknowledge that managing this condition requires patience, self-compassion, and ongoing effort. By educating ourselves and those around us, we can create a more compassionate and understanding society. Remember, seeking help is not a sign of weakness but a courageous step toward a healthier and happier life. Thank you for joining us today, and we'll see you in our next video. Take care!</t>
  </si>
  <si>
    <t>A moment in the word
Pastor Filbert Candelaria
Lighthouse Galveston</t>
  </si>
  <si>
    <t>Anamaria Sayre | May 15, 2023
Arriving at the Tiny Desk not long after becoming the first female artist to have a Spanish-language album top the Billboard 200 chart, Colombian singer Karol G shined brighter than ever. With an all-female crew backing her, the proud energia femenina and the prowess of a band dominated exclusively by women is undeniably brilliant here. It was also the first time in many years, she said, that she hadn't rehearsed without her typical on-stage equipment, like in-ear monitors. "I forgot how cool it feels," she said. Authenticity isn't a prescription for Karol G, it's a natural state — something that she carries with her, waiting for the next opportunity to reveal another version of Carolina.
"CAROLINA," her given name, was also the title of the opening track of her performance, as she got to jamming in a manner atypical for the superstar. Trading her flute and trumpet for an accordion and tuba she "bring[s] some Mexican vibe to this place," she said, with "GUCCI LOS PAÑOS." She paused between songs and offered a cheers to the room, admitting that she had meant to sip her Mezcalito before the previous song.
She emphasized the rawness of the moment by slowing things down for a stripped down, reggae-leaning version of "PERO TÚ." Sliding seamlessly into a bossa nova-esque "MERCURIO" — the version she wishes she'd included on the album — "La Bichota" brought the music back up and danced herself off stage. Away from the stadium lights, Karol G's performance wasn't just a blip of normalcy for the pop star — it was permission from the self-described "happy-heartbreak girl" to get up, whether in the streets of Medellín or an office in Washington, D.C., and dance with every version of yourself.
SET LIST
"CAROLINA"
"GUCCI LOS PAÑOS"
"PERO TÚ"
"MERCURIO" 
MUSICIANS
Carolina Giraldo (Karol G): vocals
Susana Vasquez: guitar 
Jemma Heigis: piano
Giulliana Merello: drums
Patricia Ligia: bass
Crystal Torres: trumpet
Hailey-Mae Niswanger: flute
Katiuska Fernandes: percussion
Irany Martinez: accordion
India Anderson: tuba
Rob Trujillo: musical director
TINY DESK TEAM
Producer: Anamaria Sayre 
Director/Editor: Kara Frame
Audio Engineer: Josh Rogosin 
Creative Director: Bob Boilen 
Series Producer: Bobby Carter 
Videographers:  Kara Frame, Joshua Bryant, Sofia Seidel, Michael Zamora
Audio Assistant: Josephine Nyounai
Production Assistant: Ashley Pointer
Tiny Desk Team: Suraya Mohamed, Maia Stern, Hazel Cills, Marissa Lorusso, Pilar Galván, Jill Britton
VP, Visuals and Music: Keith Jenkins
Senior VP, Programming: Anya Grundmann
#tinydesk #eltiny #karolg</t>
  </si>
  <si>
    <t>begs-183|| homonyms, homophones &amp;homographs|| important question||‎@RZ LEARNING  #begs183 #homonyms</t>
  </si>
  <si>
    <t>Study plan for Beginners and working || To Do list in _xD83D__xDCDA_ || EFFECTIVE STUDY PLAN IN LESS TIME  for #banking Exam #bank #rbi #rrb 
@AnilAggarwalbankinterview 
@AffairsCloud-Com 
@NIMISHABANSAL</t>
  </si>
  <si>
    <t>Dramatic Monologue by Robert Browning ,Ma English notes @learnerslocation #maenglish #maenglishnotes #maenglishlecture #maenglishliterature #robertbrowning #dramaticmonologue</t>
  </si>
  <si>
    <t>TENSION IN POETRY IS EXPLAINED IN DETAIL</t>
  </si>
  <si>
    <t>#nclp #scheme #childlabour #ias #upsc #upscstudieswithpradeep 
UPSC Study Material:
https://upscstudieswithpradeep.in</t>
  </si>
  <si>
    <t>In this video, Dr. Lokesh Meena shares the top most Multiple Choice Questions (MCQs) and Previous Year Questions (PYQs) related to Research, which is an essential topic for NET JRF 2023 exam preparation. Dr. Lokesh Meena's expertise in the field and his clear explanations make this video a valuable resource for anyone preparing for NET JRF 2023.
Call Dr. Lokesh Kumar Meena's team on 8585858585 and take your NTA-UGC NET Preparations to the next level.
➤ Use Code ''LOKESH11'', Unlock FREE Special Classes on our platform, &amp; also Get Exciting off on your Subscription today.
Click here for FREE access to Educator's best classes:  https://www.unacademy.com/a/Most-Important-Topics-Hindi-Paper-2-For-NTA-UGC-NET.html
----------------------------------------------------
 ➤ Subscribe today:  https://unacademy.onelink.me/RICs/f4qm87bj
----------------------------------------------------
Join Dr. Lokesh Kumar Meena’s community:  https://unacademy.com/community/LG6Z74/ 
➤ About the Educator:  Unacademy Educator since 5th June, 2020, Ph.D | NET | JRF | SRF | MA | B.Ed, CTET, Tran. Diploma.
➤ Follow Dr Lokesh Kumar Meena on Unacademy: https://unacademy.com/@DrLokeshBali
Playlist Link: https://www.youtube.com/playlist?list=PLp2XwX40sXwW2proyRUX4nho0KdtJtSey 
----------------------------------------------------
You can enroll to Unacademy Subscription and get the following benefits:
1. Learn from your favourite teacher
2. Dedicated DOUBT sessions
3. One Subscription, Unlimited Access to Live Online Classes and Videos
4. Real-time interaction with best-in-class teachers
5. You can ask doubts in live online classes
6. Limited students in each Class
7. Download the videos &amp; watch them offline
----------------------------------------------------
Download the Unacademy Learning App here: 
 ➤ Android: https://unacademy.onelink.me/081J/40a
 ➤ iOS: https://unacademy.onelink.me/081J/a61
----------------------------------------------------
If you don’t wish to miss any updates and or latest videos about NTA-UGC NET Exams Preparation, subscribe to the channel now. Students who have already subscribed, stay tuned as we will get more strategy and preparations videos and FREE LIVE CLASSES just for you. Feel free to spread the word – share the videos with your friends and classmates.
#research  #netjrf2023 #ugcnet2023 #ntaugcnet  #lokesh_meena</t>
  </si>
  <si>
    <t>#ugc_net_education #uphesc_education #pgt_education  #educators_plus 
Education UGC NET, UPHESC B.Ed. code 60 &amp; Education code 38 I Complete course on #educators_plus App
~~~~~~~~~~~~~~~~~~~~~~~~~~~~~~~
TO join Our Courses _xD83D__xDEA9_
Website: https://bit.ly/3guITHM
App: https://bit.ly/2SrXqYP
_xD83D__xDC49_To download the app
1. Go to the google play store
2. Search 'Educators Plus'  
3. App with the official logo of Educators Plus will appear/ or WhatsApp on 7011673283, u will get the link. Or directly go to the app from the link given in the description.  https://bit.ly/2SrXqYP
4. Register on the app with all details 
5. Login is possible only when you have registered 
6. After login, in 'Online Coaching' you will get all details and course highlights of each course
7. ALL VIDEO LECTURES OF EDUCATORS PLUS ARE "BILINGUAL (ENGLISH+HINDI). 
8. E-BOOKS/NOTES/MATERIAL is part of course work and is available in HINDI OR ENGLISH. 
9. You can also explore our website: https://bit.ly/3guITHM for information. Classes will be available on App only. 
10. For any query WhatsApp on 7011673283.
Website: https://bit.ly/3guITHM
App: https://bit.ly/2SrXqYP
Instagram: https://bit.ly/3h0xRWY
Twitter: https://bit.ly/3ha9wht
~~~~~~~~~~~~~~~~~~~~~~~~~~~~~~~~~
Subscribe Educators Plus - YouTube https://bit.ly/EducatorsPlus
Website: https://bit.ly/3guITHM
Telegram: Contact @Educatorsplusnet: https://bit.ly/3AmSUvj
App: https://bit.ly/2SrXqYP
Instagram Id: https://bit.ly/3h0xRWY
All Links : https://bit.ly/m/Educators-Plus</t>
  </si>
  <si>
    <t>EASY TRICK TO LEARN FUNCTIONS OF BLOOD
Follow on Instagram _xD83D__xDC49_ @insta.nursing.notes
Introduction of blood-   https://youtu.be/RfecxASDysQ
#anatomy #anatomy_physiology #anatomynote #bscnursing #gnm #khansir #lecture #medicalstudent #norcet #notes #nursing #nursingnotes #nurse #class #onlinevideolectures #nursingofficer #nursingstudent #nursingschool #easytrick #handmadenotes #bestnotes #nursing_live_classes #nursinglectures</t>
  </si>
  <si>
    <t>anxiety disorder || mental health nursing (psychiatric nursing) || bsc nursing/gnm 
your queries
anxiety disorder
anxiety disorder in hindi
anxiety disorder symptoms
anxiety disorder treatment
anxiety disorders psychology
anxiety disorder treatment in hindi
anxiety disorder symptoms in hindi
Anxiety disorder
thank you_xD83D__xDE0A_ for watching my channel
please like, share and subscribe_xD83D__xDE4F_</t>
  </si>
  <si>
    <t>scope of mental health nursing || scope of psychiatric nursing
queries
scope of mental health nursing
scope of mental health
scope of mental health nursing notes 
scope of mental hygiene
scope of mental health and mental hygiene
scope of mental health nursing in hindi
scope of community mental health services
nature and scope of mental health nursing
scope of psychiatric nursing
scope of psychiatric mental health nursing
scope of psychiatric nursing in hindi
scope of psychiatric social work
scope of psychiatric
hlo guys
if you really liked my video then don't forget to like and subscribe my YouTube channel
please like , share and subscribe_xD83D__xDE4F_
thank you_xD83D__xDE0A_ for watching........</t>
  </si>
  <si>
    <t>PINEAL GLAND | STRUCTURE | FUNCTION | PHYSIOLOGY | MELATONIN | SEROTONIN | ENDOCRINE SYSTEM | PART-6
#pinealgland #pineal #pinealglandactivation #study_with_sharma_ji_ki_ladki 
#endocrine #endocrinesystem 
■■■■■■¤¤¤¤¤¤¤¤■■■■■■
● HUMAN BRAIN &amp; SPINAL CORD _xD83D__xDC47_
https://youtu.be/3dKtLU2EWFk
● HUMAN BRAIN | NERVOUS SYSTEM_xD83D__xDC47_
 https://youtu.be/qRA29syX10I
■■■■■■¤¤¤¤¤¤¤¤■■■■■■
● PITUITARY GLAND | ENDOCRINE SYSTEM | PART-1 _xD83D__xDC47_
https://youtu.be/rjgXkezGmlQ
● THYROID GLAND | THYROXIN | ENDOCRINE SYSTEM | PART-2 _xD83D__xDC47_
https://youtu.be/8FjkW0BjYDw
● PARATHYROID GLAND | ENDOCRINE SYSTEM | PART-3 _xD83D__xDC47_
https://youtu.be/JWmMNf01HR8
● PANCREAS | ENDOCRINE SYSTEM | PART-4 _xD83D__xDC47_ 
https://youtu.be/9-ZEngLsDfA
● THYMUS GLAND | ENDOCRINE SYSTEM | PART-5 _xD83D__xDC47_
https://youtu.be/lM3gFQFR2XY
■■■■■■¤¤¤¤¤¤¤■■■■■■■
● HUMAN BODY SYSTEM _xD83D__xDC47_
https://youtube.com/playlist?list=PLBs_h2vCBLLmcdFBihHmYsJUQ76vuHQM_
■■■■■■¤¤¤¤¤¤¤¤■■■■■■
● THANKS FOR WATCHING MY VIDEOS GUYS _xD83E__xDD17__xD83D__xDC47_</t>
  </si>
  <si>
    <t>definition of research assumption,what is research assumption,nursing research assumption,define the
 assumption,research assumption kya hai,what is assuption,what is assumption</t>
  </si>
  <si>
    <t>like , subscribe and share,</t>
  </si>
  <si>
    <t>Here I Brings Head Injury in Hindi Lecture with Notes includes it's Causes, Types , Symptoms, Pathology, Diagnosis ( Glasgow coma scale ) , Patient Treatment in this video.
Head injury is the trauma or injuries that occurs in Scalp , Skull or Brain.
Head injury is open or close type.
Causes - 
- Penetrating Trauma
- Blunt head trauma 
- Falls
- Sports injury
- Violence and abuse
Types -
- According to GCS Scale -
- Mild Head injury 
- Moderate head injury 
- Severe Head injury 
- According to involvement -
- Scalp injury 
- Skull injury 
- Brain injury 
Types of Brain injury -
- Concussion 
- Contusion 
- Intra parenchymal Haemorrhage 
Symptoms -
- Loc
- Disturb mental functions 
- Disorientation 
- Headache 
- Increased ICP
Diagnosis -
- GCS Scale 
- Angiography 
Treatment -
- Antibiotics 
- Antiinflammatory 
- Analgesics 
- Diuretics 
#Headinjury #Mayankstudyhub</t>
  </si>
  <si>
    <t>Notes Of First Five Year Plan (1951-56) in Community Health Nursing - II .(Bsc Nursing 4th year) 
I have explained  2nd  chapter of Community health nursing II 4th year .
#fiveyearplans 
#firstfiveyearplan
#communityhealthnursing
#nursingnotes 
#bscnursingnotes 
#bscnursing 
#nursingnotes 
#gnm 
#nursingofficer 
If you really liked my video then don't forget to like and subscribe to my YouTube channel and also comment below and don't forget to hit the bell icon to get notifications of the new video.</t>
  </si>
  <si>
    <t>Notes Of Second, Third  And Fourth Five year Plan in Community health nursing II in Hindi.
I have explained  2nd  chapter of Community health nursing II 4th year .
#fiveyearplans 
#Secondfiveyearplan
#thirdfiveyearplan
#fourthfiveyearplan
#communityhealthnursing
#nursingnotes 
#bscnursingnotes 
#bscnursing 
#nursingnotes 
#gnm 
#nursingofficer 
If you really liked my video then don't forget to like and subscribe to my YouTube channel and also comment below and don't forget to hit the bell icon to get notifications of the new video.</t>
  </si>
  <si>
    <t>Notes Of Five Year Plan in Community Health Nursing - II .(Bsc Nursing 4th year) 
I have explained  2nd  chapter of Community health nursing II 4th year .
#fiveyearplans 
#communityhealthnursing
#nursingnotes 
#bscnursingnotes 
#bscnursing 
#nursingnotes 
#gnm 
#nursingofficer 
If you really liked my video then don't forget to like and subscribe to my YouTube channel and also comment below and don't forget to hit the bell icon to get notifications of the new video.</t>
  </si>
  <si>
    <t>This video is for English-speaking medical students and anyone interested</t>
  </si>
  <si>
    <t>GB syndrome is a autoimmune disorder of peripheral nervous system</t>
  </si>
  <si>
    <t>Here I brings Reconstructive , Cosmetic ( Plastic Surgery ) in Burn injury in hindi lecture with notes includes it's Types ( Skin grafting , Tissue expansion , Flap surgery ) , Before and after , cost in this video.
Plastic surgery is used to improve appearance and maintain patient ability to function.
Plastic surgery is of two types -
- Reconstructive Surgery - for medical purpose like Cleft lip , Burn injury , Breast reconstruction after mastectomy .
- Cosmetic Surgery for maintain appearance.
There are three techniques for burn injury surgery -
- Skin Grafting 
- Tissue expansion
- Flap surgery
#Plasticsurgery #Reconstructivesurgery #Cosmeticsurgery #Mayankstudyhub</t>
  </si>
  <si>
    <t>Nursing Management Of Low Birth Weight Baby in Pediatrics in Hindi (Unit 3) (Bsc Nursing And GNM)
I Have explained about Unit 3rd in paediatric .
This video is For Bsc Nursing And Gnm Students
#lowbirthweightbaby
#managementoflowbirthweightbaby
##nursingcareofneonates
#pediatrics 
#pediatricsnursing
#childhealthnursing 
#notesofpediatrics
#Bscnusing
#bscnursingnotes 
#gnm
#gnmnotes 
#unit2ndpediatrics
If you liked my video then do subscribe to my YouTube channel and also comment on my YouTube channel and  hit the bell _xD83D__xDD14_ icon for another video.</t>
  </si>
  <si>
    <t>Seizures is an abnormal excessive discharge of impulses in brain which causes abnormal activity in body such as jerking movements and loss of consciousness
#Seizures #Neurological #Disorder #Online #Study #Nursing</t>
  </si>
  <si>
    <t>. Notes Of Dissociative Disorder in Mental Health Nursing (Psychiatric)  in Hindi.
I have explained  8th chapter of psychiatric nursing. 
#dissociativedisorder 
#neurosis 
#psychosis
#neuroticdisorder
#stressdisorder
#mentalhealthnursing
# psychiatricnursing
#nursingnotes 
#bscnursingnotes 
#psychiatricnotes
#nursingnotes 
#gnm 
#nursingofficer 
If you really liked my video then don't forget to like and subscribe to my YouTube channel and also comment below and don't forget to hit the bell icon to get notifications of the new video.</t>
  </si>
  <si>
    <t>Franciscian Children's Hospital in Brighton, MA</t>
  </si>
  <si>
    <t>Actual Output Defined &amp; Explained with Examples | Urdu &amp; Hindi
For detailed information, please visit our website www.infosharing360.com</t>
  </si>
  <si>
    <t>For detailed information, please visit our website www.infosharing360.com</t>
  </si>
  <si>
    <t>Simple Coiled Tubular Gland in tissues at various magnifications under the microscope
Video only - without sound.</t>
  </si>
  <si>
    <t>Asslam o alakum, 
This video explains about;
1. What is karyotype and how it is prepared.
2. Different types of karyotype.
3. Classical karyotype analysis.
3. Spectral karyotype analysis.
4. Determination and diagnosis of syndrome and sex of individual.
5. Use of Colchicine in karyotype analysis.
I am Jibran Saeed Paracha. On this channel I make videos about future fields of study, lectures of Biology, Botany, Genetics and many other subjects. In addition, I will explain to you about studying abroad including the USA, Canada, UK, Australia, Italy and other European countries. I will also provide you details about techniques to achieve your career goals.</t>
  </si>
  <si>
    <t>Subscription link: https://unacademy.com/goal/ssc-je-state-ae-exams/BDNTN/subscribe/H2LUFMX7SK?referral_code=GA1111
Latest Batch Started on May 12th:
SSC JE Exclusive Batch for Oct 2023 - Technical (Electrical)
https://unacademy.com/batch/ssc-je-exclusive-batch-for-oct-2023-technical-electrical/R7MG3CMV
12th May Batch Prospectus
https://drive.google.com/drive/folders/12FeHMaHs0C5m50slo5A-yVXEDj12VEEV?usp=sharing
Call Ranjan Sir's team on 8585858585 and take your SSC JE Preparations to the next level.
Don't miss out on the opportunity to excel in your SSC JE/AE exams! Use code GA1111 for the best results and unlock your true potential. Let's achieve success together!
----------------------------------------------------
 ➤ Subscribe today:  
RRB JE:- https://unacademy.com/goal/rrb-junior-engineering/WUOQT/subscribe?referral_code=GA1111
SSC JE:- https://unacademy.com/goal/ssc-je-state-ae-exams/BDNTN/subscribe?referral_code=GA1111
----------------------------------------------------
All qualified students, please fill out this google form: https://forms.gle/FQ9czHL1f6RwJ9rL6
SSC JE Official Website: https://ssc.nic.in/Portal/Results
Join our Telegram Channel Unacademy SSC JE &amp; Other Exams: https://t.me/unacademySSCJE
----------------------------------------------------
You can enrol in Unacademy Subscription and get the following benefits:
1. Learn from your favourite teacher
2. Dedicated DOUBT sessions
3. One Subscription, Unlimited Access to Live Online Classes and Videos
4. Real-time interaction with best-in-class teachers
5. You can ask doubts in live online classes
6. Limited students in each Class
7. Download the videos &amp; watch them offline
----------------------------------------------------
Download the Unacademy Learning App here: 
 ➤ Android: https://unacademy.onelink.me/081J/40a
 ➤ iOS: https://unacademy.onelink.me/081J/a61
----------------------------------------------------
If you don’t wish to miss any updates and or the latest videos about SSC JE Exams Preparation, subscribe to the channel now. Students who have already subscribed, stay tuned as we will get more strategy and preparations videos and FREE LIVE CLASSES just for you. Feel free to spread the word – share the videos with your friends and classmates.
#ssc_je_preparation #sscje #sscje2023 #gate_academy_gate_ese_ssc_je #ae_je_preparation #ae_exam #junior_engineer #advait_education_ae_je #ssccgl #ssc #sscchsl #ssccgl2022mains #rrb #rrb_je_preparation #rrb_je #rrbntpc #rrbgroupd #rrb_ntpc #rrb_group_d  #unacademy #letscrackit #unacademysscje #batch #unacademy #state # #sscjepreparation2023 #tsspdcl #youtube #sscje #electrical #unacademyelectrical #rrbje #advait_education_ae_je #ssc_je #govtjobs #govtjob #rrb #ssc #unacademy #rrb_ntpc</t>
  </si>
  <si>
    <t>Attributions: 
- Genetics and Molecular Biology | K. Mark Dewall | Public Domain
- Images: Public Domain
Question 1: National Center for Biotechnology Information, U.S. National Library of Medicine, Public domain, via Wikimedia Commons
Question 2: National Center for Biotechnology Information, U.S. National Library of Medicine, Public domain, via Wikimedia Commons
Question 3: National Center for Biotechnology Information, U.S. National Library of Medicine, Public domain, via Wikimedia Commons
Question 4: National Center for Biotechnology Information, U.S. National Library of Medicine, Public domain, via Wikimedia Commons
Question 5: Ajay Kumar Chaurasiya, CC BY-SA 4.0, via Wikimedia Commons</t>
  </si>
  <si>
    <t>Time-lapse watercolor painting process of an ocean wave crashing against rocks.
Find me on:
Ko-Fi - https://ko-fi.com/tinykiwistudio
Instagram - https://www.instagram.com/tinykiwistudio/
Twitch - https://www.twitch.tv/tinykiwistudio
BGM from epidemicsound.com</t>
  </si>
  <si>
    <t>Title: Expanding Newborn Screening Through Genome Sequencing: An ELSI Perspective
4/27/2023
Speaker: Kyle Brothers, MD, PhD
Chief Scientific Officer 
Norton Children’s Research Institute (NCRI) 
Affiliated with the University of Louisville School of Medicine   
Professor of Pediatrics 
Endowed Chair of Pediatric Clinical &amp; Translational Research 
Chief, Division of Pediatric Clinical &amp; Translational Research 
University of Louisville School of Medicine
Advances in Precision Medicine Seminar Series</t>
  </si>
  <si>
    <t>Cost analyses on Bills of Materials (BOMs) can get complicated. And you may need to perform many operations to get a clear result, but Rulex has got some neat solutions. In this video, we’ll show how to perform, in just a few clicks, 3 operations with Bills of Materials in a data table.</t>
  </si>
  <si>
    <t>Den Hörforschern im Exzellenzcluster Hearing4all aus Hannover und Oldenburg geht es in diesem Forschungsbereich um Bessere Hörhilfen: Mit der in Forschungsfeld A entwickelten quantitativen Analyse des geschädigten Gehörs erarbeitet Forschungsfeld B die Konsequenzen bezüglich der Signalverarbeitung im auditorischen System sowie theoriegetriebene Lösungen, die die entscheidenden Probleme der geschädigten Signalverarbeitung beheben.</t>
  </si>
  <si>
    <t>ETSU Ballad Health Strong BRAIN Institute Presents: “HOPE- Healthy Outcomes from Positive Experiences”</t>
  </si>
  <si>
    <t>ETSU Ballad Health Strong BRAIN Institute
Phyllis Thompson (East Tennessee State University) and Janice Carello (Pennsylvania Western University)</t>
  </si>
  <si>
    <t>Dr. Dawn-Elise Snipes is a Licensed Professional Counselor and Qualified Clinical Supervisor.  She received her PhD in Mental Health Counseling from the University of Florida in 2002.  In addition to being a practicing clinician, she has provided training to counselors, social workers, nurses and case managers internationally since 2006 through AllCEUs.com #oppositionaldefiantdisorder, #conductdisorder and #intermittentexplosivedisorder |a #TraumaInformed Perspective in the #dsm5tr for #NCE #exampreparation 
_xD83D__xDCE2_SUBSCRIBE and click the BELL to get notified when new videos are uploaded. 
_xD83D__xDCB2_ AllCEUs.com Unlimited continuing education CEUs $59 
_xD83D__xDCBB_ Online course based on this video can be found at 
⭐ Specialty Certificate Programs for Case Management and Counselor Certification beginning at $89 https://AllCEUs.com/certificate-tracks
Join this channel to get access to perks:
https://www.youtube.com/channel/UCAE3JJi8tX7gfhZEXCUGd_A/join
NOTE:  ALL VIDEOS are for educational purposes only and are NOT a replacement for medical advice or counseling from a licensed professional.
Video by Dr. Dawn Elise Snipes on integrative behavioral health approaches  including counseling techniques and skills for improving mental health and reducing mental illness.
 “The Effectiveness and Cost-Effectiveness of Parent Training/Education Programmes for the Treatment of Conduct Disorder, Including Oppositional Defiant Disorder, in Children.” Health Technology Assessment (Winchester, England) 9, no. 50 (December 2005): iii, ix–x, 1–233. https://doi.org/10.3310/hta9500.
 “A Systematic Review and Meta-Analysis of Neuroimaging in Oppositional Defiant Disorder (ODD) and Conduct Disorder (CD) Taking Attention-Deficit Hyperactivity Disorder (ADHD) Into Account.” Neuropsychology Review 26 (2016): 44–72. https://doi.org/10.1007/s11065-015-9315-8.
Cleveland Clinic. “Oppositional Defiant Disorder (ODD): Symptoms &amp; Treatment.” Accessed June 21, 2022. https://my.clevelandclinic.org/health/diseases/9905-oppositional-defiant-disorder.
 “The Pharmacological Management of Oppositional Behaviour, Conduct Problems, and Aggression in Children and Adolescents With Attention-Deficit Hyperactivity Disorder, Oppositional Defiant Disorder, and Conduct Disorder: A Systematic Review and Meta-Analysis. Part 1: Psychostimulants, Alpha-2 Agonists, and Atomoxetine.” Canadian Journal of Psychiatry. Revue Canadienne de Psychiatrie 60, no. 2 (February 2015): 42–51.
“Common Questions About Oppositional Defiant Disorder.” American Family Physician 93, no. 7 (April 1, 2016): 586–91.
“Coercive Family Process and Early-Onset Conduct Problems from Age 2 to School Entry.” Development and Psychopathology 26, no. 4 Pt 1 (November 2014): 917–32. https://doi.org/10.1017/S0954579414000169.
———. “Coercive Family Process and Early-Onset Conduct Problems From Age 2 to School Entry.” Development and Psychopathology 26, no. 4 0 1 (November 2014): 917–32. https://doi.org/10.1017/S0954579414000169.
“The Pharmacological Management of Oppositional Behaviour, Conduct Problems, and Aggression in Children and Adolescents With Attention-Deficit Hyperactivity Disorder, Oppositional Defiant Disorder, and Conduct Disorder: A Systematic Review and Meta-Analysis. Part 1: Psychostimulants, Alpha-2 Agonists, and Atomoxetine - PMC.” Accessed June 21, 2022. https://www.ncbi.nlm.nih.gov/pmc/articles/PMC4344946/.
AllCEUs.com provides multimedia counselor education and CEUs for LPCs, LMHCs, LMFTs and LCSWs as well as addiction counselor precertification training and continuing education on many of the videos on this channel.  Unlike other providers like CE4Less, AllCEUs includes a weekly LIVE Stream Webinar with your unlimited continuing education and professional development membership.
TIMESTAMPS
00:00 Introduction to Disruptive Impulse control and Conduct Disorders in the DSM 5 TR
01:35 Oppositional Defiant Disorder
29:00 Disruptive Mood Dysregulation Disorder
29:55 Conduct Disorder
40:50 Intermittent Explosive Disorder DSM5TR
43:37 Pyromania and Kleptomania DSM5TR
47:50 Risk factors for conduct and impulse control disorders
49:37 Differential Diagnosis of conduct and impulse control disorders
54:25 Suicidality in conduct and impulse control disorders
55:40 Treatment Strategies to address conduct and impulse control disorders</t>
  </si>
  <si>
    <t>"B is for Balance Second Edition: 12 Steps Toward a More Balanced Life at Home and at Work" by Sharon Weinstein; Leadership Book Review for the University of Texas at Arlington, Graduate MSN program</t>
  </si>
  <si>
    <t>Final Project for ED 837</t>
  </si>
  <si>
    <t>Benchmark</t>
  </si>
  <si>
    <t>Megan Fuciarelli talks about the importance of watching what we say to people at work and how bias gets in the way of profitability.
Watch the full presentation in the embrace equity multimedia, interactive, digital book at https://marketapeel.com/bookapeel</t>
  </si>
  <si>
    <t>Divorce is traumatizing. But the story you tell yourself about your ex-partner can do far more damage--to you--than the actual events. 
 Long-term suffering is self-inflicted. Clinging to a painful story prevents us from moving forward and experiencing joy. Our bodies–our nervous systems–are retraumatized each time we remind ourselves what happened.
 Forgiveness isn’t about condoning or excusing someone else’s behavior. Forgiveness is about acceptance–when you stop arguing that things should have been different.
 You can’t change the past. But you can change your relationship with the past. Only you can release yourself from the burdens of anger and resentment. You know that, but HOW do you do that? 
 THIS WEEK! Register and attend my FREE masterclass to learn the framework for my Accelerated Recovery Process©. Learn how to be emotionallysober so you can trust yourself-with or without a drink in your hand. Get a $100 credit for attending! Click here.
 Want more information on The Next Chapter? Click here.
 Like this episode? Get new episodes and related content delivered to your inbox every Monday. Click here. 
 Join my private Facebook group for free coaching with me and a tribe of people in recovery working on emotional sobriety. Recover with Colleen
 Follow me on Instagram Recover with Colleen
 If you need to stop drinking and want support, check out these two programs that will shift your mindset from "drinker" to "non-drinker" so you can declare your independence from alcohol. 
 5-Hour Change Your Mind Masterclass--self-study
 10 Days to Spontaneous Sobriety --includes group and 1:1 coaching</t>
  </si>
  <si>
    <t>This course offers entry-level practitioners the skills needed in order to handle tough scenarios in which a client may be experiencing a mental health crisis. Key concepts such as “De-Escalation techniques” within this module are founded on resources provided by the National Alliance on Mental Illnesses, otherwise known as (NAMI) and the Crisis Intervention Teams, known as (CIT).</t>
  </si>
  <si>
    <t>Family O has an alcoholic family pattern. What potential choices are there for this family with two small children. Dr. Campbell walks us through a Harms and Benefits analysis of the choices available to them that can improve the family life.</t>
  </si>
  <si>
    <t>Gambling addiction is not something that a lot of people feel comfortable talking about. Usually if someone has a gambling addiction, when they talk about what's going on the problem will be masked with humour.
In this video I talk about my experience with gambling and how I felt like I was wasting my time working because every cent that I had I would blow.
This was something that I didn't feel comfortable talking about until years after I stopped.
The reason that I made this video is because hopefully my experience will help at least one person who's struggling with a gambling addiction.</t>
  </si>
  <si>
    <t>This video roleplay is part of a training on Motivational Interviewing which can be accessed at www.bestpracticetrainers.org. CEUs (for re-credentialing CASACs ) are available. The counselor is using a Motivational Enhancement Therapy tool - the Drinker's Check-up - to assess alcohol abuse with the client.</t>
  </si>
  <si>
    <t>Social Workers don't learn medical terminology in school. We have to rely on our on-the-job training to understand medical terms and be effective in our jobs. To make things easier for you, I give you 4 tips on how you can master medical terminology without a medical degree. 
If you found this helpful, please let me know in the comments! 
#socialwork #medicalsocialwork #healthcaresocialwork #hospitalsocialwork #socialworkstudents #healthcare
To sign up for the Social Work Mastery Newsletter, click the link below!
https://chipper-trader-2683.ck.page/338b7b8fd3
DOWNLOAD THE MEDICAL TERMINOLOGY CHEAT SHEET!
https://chipper-trader-2683.ck.page/c3c614563b
Check out my other videos!
How to Read a Medical Chart for Medical Social Workers
https://youtu.be/wh-aM2UeyaA
9 Core Skills You Need to be a Hospital Social Worker
https://www.youtube.com/watch?v=5lWQ089q1Gg&amp;t=208s
How Hopsital Social Workers Complete Biopsychosocial Assessments
https://www.youtube.com/watch?v=bZaBRYF27L0&amp;t=596s
www.swmastery.com 
Music: Take it
Musician: LiQWYD
https://www.liqydmusic.com 
Other Videos used in this were Free Stock from Pixabay
https://pixabay.com/videos/
Scrubs Video Clip at www.yarn.co</t>
  </si>
  <si>
    <t>Biopsychosocial Assessments are a basic skill for all social workers. However, Hospital Social Workers and other Medical Social Workers have to condense their assessments into 20-30 minutes or less. 
If you are wanting to go into Medical or Hospital Social Work, condensing your biopsychosocial assessments in a very short time is critical. This video goes over: Why Biopsychosocial Assessments are important for Medical Social Work and tips on how to condense these assessments in 20 minutes or less.  #socialwork #socialworkstudent #hospitalsocialwork #medicalsocialwork #healthcare 
Sign up for the Medical Social Work Mastery Newsletter to get a FREE biopsychosocial template for Hospital Social Workers:
https://chipper-trader-2683.ck.page/3bf8750176
Music: Take it
Musician: LiQWYD| https://www.liqwydmusic.com
Other Videos to check out:
What a Typical Day of a Hospital Social Worker is Like
https://youtu.be/QrJqs4cHjjo
5 Reasons to Consider Medical Social Work 
https://youtu.be/W8fLJ7i093g
What is Medical Social Work?
https://youtu.be/EV2fyXMtCzw</t>
  </si>
  <si>
    <t>Better understand your client's perspective using our Biopsychosocial Assessment Template, designed to capture information across the biological, social, and psychological domains to build the best possible picture of your client's experience. 
Check out our Biopsychosocial Assessment Templates here: 
www.carepatron.com/templates/biopsychosocial-assessment
Carepatron is free to use. Sign up here: https://app.carepatron.com/Signup?type=admin&amp;isBusiness=true
00:00- Introduction
00:08- What is a Biopsychosocial Assessment
00:39- How to use this Template
01:25- Sample Biopsychosocial Assessment Template
01:44- Accessing this template from within Carepatron</t>
  </si>
  <si>
    <t>Study session that covers NCE/CPCE practice questions related to Group Counseling and Career &amp; Lifestyle Development</t>
  </si>
  <si>
    <t>Helpful links:
Make money online, self development, health and fitness:
http://NTK-learning.com
Quit Marijuana:
http://bit.ly/2UO5bbG
Beat Addiction:
http://bit.ly/2UMk6mO
Alcohol Free Forever:
http://bit.ly/2ItG1s8
Fight Addiction From Home:
http://bit.ly/2ZqSXnN
No More P.orn:
http://bit.ly/2Pobn47
Stop P.orn Addiction:
http://bit.ly/2VWno3p Evidence-based Techniques and Somewhat Unusual Methods to Beat Addiction:
https://youtu.be/2gww6Abd9zE
=============
Disclaimer notice:
Please note the information contained within this video is for educational and entertainment purposes only. Every attempt has been made to provide accurate, up to date and reliable complete information. No warranties of any kind are expressed or implied. You acknowledge that the author is not engaging in the rendering of legal, financial, medical or professional advice.
By watching this video, you agree that under no circumstances are we responsible for any losses, direct or indirect, which are incurred as a result of the use of information contained within this document, including, but not limited to, —errors, omissions, or inaccuracies.</t>
  </si>
  <si>
    <t>Dr. Dawn-Elise Snipes is a Licensed Professional Counselor and Qualified Clinical Supervisor.  She received her PhD in Mental Health Counseling from the University of Florida in 2002.  In addition to being a practicing clinician, she has provided training to counselors, social workers, nurses and case managers internationally since 2006 through AllCEUs.com 
_xD83D__xDCE2_SUBSCRIBE and click the BELL to get notified when new videos are uploaded. 
If this video has helped you, please consider donating to support the channel Cashapp: _xD83D__xDCB2_DocSnipes  Paypal: https://DocSnipes.com/Donate  YouTube:  DocSnipes.com/Join
_xD83D__xDCBB_ Online course based on this video can be found at 
https://AllCEUs.com Unlimited continuing education CEUs $59 
⭐ Specialty Certificate Programs and Masterclasses in Case Management and Counselor Certification beginning at $89 https://AllCEUs.com/certificate-tracks
#selfhelp #cognitivebehavioraltherapy #counseling #counselling
NOTE:  ALL VIDEOS are for educational purposes only and are NOT a replacement for medical advice or counseling from a licensed professional.
Video by Dr. Dawn Elise Snipes on integrative behavioral health approaches  including counseling techniques and skills for improving mental health and reducing mental illness.
AllCEUs.com provides multimedia counselor education and CEUs for LPCs, LMHCs, LMFTs and LCSWs as well as addiction counselor precertification training and continuing education on many of the videos on this channel.  Unlike other providers like CE4Less, AllCEUs includes a weekly LIVE Stream Webinar with your unlimited continuing education and professional development membership.</t>
  </si>
  <si>
    <t>5th BigBrain Workshop 2021
22 September 2021 - Applications
Chair: Kathleen Rockland
The Unique Cytoarchitecture and Wiring of The Default Mode Network
Casey Paquola
Background. Complex behaviours benefit from parallel distributed processing in multiple brain networks. The roles of certain networks are well-defined, while others remain elusive. Arguably, none are so elusive as the default mode network (DMN); a distributed set of brain regions that decrease in activity during many externally oriented tasks. Revealing the cytoarchitectural composition and connectional layout of the DMN is crucial to defining its role in complex behaviours.
Method. We examined the cytoarchitectural composition of the DMN using an established cortical type atlas (García-Cabezas et al., 2020; Von Economo and Koskinas, 1925) and by applying non-linear dimensionality reduction to BigBrain-derived staining intensity profiles (Paquola et al., 2019). Next, we used magnetic resonance imaging (MRI) to explicate structural wiring and effective connectivity of the whole brain. In both modalities, we examined the influence of cytoarchitecture on extrinsic connectivity of the DMN. Finally, we evaluated the uniqueness of the DMN relative to other large-scale functional brain networks.
Results. We discovered profound diversity of DMN cytoarchitecture. Each circumscribed subregion of the DMN contains a broad range of cytoarchitectural types, however, the spatial pattern within each subregion differs. The patterns vary in smoothness from a gradient in the parahippocampus to interdigitation in the superior frontal gyrus. We found that cytoarchitectural differentiation in the DMN aligns with its structural wiring and extrinsic information flow. The structural heterogeneity of the DMN engenders a network-level balance in communication with external and internal sources, which is distinctive, relative to other functional networks.
Conclusion. These findings suggest a novel wiring diagram of structural and functional connectivity of the DMN that is compatible with its putative role in balancing internal and external information. Furthermore, our work demonstrates the import of neuroanatomical evidence in specifying theories of functional networks.
All information about the 5th BigBrain Workshop 2021, including detailed authors information: https://go.fzj.de/BigBrainWorkshop2021 
BigBrainProject https://bigbrainproject.org/ 
HIBALL https://bigbrainproject.org/hiball.html 
Twitter: @bigbrainproject</t>
  </si>
  <si>
    <t>interview with  Paul Lawler, CAC  CEO of Aftercare Decoded AftercareDecoded.com
Dr. Dawn-Elise Snipes is a Licensed Professional Counselor and Qualified Clinical Supervisor.  She received her PhD in Mental Health Counseling from the University of Florida in 2002.  In addition to being a practicing clinician, she has provided training to counselors, social workers, nurses and case managers internationally since 2006 through AllCEUs.com 
_xD83D__xDCE2_SUBSCRIBE and click the BELL to get notified when new videos are uploaded. 
If this video has helped you, please consider donating to support the channel Cashapp: _xD83D__xDCB2_DocSnipes  Paypal: https://DocSnipes.com/Donate  YouTube:  DocSnipes.com/Join
_xD83D__xDCBB_ Online course based on this video can be found at 
https://AllCEUs.com Unlimited continuing education CEUs $59 
⭐ Specialty Certificate Programs and Masterclasses in Case Management and Counselor Certification beginning at $89 https://AllCEUs.com/certificate-tracks
#addictionrecovery #aftercare #casemanagement #counseling #counselling
NOTE:  ALL VIDEOS are for educational purposes only and are NOT a replacement for medical advice or counseling from a licensed professional.
Video by Dr. Dawn Elise Snipes on integrative behavioral health approaches  including counseling techniques and skills for improving mental health and reducing mental illness.
AllCEUs.com provides multimedia counselor education and CEUs for LPCs, LMHCs, LMFTs and LCSWs as well as addiction counselor precertification training and continuing education on many of the videos on this channel.  Unlike other providers like CE4Less, AllCEUs includes a weekly LIVE Stream Webinar with your unlimited continuing education and professional development membership.</t>
  </si>
  <si>
    <t>Dr. Dawn-Elise Snipes is a Licensed Professional Counselor and Qualified Clinical Supervisor.  She received her PhD in Mental Health Counseling from the University of Florida in 2002.  In addition to being a practicing clinician, she has provided training to counselors, social workers, nurses and case managers internationally since 2006 through AllCEUs.com 
_xD83D__xDCE2_SUBSCRIBE and click the BELL to get notified when new videos are uploaded. 
If this video has helped you, please consider donating to support the channel Cashapp: _xD83D__xDCB2_DocSnipes  Paypal: https://DocSnipes.com/Donate  YouTube:  DocSnipes.com/Join
_xD83D__xDCBB_ Online course based on this video can be found at 
https://AllCEUs.com Unlimited continuing education CEUs $59 
⭐ Specialty Certificate Programs and Masterclasses in Case Management and Counselor Certification beginning at $89 https://AllCEUs.com/certificate-tracks
#positivethinking
#selfhelp #cognitivebehavioraltherapy #counseling #counselling
NOTE:  ALL VIDEOS are for educational purposes only and are NOT a replacement for medical advice or counseling from a licensed professional.
Video by Dr. Dawn Elise Snipes on integrative behavioral health approaches  including counseling techniques and skills for improving mental health and reducing mental illness.
AllCEUs.com provides multimedia counselor education and CEUs for LPCs, LMHCs, LMFTs and LCSWs as well as addiction counselor precertification training and continuing education on many of the videos on this channel.  Unlike other providers like CE4Less, AllCEUs includes a weekly LIVE Stream Webinar with your unlimited continuing education and professional development membership.
Chapters:
00:00 11 Phrases to Increase Confidence and Empowerment | Cognitive Restructuring Tools
00:14 Phrases to Increase Empowerment 1
04:28 Phrases to Increase Empowerment 2
08:17 Support the Channel 
08:46 Phrases to Increase Empowerment 3
14:23 Phrases to Increase Empowerment 4
17:07 Summary</t>
  </si>
  <si>
    <t>Behavior issues are on the rise in our kids these days, and it's often difficult for families and teachers to know how to manage these challenging issues.  Here are 10 strategies for supporting kids who have defiant and oppositional tendencies!  
"You Can't Make Me, But I Can Be Persuaded"
https://amzn.to/2tdyuEr
"The New Strong-Willed Child"
https://amzn.to/2HZYHR1
"The Kazdin Method"
https://amzn.to/2HWqLoe
"The Defiant Child"
https://amzn.to/2I3e7no
Websites:
https://www.aacap.org/aacap/families_and_youth/facts_for_families/fff-guide/Children-With-Oppositional-Defiant-Disorder-072.aspx
https://www.webmd.com/mental-health/qa/what-are-the-symptoms-of-oppositional-defiant-disorder-odd
Please get a Speech-Language Pathologist working with you if you're concerned about your child's communication development!  Find one here:  
https://find.asha.org/pro#f:@Provider=[Speech-Language%20Pathologist]
Inform yourself further through these resources . . . 
http://www.icdl.com/education/tl/connect-with-your-child-through-dir-floortime
Fun play activities (with guidance):
http://www.hanen.org/Helpful-Info/Fun-Activities.aspx
Warning signs of a social/cognitive delay:
http://www.babycenter.com/0_warning-signs-of-a-social-cognitive-delay_12654.bc
Echolalia -
https://www.youtube.com/watch?v=8QiCrFz7x-g
Echolalia: Teaching Appropriate Greetings -
https://www.youtube.com/watch?v=78p12LFRTWU
Echolalia: Practical Strategies -
https://www.youtube.com/watch?v=78p12LFRTWU
Also check out . . . 
Calming Activities:
https://www.youtube.com/watch?v=JCbkS_D-GrQ&amp;t=48s
Teaching Turn-Taking:
https://www.youtube.com/edit?o=U&amp;video_id=6vUrweykYx0
Teaching How To Answer Yes/No Questions:
https://www.youtube.com/watch?v=gTKsKpnHw9g
Teaching Commenting Skills:
https://www.youtube.com/watch?v=uAh1Gvj_E10
Using A Communication Book:
https://www.youtube.com/watch?v=uaIL-wG8640
Using Visuals With NonVerbal Kids:
https://www.youtube.com/watch?v=1zcjXMVXin4
Visual Cues:
https://www.youtube.com/watch?v=HfcXAefWe0s
Integrating Kids With Special Needs: Visual Prompts:
https://www.youtube.com/watch?v=MR9o6xzovQk
Visual Strategies book:
https://amzn.to/2KF5sFg
Laminator:
https://amzn.to/2s99Gxa
Sensory hints:
https://www.youtube.com/watch?v=AFaiik44ifE&amp;t=474s
Find a sensory-smart Occupational Therapist:
https://www.sensorysmarts.com/find_an_ot.html
Discover some of the additional amazing equipment and resources I recommend here:
http://www.chirpcc.com/resources.html
Find out more about me and my life on my personal blog:
http://kittensfromthedarkside.blogspot.com
Chirp is making church welcoming for people with special needs and their families; equipping families to provide excellent support for their developing children.
Thank you for watching and for caring about the kids in your life!</t>
  </si>
  <si>
    <t>Dr. Dawn-Elise Snipes is a Licensed Professional Counselor and Qualified Clinical Supervisor.  She received her PhD in Mental Health Counseling from the University of Florida in 2002.  In addition to being a practicing clinician, she has provided training to counselors, social workers, nurses and case managers internationally since 2006 through AllCEUs.com 
_xD83D__xDCE2_SUBSCRIBE and click the BELL to get notified when new videos are uploaded. 
If this video has helped you, please consider donating to support the channel Cashapp: _xD83D__xDCB2_DocSnipes  Paypal: https://DocSnipes.com/Donate  YouTube:  DocSnipes.com/Join
_xD83D__xDCBB_ Online course based on this video can be found at 
https://AllCEUs.com Unlimited continuing education CEUs $59 
⭐ Specialty Certificate Programs and Masterclasses in Case Management and Counselor Certification beginning at $89 https://AllCEUs.com/certificate-tracks
#depression #cognitivebehavioraltherapy #counseling #counselling
NOTE:  ALL VIDEOS are for educational purposes only and are NOT a replacement for medical advice or counseling from a licensed professional.
Video by Dr. Dawn Elise Snipes on integrative behavioral health approaches  including counseling techniques and skills for improving mental health and reducing mental illness.
AllCEUs.com provides multimedia counselor education and CEUs for LPCs, LMHCs, LMFTs and LCSWs as well as addiction counselor precertification training and continuing education on many of the videos on this channel.  Unlike other providers like CE4Less, AllCEUs includes a weekly LIVE Stream Webinar with your unlimited continuing education and professional development membership.
Chapters:
00:00:02 - 25 Tips for Depression Recovery
00:03:08 - Various Forms of Depression and Their Causes
00:06:25 - Understanding Depression in Early Recovery and Bipolar Disorder
00:09:35 - Causes of Depression: Light Levels, Grief, and Medical Conditions
00:12:48 - The Link between Sleep and Depression
00:16:07 - The Physical Impact of Depression
00:19:03 - Understanding Depression and Negative Affective States
00:22:15 - The impact of depression on relationships and attachment
00:25:17 - Early Intervention for Improved Mental Health: Basic Self-care Tips
00:28:26 - Tips for Addressing Depressive Symptoms
00:31:24 - Distress Tolerance Skills Using the CATS Acronym
00:34:22 - Tips for Managing Feelings of Hopelessness and Helplessness
00:37:22 - Improving Your Moments and Environment for Better Mental Health
00:43:22 - Benefits of Essential Oils and How to Use Them Safely
00:46:24 - Supporting Those with Depression and Encouraging Positive Communication
00:49:33 - Addressing the Root Causes of Depression
00:52:39 - Improving Mental and Physical Health through HPA Axis Regulation</t>
  </si>
  <si>
    <t>Dr. Dawn-Elise Snipes is a Licensed Professional Counselor and Qualified Clinical Supervisor.  She received her PhD in Mental Health Counseling from the University of Florida in 2002.  In addition to being a practicing clinician, she has provided training to counselors, social workers, nurses and case managers internationally since 2006 through AllCEUs.com 
_xD83D__xDCE2_SUBSCRIBE and click the BELL to get notified when new videos are uploaded. 
If this video has helped you, please consider donating to support the channel Cashapp: _xD83D__xDCB2_DocSnipes  Paypal: https://DocSnipes.com/Donate  YouTube:  DocSnipes.com/Join
_xD83D__xDCBB_ Online course based on this video can be found at 
https://AllCEUs.com Unlimited continuing education CEUs $59 
⭐ Specialty Certificate Programs and Masterclasses in Case Management and Counselor Certification beginning at $89 https://AllCEUs.com/certificate-tracks
#vagusnerve #vagaltone #stressmanagement 
#selfhelp #cognitivebehavioraltherapy #counseling #counselling
NOTE:  ALL VIDEOS are for educational purposes only and are NOT a replacement for medical advice or counseling from a licensed professional.
Video by Dr. Dawn Elise Snipes on integrative behavioral health approaches  including counseling techniques and skills for improving mental health and reducing mental illness.
AllCEUs.com provides multimedia counselor education and CEUs for LPCs, LMHCs, LMFTs and LCSWs as well as addiction counselor precertification training and continuing education on many of the videos on this channel.  Unlike other providers like CE4Less, AllCEUs includes a weekly LIVE Stream Webinar with your unlimited continuing education and professional development membership.
Chapters:
00:00:00 - Strengthening Vagal Tone: How to Trigger Your Relaxation Response
00:02:59 - Strengthening Vagal Tone for Improved Emotional Regulation and Reduced Stress Response
00:06:28 - Relaxation Techniques: Blowing Bubbles and Chewing Gum
00:09:27 - Ways to Trigger Your Vagus Nerve for Relaxation
00:12:25 - Managing Stress and High Traffic Times
00:15:31 - Strengthening Your Vagus Nerve for Better Health and Stress Management</t>
  </si>
  <si>
    <t>Dr. Dawn-Elise Snipes is a Licensed Professional Counselor and Qualified Clinical Supervisor.  She received her PhD in Mental Health Counseling from the University of Florida in 2002.  In addition to being a practicing clinician, she has provided training to counselors, social workers, nurses and case managers internationally since 2006 through AllCEUs.com 
_xD83D__xDCE2_SUBSCRIBE and click the BELL to get notified when new videos are uploaded. 
If this video has helped you, please consider donating to support the channel Cashapp: _xD83D__xDCB2_DocSnipes  Paypal: https://DocSnipes.com/Donate  YouTube:  DocSnipes.com/Join
_xD83D__xDCBB_ Online course based on this video can be found at 
https://AllCEUs.com Unlimited continuing education CEUs $59 
⭐ Specialty Certificate Programs and Masterclasses in Case Management and Counselor Certification beginning at $89 https://AllCEUs.com/certificate-tracks
#motivational #ebp #prevention 
#cognitivebehavioraltherapy #counseling #counselling
NOTE:  ALL VIDEOS are for educational purposes only and are NOT a replacement for medical advice or counseling from a licensed professional.
Video by Dr. Dawn Elise Snipes on integrative behavioral health approaches  including counseling techniques and skills for improving mental health and reducing mental illness.
AllCEUs.com provides multimedia counselor education and CEUs for LPCs, LMHCs, LMFTs and LCSWs as well as addiction counselor precertification training and continuing education on many of the videos on this channel.  Unlike other providers like CE4Less, AllCEUs includes a weekly LIVE Stream Webinar with your unlimited continuing education and professional development membership.
Chapters:
00:00:00 - Exploring Mind Space and the Six E's Framework for Behavior Change
00:04:55 - Evaluating &amp; Improving Behavior Change with MINDSPACE
00:09:46 - Behavioral Change: Culture, Regulation, and Individuals
00:14:47 - The Importance of the Messenger in Behavioral Change Interventions
00:19:38 - Motivations, Incentives, and Behavioral Norms
00:24:28 - Reinforcing Norms and Overcoming Defaults for Behavioral Change
00:29:06 - Implementing Behavioral Changes with Public Policy and Effective Messaging
00:33:43 - Using Salience and Priming for Effective Behavior Change
00:38:20 - The Influence of Affect on Behavior and Decision-Making
00:42:38 - Behavioral Psychology Techniques for Targeting Behavior Change
00:47:09 - Strategies for Behavior Change in Schools
00:52:00 - Adapting for Moving Forward with the Six E's Framework</t>
  </si>
  <si>
    <t>Dr. Dawn-Elise Snipes is a Licensed Professional Counselor and Qualified Clinical Supervisor.  She received her PhD in Mental Health Counseling from the University of Florida in 2002.  In addition to being a practicing clinician, she has provided training to counselors, social workers, nurses and case managers internationally since 2006 through AllCEUs.com 
#toxic #relationship #attachment 
_xD83D__xDCE2_SUBSCRIBE and click the BELL to get notified when new videos are uploaded. 
If this video has helped you, please consider donating to support the channel Cashapp: _xD83D__xDCB2_DocSnipes  Paypal: https://DocSnipes.com/Donate  YouTube:  DocSnipes.com/Join
_xD83D__xDCBB_ Online course based on this video can be found at 
https://AllCEUs.com Unlimited continuing education CEUs $59 
⭐ Specialty Certificate Programs and Masterclasses in Case Management and Counselor Certification beginning at $89 https://AllCEUs.com/certificate-tracks
#selfhelp #cognitivebehavioraltherapy #counseling #counselling 
NOTE:  ALL VIDEOS are for educational purposes only and are NOT a replacement for medical advice or counseling from a licensed professional.
Video by Dr. Dawn Elise Snipes on integrative behavioral health approaches  including counseling techniques and skills for improving mental health and reducing mental illness.
AllCEUs.com provides multimedia counselor education and CEUs for LPCs, LMHCs, LMFTs and LCSWs as well as addiction counselor precertification training and continuing education on many of the videos on this channel.  Unlike other providers like CE4Less, AllCEUs includes a weekly LIVE Stream Webinar with your unlimited continuing education and professional development membership.
Chapters:
00:00:01 - Addressing Toxic Behaviors and Protecting Yourself
00:03:20 - Signs of Self-Invalidation and Lack of Self-Care
00:06:36 - The Impact of Negative Self-Talk and Toxic Relationships on Self-Esteem and Mental Health
00:09:54 - The Scary Inconsistency of Splitting and Unreliable People
00:12:57 - Toxic Relationship Traits: Unresponsiveness and Entitlement
00:16:02 - Toxic Behaviors in Relationships
00:19:05 - Signs of a Toxic Relationship
00:22:08 - Understanding and Setting Boundaries in Relationships
00:25:15 - Toxic Behaviors and their Origins
00:28:36 - The Inconsistency, Unresponsiveness, and Invalidation of Media and Institutions
00:31:44 - The role of organizations and institutions in our lives and how to address toxic behaviors
00:35:14 - Self-Improvement through Emotional Intelligence
00:38:17 - Taming Your Inner Critic and Validating Yourself
00:41:17 - Taming your inner critic and addressing toxic behaviors in others
00:44:27 - Dealing with Toxic Friendships: Authenticity, Boundaries, and Mindfulness
00:47:17 - Dealing with Attention-Seeking Behavior and Relationship Issues
00:50:27 - The Importance of Empathy and Encouragement in Relationships
00:53:28 - Giving and Receiving Love in Relationships
00:56:40 - Dealing with Toxic People and Environments</t>
  </si>
  <si>
    <t>Dr. Dawn-Elise Snipes is a Licensed Professional Counselor and Qualified Clinical Supervisor.  She received her PhD in Mental Health Counseling from the University of Florida in 2002.  In addition to being a practicing clinician, she has provided training to counselors, social workers, nurses and case managers internationally since 2006 through AllCEUs.com 
_xD83D__xDCE2_SUBSCRIBE and click the BELL to get notified when new videos are uploaded. 
If this video has helped you, please consider donating to support the channel Cashapp: _xD83D__xDCB2_DocSnipes  Paypal: https://DocSnipes.com/Donate  YouTube:  DocSnipes.com/Join
_xD83D__xDCBB_ Online course based on this video can be found at 
https://AllCEUs.com Unlimited continuing education CEUs $59 
⭐ Specialty Certificate Programs and Masterclasses in Case Management and Counselor Certification beginning at $89 https://AllCEUs.com/certificate-tracks
#counseloreducation 
#selfhelp #cognitivebehavioraltherapy #counseling #counselling
NOTE:  ALL VIDEOS are for educational purposes only and are NOT a replacement for medical advice or counseling from a licensed professional.
Video by Dr. Dawn Elise Snipes on integrative behavioral health approaches  including counseling techniques and skills for improving mental health and reducing mental illness.
AllCEUs.com provides multimedia counselor education and CEUs for LPCs, LMHCs, LMFTs and LCSWs as well as addiction counselor precertification training and continuing education on many of the videos on this channel.  Unlike other providers like CE4Less, AllCEUs includes a weekly LIVE Stream Webinar with your unlimited continuing education and professional development membership.
CHAPTERS:
00:00 Anger, Anxiety, Depression Making the Connection
00:09 Objectives 
02:17 Transdiagnostic &amp; Transactional Approaches
04:48 What are Anger and Anxiety 
09:43 Anger
15:02 Anxiety 
17:20 Cumulative Effects of Stressors
18:50 Threat Assessment 
20:59 Threat Assessment: General
23:06 Threat Assessment: BreakUp
24:40 Examine the Triggers 
26:41 Examine the Impact 
30:25 Depression 
33:34 Transactional Analysis
36:42 Where to Intervene - Sleep
39:38 Where to Intervene - Nutrition 
42:30 Sample Food Options 
43:58 Where to Intervene - Thoughts
46:52 Thought Response 
47:44 Thought Response Example: Breakup
51:05 Ultimate Goals
51:49 Summary 1
53:25 Summary 2</t>
  </si>
  <si>
    <t>Dr. Dawn-Elise Snipes is a Licensed Professional Counselor and Qualified Clinical Supervisor.  She received her PhD in Mental Health Counseling from the University of Florida in 2002.  In addition to being a practicing clinician, she has provided training to counselors, social workers, nurses and case managers internationally since 2006 through AllCEUs.com 
_xD83D__xDCE2_SUBSCRIBE and click the BELL to get notified when new videos are uploaded. 
If this video has helped you, please consider donating to support the channel Cashapp: _xD83D__xDCB2_DocSnipes  Paypal: https://DocSnipes.com/Donate  YouTube:  DocSnipes.com/Join
_xD83D__xDCBB_ Online course based on this video can be found at 
https://AllCEUs.com Unlimited continuing education CEUs $59 
⭐ Specialty Certificate Programs and Masterclasses in Case Management and Counselor Certification beginning at $89 https://AllCEUs.com/certificate-tracks
#burnout #trauma #counseloreducation #management
 #cognitivebehavioraltherapy #counseling #counselling
NOTE:  ALL VIDEOS are for educational purposes only and are NOT a replacement for medical advice or counseling from a licensed professional.
Video by Dr. Dawn Elise Snipes on integrative behavioral health approaches  including counseling techniques and skills for improving mental health and reducing mental illness.
AllCEUs.com provides multimedia counselor education and CEUs for LPCs, LMHCs, LMFTs and LCSWs as well as addiction counselor precertification training and continuing education on many of the videos on this channel.  Unlike other providers like CE4Less, AllCEUs includes a weekly LIVE Stream Webinar with your unlimited continuing education and professional development membership.
Chapters:
00:00:00 - Why Burnout and Trauma Must Be Examined Together
00:03:14 - Understanding Burnout and its Connection to Pacer Dysregulation
00:06:38 - Glucocorticoid Resistance and Burnout Signs
00:09:32 - Addressing HPA Axis Dysregulation and Early Signs of Burnout
00:12:45 - Physical and Emotional Symptoms of Burnout
00:15:58 - Signs of Burnout and How to Address Them
00:19:06 - Relationship deterioration and burnout vs PTSD and complex PTSD
00:22:17 - Burnout, PTSD, and Trauma Exposure: Understanding the Overlap and Impact on Those Affected
00:25:24 - Trauma, Burnout, and the Four S's
00:28:59 - Availability of Social Support in Traumatic Situations and Burnout Prevention in the Work Environment
00:32:18 - Work-Related Contributors to Burnout
00:35:34 - Work-related factors contributing to burnout
00:38:31 - Contributors to Burnout: Work-Life Imbalance and Poor Work-Person Fit
00:41:38 - Managing Pain, Nutrition, and Substance Use to Mitigate Burnout and Mood Disorders
00:44:46 - Contributors to Burnout: Trauma, Environment, and Relationships
00:47:58 - Contributing Factors to Burnout and Interventions to Manage It
00:51:04 - Tips for Working Smarter, Not Harder: The Squeegee Breath and other Techniques
00:54:01 - Moving towards a rich and meaningful life through purposeful energy use and development of tools and skills
00:56:49 - Developing Resiliency through Vulnerability Prevention and Mitigation
00:59:58 - Tips for Avoiding Burnout at Work and Home</t>
  </si>
  <si>
    <t>Dr. Dawn-Elise Snipes is a Licensed Professional Counselor and Qualified Clinical Supervisor.  She received her PhD in Mental Health Counseling from the University of Florida in 2002.  In addition to being a practicing clinician, she has provided training to counselors, social workers, nurses and case managers internationally since 2006 through AllCEUs.com 
_xD83D__xDCE2_SUBSCRIBE and click the BELL to get notified when new videos are uploaded. 
If this video has helped you, please consider donating to support the channel Cashapp: _xD83D__xDCB2_DocSnipes  Paypal: https://DocSnipes.com/Donate  YouTube:  DocSnipes.com/Join
_xD83D__xDCBB_ Online course based on this video can be found at 
https://AllCEUs.com Unlimited continuing education CEUs $59 
⭐ Specialty Certificate Programs and Masterclasses in Case Management and Counselor Certification beginning at $89 https://AllCEUs.com/certificate-tracks
#continuingeducation #cognitivebehavioraltherapy #counseling #counselling
NOTE:  ALL VIDEOS are for educational purposes only and are NOT a replacement for medical advice or counseling from a licensed professional.
Video by Dr. Dawn Elise Snipes on integrative behavioral health approaches  including counseling techniques and skills for improving mental health and reducing mental illness.
AllCEUs.com provides multimedia counselor education and CEUs for LPCs, LMHCs, LMFTs and LCSWs as well as addiction counselor precertification training and continuing education on many of the videos on this channel.  Unlike other providers like CE4Less, AllCEUs includes a weekly LIVE Stream Webinar with your unlimited continuing education and professional development membership.
CHAPTERS:
00:00 Vulnerabilities 
00:08 Objectives
00:47 What are Vulnerabilities 
03:04 Individual Vulnerabilities: Physical 1
05:34 Individual Vulnerabilities: Physical 2
11:49 Individual Vulnerabilities: Physical 3
14:29 Individual Vulnerabilities: Physical 4
16:48 Individual Vulnerabilities: Physical 5
21:45 Individual Vulnerabilities: Emotional 1
25:12 Individual Vulnerabilities: Emotional 2
26:29 Individual Vulnerabilities: Emotional 3
31:55 Individual Vulnerabilities: Mental / Cognitive 1
33:35 Individual Vulnerabilities: Mental / Cognitive 2
35:40 Individual Vulnerabilities: Mental / Cognitive 3
37:06 Individual Vulnerabilities: Mental / Cognitive 4
41:17 Individual Vulnerabilities: Mental / Cognitive 5
44:08 Individual Vulnerabilities: Social 1
47:49 Individual Vulnerabilities: Social 2
51:23 Individual Vulnerabilities: Social 3
54:13 Summary</t>
  </si>
  <si>
    <t>Dr. Dawn-Elise Snipes is a Licensed Professional Counselor and Qualified Clinical Supervisor.  She received her PhD in Mental Health Counseling from the University of Florida in 2002.  In addition to being a practicing clinician, she has provided training to counselors, social workers, nurses and case managers internationally since 2006 through AllCEUs.com _xD83D__xDCE2_SUBSCRIBE and click the BELL to get notified when new videos are uploaded. 
_xD83D__xDCB2_ AllCEUs.com Unlimited continuing education CEUs $59 
_xD83D__xDCBB_ Online course based on this video can be found at 
⭐ Specialty Certificate Programs for Case Management and Counselor Certification beginning at $89 https://AllCEUs.com/certificate-tracks
Join this channel to get access to perks:
https://www.youtube.com/channel/UCAE3JJi8tX7gfhZEXCUGd_A/join
NOTE:  ALL VIDEOS are for educational purposes only and are NOT a replacement for medical advice or counseling from a licensed professional.
Video by Dr. Dawn Elise Snipes on integrative behavioral health approaches  including counseling techniques and skills for improving mental health and reducing mental illness.
AllCEUs.com provides multimedia counselor education and CEUs for LPCs, LMHCs, LMFTs and LCSWs as well as addiction counselor precertification training and continuing education on many of the videos on this channel.  Unlike other providers like CE4Less, AllCEUs includes a weekly LIVE Stream Webinar with your unlimited continuing education and professional development membership.</t>
  </si>
  <si>
    <t>Welcome to our Biostatistics playlist, where we'll be covering the key concepts and principles of Epidemiology as outlined in Jekel's Book Chapter 1 and 4. In this playlist, we'll be exploring the fundamental principles of Epidemiology, including the measurement of disease occurrence, risk factors, and study designs.
Chapter 1 of Jekel's book provides an introduction to the field of Epidemiology, including the basic concepts of population health, disease occurrence, and the distribution of disease in populations. We'll also cover the key measures of disease occurrence, including incidence, prevalence, and mortality rates, and how these measures are used to understand the burden of disease in populations.
In Chapter 4, we'll explore the role of risk factors in the development of disease, including the different types of risk factors and how they are identified and measured. We'll also cover the concept of confounding, which is an important consideration when assessing the relationship between risk factors and disease outcomes.
Throughout this playlist, we'll discuss the different types of study designs used in Epidemiology, including observational studies, case-control studies, and cohort studies. We'll explore the strengths and limitations of each study design and how they are used to answer different types of research questions.
This playlist is designed for students, researchers, and anyone interested in learning about the basic principles of Epidemiology and Biostatistics. Whether you're a public health professional, a medical student, or simply curious about the science behind population health, this playlist is the perfect place to start.
If you found this playlist helpful, please like, subscribe, and share it with your friends and colleagues. By doing so, you'll be helping us reach a wider audience and continue creating educational content for you.
Reference: Jekel's Epidemiology, Biostatistics, Preventive Medicine, and Public Health: With STUDENT CONSULT Online Access (Jekel's Epidemiology, Biostatistics, Preventive Medicine, Public Health)
#biostatistics #epidemiology #diseaseoccurrence #riskfactors #studydesigns #observationalstudies #casecontrolstudies #cohortstudies</t>
  </si>
  <si>
    <t>Managing relationships with direct reports affects their motivation and engagement in a business.</t>
  </si>
  <si>
    <t>Second Session of the IPEC/NSSA Journalists Mentorship Programme</t>
  </si>
  <si>
    <t>_xD83D__xDC49_Previous Video : https://www.youtube.com/watch?v=xeXmDbrzRyk
_xD83D__xDC49_Next Video : https://www.youtube.com/watch?v=nvLBMlJfxJ4
✔️_xD83D__xDCDA__xD83D__xDC49_ Watch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_xD83D__xDCE2_ Full Playlist Link:  https://www.youtube.com/playlist?list=PLVLoWQFkZbhXOGREUvTDsMJIgqBcAxnvn
✅ In this video,
✔️ Class: 12th
✔️ Subject: Psychology
✔️ Chapter: Psychological Disorders (Chapter 4)
✔️ Topic Name: Disruptive, Impulse Control &amp; Conduct Disorders
✔️ Topics Covered In This Video (By Saloni Mam): This YouTube video provides an overview of the Disruptive, Impulse Control &amp; Conduct Disorders discussed in Class 12 Psychology Chapter 4. Saloni Mam will provide a comprehensive introduction to the types of psychological disorders and explain their underlying causes, symptoms and treatments. She will also share insights on the unique challenges faced by people with these mental health issues. 
=======================================================
00:00 Introduction : Disruptive, Impulse Control &amp; Conduct Disorders
00:55 Disruptive, Impulse-Control and Conduct Disorders
05:19 Disruptive, Impulse-Control and Conduct Disorders : 
    conduct disorder and antisocial
12:21 website overview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 magnetbrainsbhopal@gmail.com
➡️ Website : https://www.magnetbrains.com/
➡️ Subscribe to us on YouTube: https://www.youtube.com/channel/UC3HS6gQ79jjn4xHxogw0HiA?sub_confirmation=1
➡️ Subscribe to Magnet Brains Hindi Medium : https://www.youtube.com/channel/UCwO6AYOIRYgyP1KJ5aPbDlw?sub_confirmation=1
➡️Facebook-: https://www.magnetbrains.com/out/facebook
➡️Telegram-: https://www.magnetbrains.com/out/telegram
➡️Instagram:-https://www.magnetbrains.com/out/instagram_main
#disruptive #impulsecontrol #disorders  #class12psychology #2022_23 #boardexam2023 #magnetbrains 
disruptive impulse-control and conduct disorders ppt
disruptive impulse-control and conduct disorders pdf
disruptive impulse-control and conduct disorders examples
unspecified disruptive impulse-control and conduct disorder dsm 5 criteria
disruptive impulse-control and conduct disorders causes
disruptive impulse-control and conduct disorders dsm 5
other specified disruptive, impulse-control, and conduct disorder
disruptive impulse-control and conduct disorders symptoms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</si>
  <si>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Definition and nature of Thinking psychology</t>
  </si>
  <si>
    <t>Ch-2</t>
  </si>
  <si>
    <t>What are the 4 personality theories?
What are the 7 theories of personality in psychology?
What are the 5 theories of personality?
What are the 3 main theories of personality?
theories of personality pdf
what are the theories of personality
theories of personality notes
theories of personality ppt
trait theory of personality
what are the 7 theories of personality?
theories of personality development
theory of personality freud
What are the 3 parts of personality in psychodynamic theory?
What is the psychodynamic theory of personality by Sigmund Freud?
What does the psychodynamic personality theory focus on?
What are the characteristics of psychodynamic theories of personality?
psychodynamic theory freud
psychodynamic theory examples
psychodynamic theory pdf
psychodynamic theory founder
psychodynamic model
humanistic personality theory
psychodynamic theory examples in sport
psychodynamic vs psychoanalytic
freud theory in urdu,freud theory in hindi,freud personality theory,freud psycho dynamic theory,what is sigmund freud theory?,psychoanalytic theory stages,what are the five stages of personality development?,summary of psychoanalytic theory,psychoanalytic stages,what is the basic idea of psychoanalytic theory?,sigmumd freud theory in urdu,sigmund freud psychoanalytic theory,sigmund freud psychoanalytic theory in hindi
FOLLOW US
INSTAGRAM:farahishaqch          https://www.instagram.com/direct/inbox/
TWITTER
https://twitter.com/Farah63743778?t=s...
FACEBOOK
https://www.facebook.com/Wellness-By-...
#wellnessbyfarah
https://wellnessbyfarah.com/
#psychologylectures #psychologylessons #psychology #bscpsychology #bspsychology</t>
  </si>
  <si>
    <t>Join Our History Foundation Complete Course at just 
Rs.999/- (Ancient+Medieval+Modern).
Rs.300/- (Ancient History)
Rs.300/- (Medieval History)
Rs.500/- (Modern History)
Click on this link for more information-
https://wa.me/message/EUUNL3LH7CSFK1</t>
  </si>
  <si>
    <t>Statement of purpose
#phd admission #iit #sop 
If you find my content useful then please like subscribe comment _xD83E__xDD0D_
Hello it's me diksha, welcome to my channel _xD83E__xDD13_ , I am a lecturer, counselor, psychologist, researcher. 
Through this channel, I am going to cover Psychology academic portion and some interesting researches and experiments. 
EDUCATION QUALIFICATION
_____________________________
MASTERS IN PSYCHOLOGY 
QUALIFIED UGC NET JRF 
ADVANCED DIPLOMA IN GUIDANCE 
AND COUNSELING from jamia milia islamia 
Contact mail -   Psychologistdiksha.98@gmail.com
Instagram handle 
https://www.instagram.com/psychologyacadmiaa?r=nametag
more queries 
How to prepare statement of purpose
Statement of purpose class 12 writing skill statement of purpose for masters statement for purpose example statement of purpose for University admission statement of purpose for phd statement of purpose for class 12 Isc statement of purpose for job application
statement of purpose for mastershow to write a perfect statement of purposeStatement of purpose Sop how to write sopsopssop examplePhd admission 2023all about phd admission 2023iit phd admission 2023</t>
  </si>
  <si>
    <t>class9 #mitochondria #cellorganelle #science #class9science #class9th #cell #fundamentalunitoflife #new #notes #sciencenotes #shorts #short #subscribe #youtubeshorts #youtube #ytshorts</t>
  </si>
  <si>
    <t>Handwritten notes.. Konse notes chache comment kr ke baate.. B.sc agri</t>
  </si>
  <si>
    <t>In this video we will cover about What is Ionic Compounds
....
....
For more such Questions join our Instagram page @retiinofficial 
.....
.....
From Regards 
   Team Retiino
class 10 chemistry,
class 10 science,
class 10,
chemistry class 10,
class 10 chemistry chapter 1,
chemical reactions and equations class 10,
class 10 cbse,
chemical reactions and equations class 10 ncert,
class 10 chemistry revision,
class 10 chemistry full revision,
class 10 chemistry chapter 1 notes,
cbse class 10,
chemical reactions and equations class 10 one shot,
class 10th chemistry,
full syllabus chemistry class 10,</t>
  </si>
  <si>
    <t>What do you mean by sensation in psychology?
 What do you mean by sensation in psychology? Sensation in psychology is the transformation of an environmental stimulus into a neural impulse the brain can use that makes an organism aware of its surroundings. From this information, the organism can interact, react and influence the world around it.
In this video we will cover about sensation according to INC (indian nursing council) 
for session 2023 1st semester psychology.
I hope you like this video so please do subscribe,like and share this video.
if you have any kind of doubt you can ask me from below comment section.
  ***    Thanks for watching. _xD83D__xDE4F_    ***
#youtube #youtuber #instagram #music #love #spotify #tiktok #follow #like #explorepage #youtubers #youtubechannel #gaming #twitch #video #instagood #hiphop #memes #viral #subscribe #gamer #rap #facebook #explore #ps #art #soundcloud #k #artist #trending
other youtube videos links are below _xD83D__xDD87_️ _xD83D__xDC47_
1. sensation :- https://youtu.be/Y2qr53ZQkoo
2. cell :- https://youtu.be/EvxvLvPG7cw
3. tissue :- https://youtu.be/KrTi_bz5lU0
4. communication :- https://youtu.be/g7MBlkz9QEM</t>
  </si>
  <si>
    <t>0:00 Introduction
0:25 Meaning of Macroeconomics
2:29 Diff B/W microeconomics &amp; macroeconomics
4:23 Emergence of Macroeconomics
6:23 The Great Depression
9:27 Capitalist Countries
10:31 Scope of Macroeconomics
12:39 Significance of Macroeconomics
If you like our videos, don't forget to like and subscribe. Also share it with your friends.
If u want to apply for tuitions u are most welcome. u can do that by visit our facebook page by clicking the link below-
https://www.facebook.com/everestcoachinginstitutephagwara
Our youtube channel- https://www.youtube.com/channel/UCWqnPKxdRic0vb8dkyf1ClA
facebook- @everestcoachinginstitutephagwara
You can check our facebook page for latest updates
for class 6 science( according to CBSE(central board of secondary education),click the link  _xD83D__xDC47_
https://youtube.com/playlist?list=PL7z7pYotfAefiBJ6gLVmZkMuEbiVxMMAI
class 9 maths CBSE- 
https://www.youtube.com/playlist?list=PL7z7pYotfAecHcKFv5GsNcjL1vxRsMS29
class 10 maths-
https://www.youtube.com/playlist?list=PL7z7pYotfAee1NlY13EJlkPD7NopgPvy0
class 11 economics- 
https://youtube.com/playlist?list=PL7z7pYotfAecnJ37EkpFcDxnYMwaHz9ic
For class 9 science detail , click at teh below link,
https://www.youtube.com/playlist?list=PL7z7pYotfAefS1jbJzWd-Zr1d83Xw-QCI
For any query you can comment in comment section.
you can also join the online teaching classes by everest coaching institute through our facebook page or comment box
#science
#maths
#economics
#learnwithfun
#learninteristing
#everestcoachinginstitute
#learn
#easy learning
#class9
#class10
#class6
#class11
#class12
#class7
#forabettertomorrow
#science
#maths
@everestcoachinginstitute</t>
  </si>
  <si>
    <t>#mediavalindia #historyforupsc #iqtasystem
Iqta and khalisa system introduce by Iltutmish in India was a significant and important policy measure for revenue and administration under Delhi Sultanate in Medieval Indian History. It was originally an Arabian system which was brought to India by Ghauri. Over different rulers under Delhi Sultanate this system went through an evolution. This system is known as Iqta-Muqti system. It was basically a feudal system which had much economic and military significance as the Iqtadars were responsible for collection of land revenue and maintenance of fixed quota of military troops.
For History Optional class for UPSC
Contact: +91 93303 32212</t>
  </si>
  <si>
    <t>split gene or interrupted gene that have intervening sequence the gene consists of intron and exon is on the discovery of split gene was made in 1977 split gene consists of two types of sequence intervening sequence they don't code of protein and exon code a particular protein..</t>
  </si>
  <si>
    <t>CLASS-12, PSYCHOLOGY, CHAPTER-2. SELF AND PERSONALITY- INTRODUCTION. This channel release videos on  psychology and psychological disorders and other Master of Social Work topics, along with CLASS 11 and CLASS 12 Psychology topics handled by  MSW, MPhil graduate with PG in Forensic Psychology. 
The information in the video is for educational purpose only. #psychology, #class11, #class12, #MSW, #video</t>
  </si>
  <si>
    <t>✅ In this video,
✔️ Class:11th 
✔️ Subject: Political Science
✔️ Chapter: Constitution : Why and How?
✔️ Topic Name: Aspirations and Goals of a Society</t>
  </si>
  <si>
    <t>In 1956, Eric Newby quit his job in the fashion industry to explore Nuristan, a remote region in the northeast of Afghanistan. Newby wrote about his journey in his now-classic book A Short Walk in the Hindu Kush, originally published in 1958 to wide acclaim.
Joining me to talk about Newby’s A Short Walk is Aaron Millar, a travel writer who has written for publications like National Geographic Traveller and the host of the Armchair Explorer podcast. 
For more travel writing resources, visit travelwritingworld.com</t>
  </si>
  <si>
    <t>_xD83D__xDD25_Join Telegram for session notes and pdf:_xD83D__xDD25_ https://t.me/+Wd9GBj3h9N4zZGU1
 Raoult's Law concept from Solutions will be discussed in this session by Educator Monica Bedi for all Class 12 CBSE BOARDS 2023 aspirants. Watch the video completely to boost your preparation to next level.
Call Monica Bedi's team on 8585858585 and take your K12 Preparations to the next level.
➤ Use Code ''MBLIVE'', Unlock FREE Special Classes on our platform, &amp; also Get 20% off on your Subscription today.
Click here for FREE access to Educator's best classes: https://unacademy.com/class/organic-converisons-in-one-shot/76PPNBZ8  
----------------------------------------------------
 ➤ Subscribe today:  
Class 11:https://unacademy.com/goal/cbse-class-11/GWDPZ/subscribe
Class 12:https://unacademy.com/goal/cbse-class-12/PLWCX/subscribe
----------------------------------------------------
Full Syllabus Batch for 2022-23 - PCMB: https://unacademy.com/batch/full-syllabus-batch-for-2022-23-pcmb-853/PYRKNX15
 Find your best combo below, Prepare for IIT JEE and NEET with 11 &amp; 12:
11+12+IIT JEE (Plus):
https://unacademy.com/goal/cbse-class-11-cbse-class-12-iit-jee/UJUSX/subscribe/DQ4I099REC?referral_code=unacademy&amp;credsApplied=true&amp;payMethod=EMI
11+12+NEET UG (Plus):
https://unacademy.com/goal/cbse-class-11-cbse-class-12-neet-ug/MCUNR/subscribe/XAKAGLX15Z?referral_code=unacademy&amp;credsApplied=true&amp;payMethod=EMI
Unacademy's Pratigya for Boards 2022-23: https://unacademy.com/batch/sankalp-boards-2022-23/9H689MWK
Click here to join the Educator's community and get regular updates: Join Monica Bedi’s community: https://unacademy.com/community/BSHLL6/
Go head-to-head with thousands of learners and battle it out in Unacademy Combat: CBSE Class 12: Alcohols, Phenols &amp; Ethers Series by Monica Bedi: https://www.unacademy.com/a/CBSECLASS12-MONICABEDI
➤ About the Educator: Apex educator at UNACADEMY, Ph.D (Chemistry), Top 30 Rank in NET-JRF (CSIR)
➤ Follow Monica Bedi on Unacademy: https://unacademy.com/@monica2042
Playlist Link:  https://www.youtube.com/playlist?list=PLgxXmqf-q_1biPQmV54krRsLigzwhyKQz 
----------------------------------------------------
You can enroll to Unacademy Subscription and get the following benefits:
1. Learn from your favourite teacher
2. Dedicated DOUBT sessions
3. One Subscription, Unlimited Access to Live Online Classes and Videos
4. Real-time interaction with best-in-class teachers
5. You can ask doubts in live online classes
6. Limited students in each Class
7. Download the videos &amp; watch them offline
----------------------------------------------------
Download the Unacademy Learning App here: 
 ➤ Android: https://unacademy.onelink.me/081J/40a
 ➤ iOS: https://unacademy.onelink.me/081J/a61
----------------------------------------------------
If you don’t wish to miss any updates and or latest videos about K12 Exams Preparation, subscribe to the channel now. Students who have already subscribed, stay tuned as we will get more strategy and preparations videos and FREE LIVE CLASSES just for you. Feel free to spread the word – share the videos with your friends and classmates.
#monica_bedi #cbseboard2023 #cbseclass12 #solutions</t>
  </si>
  <si>
    <t>✔️_xD83D__xDCDA__xD83D__xDC49_ Watch the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 In this video,
✔️ Exam: CUET
✔️ Subject: Physics
✔️ Topic Name: CUET 2023 | Complete Physics - Mock Test Papers | Physics Domain | CUET Exam 2023
✔️ Topics Covered In This Video (By Dhiraj Sir): Attention Physics students! Here's your chance to ace the CUET Exam 2023! In this video I'm going to give you an exclusive mock test of all the Physics topics that are going to come up in the exam. Get your hands on these comprehensive exam preparation materials and give yourself the best chance of success on the day!
=======================================================
00:00 Introduction: CUET 2023 | Complete Physics - Mock Test Papers
00:40 Question 1 to 10: Multiple Choice Questions (MCQs): Physics - Mock Test Papers 1
          Que. 1 The number of electrons that must be removed from an electrically neutral silver dollar to give it a charge of +2.4 C is
38:58 Question 11 to 20: Multiple Choice Questions (MCQs): Physics - Mock Test Papers 1
01:48:39 Question 21 to 30: Multiple Choice Questions (MCQs): Physics - Mock Test Papers 1
02:26:00 Question 31 to 40: Multiple Choice Questions (MCQs): Physics - Mock Test Papers 1
03:00:52 Question 41 to 50: Multiple Choice Questions (MCQs): Physics - Mock Test Papers 1
03:29:54 Question 1 to 10: Multiple Choice Questions (MCQs): Physics - Mock Test Papers 2
                Que. 1 Two field lines can never cross each other because
04:33:29 Question 11 to 20: Multiple Choice Questions (MCQs): Physics - Mock Test Papers 2
05:01:14 Question 21 to 30: Multiple Choice Questions (MCQs): Physics - Mock Test Papers 2
05:32:28 Question 31 to 40: Multiple Choice Questions (MCQs): Physics - Mock Test Papers 2
05:59:55 Question 41 to 50: Multiple Choice Questions (MCQs): Physics - Mock Test Papers 2
06:22:54 Question 01 to 10: Multiple Choice Questions (MCQs): Physics - NTA (MOCK TEST/PRACTICE)
               Que. 1 The magnitude of electric force F exerted by a charged particle on another charged particle is 2.4 x 108 N. If the distance between them becomes half of its previous value, then the magnitude of the exerted force will be:
06:52:55 Question 11 to 20: Multiple Choice Questions (MCQs): Physics - NTA (MOCK TEST/PRACTICE)
07:38:37 Question 21 to 30: Multiple Choice Questions (MCQs): Physics - NTA (MOCK TEST/PRACTICE)
07:57:05 Question 31 to 40: Multiple Choice Questions (MCQs): Physics - NTA (MOCK TEST/PRACTICE)
08:26:30 Question 41 to 50: Multiple Choice Questions (MCQs): Physics - NTA (MOCK TEST/PRACTICE)
08:41:53 Website Overview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magnetbrainsbhopal@gmail.com
➡️ Website: https://www.magnetbrains.com/
➡️ Subscribe to us on YouTube: https://www.youtube.com/channel/UC3HS6gQ79jjn4xHxogw0HiA?sub_confirmation=1
➡️ Subscribe to Magnet Brains Hindi Medium: https://www.youtube.com/channel/UCwO6AYOIRYgyP1KJ5aPbDlw?sub_confirmation=1
➡️Facebook:- https://www.magnetbrains.com/out/facebook
➡️Telegram:- https://www.magnetbrains.com/out/telegram
➡️Instagram:- https://www.magnetbrains.com/out/instagram_main
#cuet2023 #domain #cuetphysics #cuetdelhiuniversity #magnetbrains #mocktest #completerevision #cuetexam 
cuet physics mock test pdf
cuet physics mock test 2023
cuet mock test 2023 pdf
cuet physics mock test free
cuet physics mock test in hindi
cuet 2023 mock test free
cuet mock test pdf
cuet physics questions with solutions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</si>
  <si>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_xD83D__xDC49_Previous Video: https://www.youtube.com/watch?v=ZNB0TjVQFQo
✔️_xD83D__xDCDA__xD83D__xDC49_ Watch the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_xD83D__xDCE2_ Full Playlist Link: https://www.youtube.com/playlist?list=PLVLoWQFkZbhUVZhJv-AuwbrqnXosComDP
✅ In this video,
✔️ Class: 11th
✔️ Subject: Maths (NCERT)
✔️ Chapter: Trigonometric Functions (Chapter 3)
✔️ Topic Name: Trigonometric Functions - Exercise 3.2 Concept Overview (Part 2) | Class 11 Maths Chapter 3 | 2023-24
✔️ Topics Covered In This Video: This video from Shivani Mam covers an introductory study of the core concept of Trigonometric Functions Chapter 3 Class 11 Maths. From the basic definition of sets to complex word problems and their solutions, Shivani Mam guides you through it all.
=======================================================
00:00 Introduction: Trigonometric Functions - Exercise 3.2 Concept Overview (Part 2)
01:09 Overview: Trigonometric Functions
06:10 Values of Sine and Cosine Functions:
55:24 Value of Trigonometric Functions:
1:25:46 Website Overview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magnetbrainsbhopal@gmail.com
➡️ Website: https://www.magnetbrains.com/
➡️ Subscribe to us on YouTube: https://www.youtube.com/channel/UC3HS6gQ79jjn4xHxogw0HiA?sub_confirmation=1
➡️ Subscribe to Magnet Brains Hindi Medium: https://www.youtube.com/channel/UCwO6AYOIRYgyP1KJ5aPbDlw?sub_confirmation=1
➡️Facebook:- https://www.magnetbrains.com/out/facebook
➡️Telegram:- https://www.magnetbrains.com/out/telegram
➡️Instagram:- https://www.magnetbrains.com/out/instagram_main
#class11maths #class11 #maths #2023_24 #2024 #magnetbrains #trigonometricfunctions 
trigonometric functions class 11 notes
trigonometric functions class 11 solutions
trigonometric functions class 11 pdf
trigonometric functions class 11 miscellaneous exercise
trigonometry class 11 pdf solutions
trigonometric functions class 11 ncert
trigonometric functions class 11 pdf notes
trigonometric functions class 11 formulas pdf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</si>
  <si>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_xD83D__xDC49_Previous Video: https://www.youtube.com/watch?v=mh96vMCydc0
✔️_xD83D__xDCDA__xD83D__xDC49_ Watch the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_xD83D__xDCE2_ Full Playlist Link: https://www.youtube.com/playlist?list=PLVLoWQFkZbhV3oy9PeOmdqXMGjRaUgFLb
✅ In this video,
✔️ Class: 10th
✔️ Subject: Biology
✔️Chapter: Life Processes (Chapter 5)
✔️ Topic Name: Excretion in Human Beings - Life Processes | Class 10 Biology Chapter 5 (LIVE)
✔️ Topics Covered In This Video (By Vibhuti Mam): This video covers the topic of Excretion in Human Beings in the chapter Life Processes Class 10 Biology Chapter 5, as explained by Vibhuti Mam. 
=======================================================
Class 10 Biology (New Session 2022-2023) | Complete CBSE Course | All Chapters Available:-
https://www.youtube.com/playlist?list=PLVLoWQFkZbhXuBRmnH3CwHsk3ZzNHbXmG
Class 10 Biology By Vibhuti Mam | Full Chapter Videos | Based on CBSE/NCERT Curriculum:-
https://www.youtube.com/playlist?list=PLVLoWQFkZbhXsVQCTLvMXl8CbfcTtsdpo
Class 9 Biology (New Session 2022-23) | Complete CBSE Course | All Chapters Available:-
https://www.youtube.com/playlist?list=PLVLoWQFkZbhU9Q_nMpMMB9HHyy4_AUXID
Class 9 Biology | Full Chapter Videos | Based on CBSE/NCERT Curriculum:-
https://www.youtube.com/playlist?list=PLVLoWQFkZbhXITEmOWL1-JqTdK9tgiNW8
Class 10 MCQ Science | Useful for Board Exam | Class 10 | Physics | Chemistry | Biology | All Chapters Available:-
https://www.youtube.com/playlist?list=PLVLoWQFkZbhXdRobI84FkQ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magnetbrainsbhopal@gmail.com
➡️ Website: https://www.magnetbrains.com/
➡️ Subscribe to us on YouTube: https://www.youtube.com/channel/UC3HS6gQ79jjn4xHxogw0HiA?sub_confirmation=1
➡️ Subscribe to Magnet Brains Hindi Medium: https://www.youtube.com/channel/UCwO6AYOIRYgyP1KJ5aPbDlw?sub_confirmation=1
➡️Facebook:- https://www.magnetbrains.com/out/facebook
➡️Telegram:- https://www.magnetbrains.com/out/telegram
➡️Instagram:- https://www.magnetbrains.com/out/instagram_main
#biology #class10biology #lifeprocessesclass10sciencebiology #magnetbrains #2023_24 
explain excretion in human beings class 10
excretion in human beings class 10 pdf
excretion in human beings notes
excretion in human beings wikipedia
excretion in human beings ncert
excretion in human beings in hindi
excretory system parts and functions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</si>
  <si>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_xD83D__xDC49_Previous Video: https://www.youtube.com/watch?v=ziC_JPMLMko
✔️_xD83D__xDCDA__xD83D__xDC49_ Watch the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_xD83D__xDCE2_ Full Playlist Link: https://www.youtube.com/playlist?list=PLVLoWQFkZbhVRm59ttXRQ2EVrJeEvoGyU
✅ In this video,
✔️ Class: 12th
✔️ Subject: Informatics Practices
✔️ Topic Name: CBSE Sample Paper Solution 2024 | CBSE Sample Paper Class 12 Informatics Practices | Code 065 | 2023-24
✔️ Topics Covered In This Video (By Barkha Mam): This video will provide a comprehensive overview of the CBSE Sample Paper Solution 2023-24 Class 12 Informatics Practices issued by the Central Board of Secondary Education (CBSE). By the end of this tutorial, viewers will be able to understand and learn the solutions provided by our experienced teacher,  Barkha Mam. She will be discussing the different types of questions asked and the strategies to solve them. She will also provide tips and tricks to answer the questions more efficiently. With his guidance and expertise, viewers will be able to find solutions to their doubts and improve their performance in their examinations.
=======================================================
00:00 Introduction: CBSE Sample Paper Solution 2024: Informatics Practices
02:39 General Instruction
12:48 Question 1 to 10: Section A: CBSE Sample Paper Solution 2024: Informatics Practices
           Que. 1 A ___ is a device that connects the organisation's network with the outside world of the Internet.
01:09:13 Question 11 to 18: Section A: CBSE Sample Paper Solution 2024: Informatics Practices
01:47:49 Question 19 to 25: Section B: CBSE Sample Paper Solution 2024: Informatics Practices
                 Que. 19 Briefly explain the basic concepts of a web server and web hosting.
02:48:29 Question 26 to 30: Section C: CBSE Sample Paper Solution 2024: Informatics Practices
                 Que. 26 Based on the SQL table CAR SALES, write suitable queries for the following:
03:38:05 Question 31 &amp; 32: Section D: CBSE Sample Paper Solution 2024: Informatics Practices
                 Que. 31 Preeti manages database in a blockchain start-up. For business purposes, she created a table named BLOCKCHAIN. Assist her by writing the following queries:
04:05:12 Question 33 to 36: Section E: CBSE Sample Paper Solution 2024: Informatics Practices
                 Que. 33 Write suitable SQL queries for the following: i. To calculate the exponent for 3 raised to the power of 4.
04:43:34 Website Overview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magnetbrainsbhopal@gmail.com
➡️ Website: https://www.magnetbrains.com/
➡️ Subscribe to us on YouTube: https://www.youtube.com/channel/UC3HS6gQ79jjn4xHxogw0HiA?sub_confirmation=1
➡️ Subscribe to Magnet Brains Hindi Medium: https://www.youtube.com/channel/UCwO6AYOIRYgyP1KJ5aPbDlw?sub_confirmation=1
➡️Facebook:- https://www.magnetbrains.com/out/facebook
➡️Telegram:- https://www.magnetbrains.com/out/telegram
➡️Instagram:- https://www.magnetbrains.com/out/instagram_main
 #class12informaticspractices  #cbsesamplepaper2023 #cbsesamplepapersolution #magnetbrains #2022_23 #2022 #2023_24 #informaticspractices 
informaticspractices sample paper class 12 2023
cbse sample paper class 12 informaticspractices 
informaticspractices  sample paper class 12 2023 pdf
informaticspractices sample paper class 12 term 1
sample paper of ip class 12 with solution
ip sample paper class 12 pdf with solution 2023
informatics practices class 12 python sample papers with solutions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</si>
  <si>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_xD83D__xDC49_Previous Video: https://www.youtube.com/watch?v=XbCA1yTNeug
✔️_xD83D__xDCDA__xD83D__xDC49_ Watch the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_xD83D__xDCE2_ Full Playlist Link: https://www.youtube.com/playlist?list=PLVLoWQFkZbhW6ZtmPRORtlOLPcQAonqHB
✅ In this video,
✔️ Subject: English Grammar
✔️ Topic Name: Different Ways to Use English Words &amp; Phrases | Basic English vs Advanced English (Part 6)
✔️ Topics Covered In This Video (Chandani Mam): Are you ready to take your English to the next level? In this video, I'm going to show you how to use advanced English words and phrases in creative ways. Discover the secrets of English fluency and learn how to express yourself more accurately and confidently. Unlock the hidden potential of your English vocabulary and become a master of the language!
=======================================================
00:00 Introduction: How to Ask Someone to Repeat What They Said?
5:10 Let's Practice: How to Ask Someone to Repeat What They Said?
43:36 Let's Practice: Different Ways to Ask For Somebody's Opinion
1:22:04 Let's Practice: Different Ways to Say 'I Don't Know'
2:09:35 Website Overview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magnetbrainsbhopal@gmail.com
➡️ Website: https://www.magnetbrains.com/
➡️ Subscribe to us on YouTube: https://www.youtube.com/channel/UC3HS6gQ79jjn4xHxogw0HiA?sub_confirmation=1
➡️ Subscribe to Magnet Brains Hindi Medium: https://www.youtube.com/channel/UCwO6AYOIRYgyP1KJ5aPbDlw?sub_confirmation=1
➡️Facebook:- https://www.magnetbrains.com/out/facebook
➡️Telegram:- https://www.magnetbrains.com/out/telegram
➡️Instagram:- https://www.magnetbrains.com/out/instagram_main
#advancedenglish #learnenglish #englishgrammar #englishspeaking #magnetbrains 
basic english vs advanced english words pdf
basic english and advanced english examples
basic english vs advanced english sentences
advanced english words used in daily life
normal english to advanced english words
advanced english words with meaning
basic to advanced english grammar
normal english to advanced english app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</si>
  <si>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_xD83D__xDC49_Previous Video : https://www.youtube.com/watch?v=3Pf55LwNDXM
_xD83D__xDC49_Next Video : https://www.youtube.com/watch?v=AKwn4AdgCIU
✔️_xD83D__xDCDA__xD83D__xDC49_ Watch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_xD83D__xDCE2_ Full Playlist Link: https://www.youtube.com/playlist?list=PLVLoWQFkZbhXOGREUvTDsMJIgqBcAxnvn
✅ In this video,
✔️ Class: 12th 
✔️ Subject: Psychology
✔️ Chapter: Therapeutic Approaches (Chapter 5)
✔️ Topic Name: Psychodynamic Therapy - Therapeutic Approaches | Class 12 Psychology Chapter 5
✔️ Topics Covered In This Video (By Saloni Mam): This YouTube video provides an overview of the  Therapeutic Approaches discussed in Class 12 Psychology Chapter 5. Saloni Mam will provide a comprehensive introduction to Psychodynamic Therapy. She will also share insights on the unique challenges faced by people with these mental health issues. 
=======================================================
00:00:00 Introduction Psychodynamic Therapy
00:02:08 Psychodynamic Therapy
12:13 Methods of Eliciting the Nature of Intrapsychic Conflict
01:22:36 Website Overview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 magnetbrainsbhopal@gmail.com
➡️ Website : https://www.magnetbrains.com/
➡️ Subscribe to us on YouTube: https://www.youtube.com/channel/UC3HS6gQ79jjn4xHxogw0HiA?sub_confirmation=1
➡️ Subscribe to Magnet Brains Hindi Medium : https://www.youtube.com/channel/UCwO6AYOIRYgyP1KJ5aPbDlw?sub_confirmation=1
➡️Facebook-: https://www.magnetbrains.com/out/facebook
➡️Telegram-: https://www.magnetbrains.com/out/telegram
➡️Instagram:-https://www.magnetbrains.com/out/instagram_main
#class12psychology #2022_23 #boardexam2023 #psychology #magnetbrains 
psychology class 12 chapter 5 question answers
class 12 psychology chapter 5 pdf
class 12 psychology chapter 5 notes pdf
class 12 psychology chapter 5 important questions
class 12 psychology chapter 5 mcq
therapeutic approaches class 12 pdf
case study based questions class 12 psychology chapter 5
therapeutic approaches class 12 ncert solutions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</si>
  <si>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_xD83D__xDC49_Previous Video : https://www.youtube.com/watch?v=5h5HyMRrM8E
_xD83D__xDC49_Next Video : https://www.youtube.com/watch?v=4OAkDFppc-U
✔️_xD83D__xDCDA__xD83D__xDC49_ Watch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_xD83D__xDCE2_ Full Playlist Link: https://www.youtube.com/playlist?list=PLVLoWQFkZbhXOGREUvTDsMJIgqBcAxnvn
✅ In this video,
✔️ Class: 12th 
✔️ Subject: Psychology 
✔️ Chapter: Therapeutic Approaches (Chapter 5)
✔️ Topic Name: Humanistic - Existential Therapy | Class 12 Psychology Chapter 5
✔️ Topics Covered In This Video (By Saloni Mam):  This YouTube video provides an overview of the  Therapeutic Approaches discussed in Class 12 Psychology Chapter 5. Saloni Mam will provide a comprehensive introduction to Humanistic - Existential Therapy. She will also share insights on the unique challenges faced by people with these mental health issues. 
=======================================================
00:00 Introduction Humanistic-Existential Therapy
00:52 Humanistic-Existential Therapy
45:40 Website Overview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 magnetbrainsbhopal@gmail.com
➡️ Website : https://www.magnetbrains.com/
➡️ Subscribe to us on YouTube: https://www.youtube.com/channel/UC3HS6gQ79jjn4xHxogw0HiA?sub_confirmation=1
➡️ Subscribe to Magnet Brains Hindi Medium : https://www.youtube.com/channel/UCwO6AYOIRYgyP1KJ5aPbDlw?sub_confirmation=1
➡️Facebook-: https://www.magnetbrains.com/out/facebook
➡️Telegram-: https://www.magnetbrains.com/out/telegram
➡️Instagram:-https://www.magnetbrains.com/out/instagram_main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</si>
  <si>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_xD83D__xDC49_Previous Video : https://www.youtube.com/watch?v=7b0aUDs8jvU
_xD83D__xDC49_Next Video : https://www.youtube.com/watch?v=NELV90nQqnY
✔️_xD83D__xDCDA__xD83D__xDC49_ Watch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_xD83D__xDCE2_ Full Playlist Link: https://www.youtube.com/playlist?list=PLVLoWQFkZbhXOGREUvTDsMJIgqBcAxnvn
✅ In this video,
✔️ Class: 12th
✔️ Subject: Psychology
✔️ Chapter: Therapeutic Relationship (Chapter 5)
✔️ Topic Name: Therapeutic Relationship | Class 12 Psychology Chapter 5
✔️ Topics Covered In This Video (By Saloni Mam): This YouTube video provides an overview of the  Therapeutic Approaches discussed in Class 12 Psychology Chapter 5. Saloni Mam will provide a comprehensive introduction to Therapeutic Relationship. She will also share insights on the unique challenges faced by people with these mental health issues. 
=======================================================
00:00 Introduction Therapeutic Relationship
00:34 Therapeutic Relationship
15:17 Website Overview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 magnetbrainsbhopal@gmail.com
➡️ Website : https://www.magnetbrains.com/
➡️ Subscribe to us on YouTube: https://www.youtube.com/channel/UC3HS6gQ79jjn4xHxogw0HiA?sub_confirmation=1
➡️ Subscribe to Magnet Brains Hindi Medium : https://www.youtube.com/channel/UCwO6AYOIRYgyP1KJ5aPbDlw?sub_confirmation=1
➡️Facebook-: https://www.magnetbrains.com/out/facebook
➡️Telegram-: https://www.magnetbrains.com/out/telegram
➡️Instagram:-https://www.magnetbrains.com/out/instagram_main
#class12psychology #2022_23 #boardexam2023 #psychologicaldisorders #magnetbrains 
psychology class 12 chapter 5 question answers
class 12 psychology chapter 5 pdf
class 12 psychology chapter 5 notes pdf
class 12 psychology chapter 5 important questions
class 12 psychology chapter 5 mcq
therapeutic approaches class 12 pdf
case study based questions class 12 psychology chapter 5
therapeutic approaches class 12 ncert solutions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</si>
  <si>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_xD83D__xDC49_Previous Video : https://www.youtube.com/watch?v=kkdSrv511Vg
_xD83D__xDC49_Next Video : https://www.youtube.com/watch?v=9tlYepte4GU
✔️_xD83D__xDCDA__xD83D__xDC49_ Watch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_xD83D__xDCE2_ Full Playlist Link: https://www.youtube.com/playlist?list=PLVLoWQFkZbhXOGREUvTDsMJIgqBcAxnvn
✅ In this video,
✔️ Class: 12th 
✔️ Subject: Psychology
✔️ Chapter: Therapeutic Approaches (Chapter 5)
✔️ Topic Name: Client-Centred Therapy and Gestalt Therapy | Class 12 Psychology Chapter 5
✔️ Topics Covered In This Video (By Saloni Mam): This YouTube video provides an overview of the  Therapeutic Approaches discussed in Class 12 Psychology Chapter 5. Saloni Mam will provide a comprehensive introduction to Client-Centred Therapy and Gestalt Therapy. She will also share insights on the unique challenges faced by people with these mental health issues. 
=======================================================
00:00 Introduction Client-Centred Therapy and Gestalt Therapy
00:42 Client-Centred Therapy and Gestalt Therapy
13:51 Website Overview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 magnetbrainsbhopal@gmail.com
➡️ Website : https://www.magnetbrains.com/
➡️ Subscribe to us on YouTube: https://www.youtube.com/channel/UC3HS6gQ79jjn4xHxogw0HiA?sub_confirmation=1
➡️ Subscribe to Magnet Brains Hindi Medium : https://www.youtube.com/channel/UCwO6AYOIRYgyP1KJ5aPbDlw?sub_confirmation=1
➡️Facebook-: https://www.magnetbrains.com/out/facebook
➡️Telegram-: https://www.magnetbrains.com/out/telegram
➡️Instagram:-https://www.magnetbrains.com/out/instagram_main
#class12psychology #2022_23 #boardexam2023 #psychology #magnetbrains 
psychology class 12 chapter 5 question answers
class 12 psychology chapter 5 pdf
class 12 psychology chapter 5 notes pdf
class 12 psychology chapter 5 important questions
class 12 psychology chapter 5 mcq
therapeutic approaches class 12 pdf
case study based questions class 12 psychology chapter 5
therapeutic approaches class 12 ncert solutions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</si>
  <si>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_xD83D__xDC49_Previous Video : https://www.youtube.com/watch?v=gaYYiQO51Sk
_xD83D__xDC49_Next Video : https://www.youtube.com/watch?v=5h5HyMRrM8E
✔️_xD83D__xDCDA__xD83D__xDC49_ Watch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_xD83D__xDCE2_ Full Playlist Link: https://www.youtube.com/playlist?list=PLVLoWQFkZbhXOGREUvTDsMJIgqBcAxnvn
✅ In this video,
✔️ Class: 12th 
✔️ Subject: Psychology
✔️ Chapter: Therapeutic Approaches (Chapter 5)
✔️ Topic Name: Relaxation Procedures - Therapeutic Approaches | Class 12 Psychology Chapter 5
✔️ Topics Covered In This Video (By Saloni Mam): This YouTube video provides an overview of the  Therapeutic Approaches discussed in Class 12 Psychology Chapter 5. Saloni Mam will provide a comprehensive introduction to Relaxation Procedures. She will also share insights on the unique challenges faced by people with these mental health issues. 
=======================================================
00:00 Introduction Relaxation Procedures
00:41 Relaxation Procedures
13:01 Website Overview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 magnetbrainsbhopal@gmail.com
➡️ Website : https://www.magnetbrains.com/
➡️ Subscribe to us on YouTube: https://www.youtube.com/channel/UC3HS6gQ79jjn4xHxogw0HiA?sub_confirmation=1
➡️ Subscribe to Magnet Brains Hindi Medium : https://www.youtube.com/channel/UCwO6AYOIRYgyP1KJ5aPbDlw?sub_confirmation=1
➡️Facebook-: https://www.magnetbrains.com/out/facebook
➡️Telegram-: https://www.magnetbrains.com/out/telegram
➡️Instagram:-https://www.magnetbrains.com/out/instagram_main
#class12psychology #2022_23 #boardexam2023 #psychology #magnetbrains 
psychology class 12 chapter 5 question answers
class 12 psychology chapter 5 pdf
class 12 psychology chapter 5 notes pdf
class 12 psychology chapter 5 important questions
class 12 psychology chapter 5 mcq
therapeutic approaches class 12 pdf
case study based questions class 12 psychology chapter 5
therapeutic approaches class 12 ncert solutions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</si>
  <si>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_xD83D__xDC49_Previous Video : https://www.youtube.com/watch?v=Up1SRPo0G4o
_xD83D__xDC49_Next Video : https://www.youtube.com/watch?v=hbFtOkoFH6A
✔️_xD83D__xDCDA__xD83D__xDC49_ Watch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_xD83D__xDCE2_ Full Playlist Link: https://www.youtube.com/playlist?list=PLVLoWQFkZbhXOGREUvTDsMJIgqBcAxnvn
✅ In this video,
✔️ Class: 12th
✔️ Subject: Psychology
✔️ Chapter: Therapeutic Approaches (Chapter 5)
✔️ Topic Name: Nature &amp; Process of Psychotherapy | Class 12 Psychology Chapter 5
✔️ Topics Covered In This Video (By Saloni Mam): This YouTube video provides an overview of the  Therapeutic Approaches discussed in Class 12 Psychology Chapter 5. Saloni Mam will provide a comprehensive introduction to the Nature &amp; Process of Psychotherapy. She will also share insights on the unique challenges faced by people with these mental health issues. 
=======================================================
00:00 Introduction Nature &amp; Process of Psychotherapy 
00:36 Nature &amp; Process of Psychotherapy 
21:44 Website Overview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 magnetbrainsbhopal@gmail.com
➡️ Website : https://www.magnetbrains.com/
➡️ Subscribe to us on YouTube: https://www.youtube.com/channel/UC3HS6gQ79jjn4xHxogw0HiA?sub_confirmation=1
➡️ Subscribe to Magnet Brains Hindi Medium : https://www.youtube.com/channel/UCwO6AYOIRYgyP1KJ5aPbDlw?sub_confirmation=1
➡️Facebook-: https://www.magnetbrains.com/out/facebook
➡️Telegram-: https://www.magnetbrains.com/out/telegram
➡️Instagram:-https://www.magnetbrains.com/out/instagram_main
#class12psychology #2022_23 #boardexam2023 #psychology #magnetbrains 
psychology class 12 chapter 5 question answers
class 12 psychology chapter 5 pdf
class 12 psychology chapter 5 notes pdf
class 12 psychology chapter 5 important questions
class 12 psychology chapter 5 mcq
therapeutic approaches class 12 pdf
case study based questions class 12 psychology chapter 5
therapeutic approaches class 12 ncert solutions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</si>
  <si>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_xD83D__xDC49_Previous Video : https://www.youtube.com/watch?v=iNgrR6vl3Fw
_xD83D__xDC49_Next Video : https://www.youtube.com/watch?v=gaYYiQO51Sk
✔️_xD83D__xDCDA__xD83D__xDC49_ Watch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_xD83D__xDCE2_ Full Playlist Link: https://www.youtube.com/playlist?list=PLVLoWQFkZbhXOGREUvTDsMJIgqBcAxnvn
✅ In this video,
✔️ Class: 12th
✔️ Subject: Psychology
✔️ Chapter: Therapeutic Approaches (Chapter 5)
✔️ Topic Name: Behaviour Therapy - Therapeutic Approaches | Class 12 Psychology Chapter 5
✔️ Topics Covered In This Video (By Saloni Mam):  This YouTube video provides an overview of the  Therapeutic Approaches discussed in Class 12 Psychology Chapter 5. Saloni Mam will provide a comprehensive introduction to Behaviour Therapy. She will also share insights on the unique challenges faced by people with these mental health issues. 
=======================================================
00:00 Introduction Behaviour Therapy
00:35 Behaviour Therapy
22:36 Website Overview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 magnetbrainsbhopal@gmail.com
➡️ Website : https://www.magnetbrains.com/
➡️ Subscribe to us on YouTube: https://www.youtube.com/channel/UC3HS6gQ79jjn4xHxogw0HiA?sub_confirmation=1
➡️ Subscribe to Magnet Brains Hindi Medium : https://www.youtube.com/channel/UCwO6AYOIRYgyP1KJ5aPbDlw?sub_confirmation=1
➡️Facebook-: https://www.magnetbrains.com/out/facebook
➡️Telegram-: https://www.magnetbrains.com/out/telegram
➡️Instagram:-https://www.magnetbrains.com/out/instagram_main
#class12psychology #2022_23 #boardexam2023 #psychology #magnetbrains 
psychology class 12 chapter 5 question answers
class 12 psychology chapter 5 pdf
class 12 psychology chapter 5 notes pdf
class 12 psychology chapter 5 important questions
class 12 psychology chapter 5 mcq
therapeutic approaches class 12 pdf
case study based questions class 12 psychology chapter 5
therapeutic approaches class 12 ncert solutions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</si>
  <si>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_xD83D__xDC49_Previous Video : https://www.youtube.com/watch?v=8_Bxq0f7TvA
_xD83D__xDC49_Next Video : https://www.youtube.com/watch?v=kkdSrv511Vg
✔️_xD83D__xDCDA__xD83D__xDC49_ Watch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_xD83D__xDCE2_ Full Playlist Link: https://www.youtube.com/playlist?list=PLVLoWQFkZbhXOGREUvTDsMJIgqBcAxnvn
✅ In this video,
✔️ Class: 12th 
✔️ Subject: Psychology
✔️ Chapter: Therapeutic Approaches (Chapter 5)
✔️ Topic Name: Cognitive Therapy  - Therapeutic Approaches | Class 12 Psychology Chapter 5
✔️ Topics Covered In This Video (By Saloni Mam): This YouTube video provides an overview of the  Therapeutic Approaches discussed in Class 12 Psychology Chapter 5. Saloni Mam will provide a comprehensive introduction to Cognitive Therapy. She will also share insights on the unique challenges faced by people with these mental health issues. 
=======================================================
00:00 Introduction Cognitive Therapy
00:42 Cognitive Therapy
48:38 Website Overview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 magnetbrainsbhopal@gmail.com
➡️ Website : https://www.magnetbrains.com/
➡️ Subscribe to us on YouTube: https://www.youtube.com/channel/UC3HS6gQ79jjn4xHxogw0HiA?sub_confirmation=1
➡️ Subscribe to Magnet Brains Hindi Medium : https://www.youtube.com/channel/UCwO6AYOIRYgyP1KJ5aPbDlw?sub_confirmation=1
➡️Facebook-: https://www.magnetbrains.com/out/facebook
➡️Telegram-: https://www.magnetbrains.com/out/telegram
➡️Instagram:-https://www.magnetbrains.com/out/instagram_main
#class12psychology #2022_23 #boardexam2023 #psychology #magnetbrains 
psychology class 12 chapter 5 question answers
class 12 psychology chapter 5 pdf
class 12 psychology chapter 5 notes pdf
class 12 psychology chapter 5 important questions
class 12 psychology chapter 5 mcq
therapeutic approaches class 12 pdf
case study based questions class 12 psychology chapter 5
therapeutic approaches class 12 ncert solutions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</si>
  <si>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_xD83D__xDC49_Previous Video : https://www.youtube.com/watch?v=dp09rmQPaCs
_xD83D__xDC49_Next Video : https://www.youtube.com/watch?v=7b0aUDs8jvU
✔️_xD83D__xDCDA__xD83D__xDC49_ Watch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_xD83D__xDCE2_ Full Playlist Link:  https://www.youtube.com/playlist?list=PLVLoWQFkZbhXOGREUvTDsMJIgqBcAxnvn
✅ In this video,
✔️ Class: 12th 
✔️ Subject: Psychology
✔️ Chapter: Therapeutic Approaches (Chapter 5)
✔️ Topic Name: Therapeutic Approaches - Introduction | Class 12 Psychology Chapter 5
✔️ Topics Covered In This Video (By Saloni Mam): This YouTube video provides an overview of the  Therapeutic Approaches discussed in Class 12 Psychology Chapter 5. Saloni Mam will provide a comprehensive introduction to the types of psychodynamic therapy, behavioural therapy and rehabilitation to mentally illness explain their underlying causes, symptoms and treatments. She will also share insights on the unique challenges faced by people with these mental health issues. 
=======================================================
00:00 Introduction Therapeutic Approaches
01:57 Overview
07:21 Introduction
14:20 Website Overview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 magnetbrainsbhopal@gmail.com
➡️ Website : https://www.magnetbrains.com/
➡️ Subscribe to us on YouTube: https://www.youtube.com/channel/UC3HS6gQ79jjn4xHxogw0HiA?sub_confirmation=1
➡️ Subscribe to Magnet Brains Hindi Medium : https://www.youtube.com/channel/UCwO6AYOIRYgyP1KJ5aPbDlw?sub_confirmation=1
➡️Facebook-: https://www.magnetbrains.com/out/facebook
➡️Telegram-: https://www.magnetbrains.com/out/telegram
➡️Instagram:-https://www.magnetbrains.com/out/instagram_main
#class12psychology #2022_23 #boardexam2023 #psychologicaldisorders #magnetbrains 
psychology class 12 chapter 5 question answers
class 12 psychology chapter 5 pdf
class 12 psychology chapter 5 notes pdf
class 12 psychology chapter 5 important questions
class 12 psychology chapter 5 mcq
therapeutic approaches class 12 pdf
case study based questions class 12 psychology chapter 5
therapeutic approaches class 12 ncert solutions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</si>
  <si>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_xD83D__xDC49_Previous Video : https://www.youtube.com/watch?v=hbFtOkoFH6A
_xD83D__xDC49_Next Video : https://www.youtube.com/watch?v=3Pf55LwNDXM
✔️_xD83D__xDCDA__xD83D__xDC49_ Watch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_xD83D__xDCE2_ Full Playlist Link: https://www.youtube.com/playlist?list=PLVLoWQFkZbhXOGREUvTDsMJIgqBcAxnvn
✅ In this video,
✔️ Class: 12th
✔️ Subject: Psychology
✔️ Chapter: Therapeutic Approaches (Chapter 3)
✔️ Topic Name: Type of Therapies - Therapeutic Approaches | Class 12 Psychology Chapter 5
✔️ Topics Covered In This Video (By Saloni Mam): This YouTube video provides an overview of the  Therapeutic Approaches discussed in Class 12 Psychology Chapter 5. Saloni Mam will provide a comprehensive introduction to Type of Therapies . She will also share insights on the unique challenges faced by people with these mental health issues. 
=======================================================
00:00 Introduction Type of Therapies
00:51 Type of Therapies
15:08 How did the cause come into existence?
23:32 What is the chief method of treatment?
31:08 What is the nature of the therapeutic relationship between the client and the therapist?
41:36 What is the chief benefit to the client?
51:17 What is the duration of treatment?
57:15 Website Overview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 magnetbrainsbhopal@gmail.com
➡️ Website : https://www.magnetbrains.com/
➡️ Subscribe to us on YouTube: https://www.youtube.com/channel/UC3HS6gQ79jjn4xHxogw0HiA?sub_confirmation=1
➡️ Subscribe to Magnet Brains Hindi Medium : https://www.youtube.com/channel/UCwO6AYOIRYgyP1KJ5aPbDlw?sub_confirmation=1
➡️Facebook-: https://www.magnetbrains.com/out/facebook
➡️Telegram-: https://www.magnetbrains.com/out/telegram
➡️Instagram:-https://www.magnetbrains.com/out/instagram_main
#class12psychology #2022_23 #boardexam2023 #psychology #magnetbrains 
psychology class 12 chapter 5 question answers
class 12 psychology chapter 5 pdf
class 12 psychology chapter 5 notes pdf
class 12 psychology chapter 5 important questions
class 12 psychology chapter 5 mcq
therapeutic approaches class 12 pdf
case study based questions class 12 psychology chapter 5
therapeutic approaches class 12 ncert solutions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</si>
  <si>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_xD83D__xDC49_Previous Video : https://www.youtube.com/watch?v=nvLBMlJfxJ4
_xD83D__xDC49_Next Video : https://www.youtube.com/watch?v=Up1SRPo0G4o
✔️_xD83D__xDCDA__xD83D__xDC49_ Watch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_xD83D__xDCE2_ Full Playlist Link:  https://www.youtube.com/playlist?list=PLVLoWQFkZbhXOGREUvTDsMJIgqBcAxnvn
✅ In this video,
✔️ Class: 12th 
✔️ Subject: Psychology
✔️ Chapter: Psychological Disorders (Chapter 4)
✔️ Topic Name: Substance Related &amp; Addictive Disorders - Psychological Disorders | Class 12 Psychology Chapter 4
✔️ Topics Covered In This Video (By Saloni Mam): This YouTube video provides an overview of the Psychological Disorders discussed in Class 12 Psychology Chapter 4. Saloni Mam will provide a comprehensive introduction to the types of psychological disorders and explain their underlying causes, symptoms and treatments. She will also share insights on the unique challenges faced by people with these mental health issues. 
=======================================================
00:00 Introduction
00:50 Substance Related &amp; Addictive Disorders
20:59 Website Overview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 magnetbrainsbhopal@gmail.com
➡️ Website : https://www.magnetbrains.com/
➡️ Subscribe to us on YouTube: https://www.youtube.com/channel/UC3HS6gQ79jjn4xHxogw0HiA?sub_confirmation=1
➡️ Subscribe to Magnet Brains Hindi Medium : https://www.youtube.com/channel/UCwO6AYOIRYgyP1KJ5aPbDlw?sub_confirmation=1
➡️Facebook-: https://www.magnetbrains.com/out/facebook
➡️Telegram-: https://www.magnetbrains.com/out/telegram
➡️Instagram:-https://www.magnetbrains.com/out/instagram_main
#class12psychology #2022_23 #boardexam2023 #psychology #psychologicaldisorders #magnetbrains 
class 12 psychology chapter 4 pdf
class 12 psychology chapter 4 notes
class 12 psychology chapter 4 question answers
psychological disorders class 12 notes
psychology class 12 chapter 4 notes pdf
psychological disorders class 12 pdf
psychological disorders class 12 important questions
class 12 psychology chapter 4 important questions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</si>
  <si>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_xD83D__xDC49_Previous Video : https://www.youtube.com/watch?v=hOqZN-pxO_8 
_xD83D__xDC49_Next Video : https://www.youtube.com/watch?v=dp09rmQPaCs
✔️_xD83D__xDCDA__xD83D__xDC49_ Watch Full Free Course: https://www.magnetbrains.com
✔️_xD83D__xDCDA__xD83D__xDC49_ Get Any Class &amp; Subject's Topic Video Here:- https://www.magnetbrains.com/get-topic-wise-video
✔️_xD83D__xDCDA__xD83D__xDC49_ Get All Subjects Playlists: ​https://www.pabbly.com/out/all-videos-playlist
✔️_xD83D__xDCDA__xD83D__xDC49_ Grab Notes by Expert Teachers Here: https://www.pabbly.com/out/magnet-brains
✔️_xD83D__xDCDA__xD83D__xDC49_ Get E-Books Prepared by Our Expert Teachers: https://www.magnetbrains.com/book_purchase
=======================================================
_xD83D__xDCE2_ Full Playlist Link: https://www.youtube.com/playlist?list=PLVLoWQFkZbhXOGREUvTDsMJIgqBcAxnvn
✅ In this video,
✔️ Class: 12th
✔️ Subject: Psychology
✔️ Chapter: Psychological Disorders (Chapter 4)
✔️ Topic Name: Feeding and Eating Disorders
✔️ Topics Covered In This Video (By Saloni Mam): This YouTube video provides an overview of the Feeding and Eating Disorders discussed in Class 12 Psychology Chapter 4. Saloni Mam will provide a comprehensive introduction to the types of psychological disorders and explain their underlying causes, symptoms and treatments. She will also share insights on the unique challenges faced by people with these mental health issues. 
=======================================================
00:00 Introduction : Feeding and Eating Disorders
00:29 Feeding and Eating Disorders:
08:10 Feeding and Eating Disorders:
        bulimia nervosa,
14:23 Website Overview 
=======================================================
Why study from Magnet Brains?
Magnet Brains is an online education platform that helps gives you NCERT/CBSE curriculum-based free full courses from Kindergarten to Class 12th so that you can perform well in any and all exams you give in your academic career.
_xD83D__xDC49_ Contact us _xD83E__xDD11__xD83E__xDD11_
➡️ Connect with us : magnetbrainsbhopal@gmail.com
➡️ Website : https://www.magnetbrains.com/
➡️ Subscribe to us on YouTube: https://www.youtube.com/channel/UC3HS6gQ79jjn4xHxogw0HiA?sub_confirmation=1
➡️ Subscribe to Magnet Brains Hindi Medium : https://www.youtube.com/channel/UCwO6AYOIRYgyP1KJ5aPbDlw?sub_confirmation=1
➡️Facebook-: https://www.magnetbrains.com/out/facebook
➡️Telegram-: https://www.magnetbrains.com/out/telegram
➡️Instagram:-https://www.magnetbrains.com/out/instagram_main
#feeding #eatingdisorder  #disorders  #class12psychology #2022_23 #boardexam2023 #magnetbrains 
class 12 psychology chapter 4 notes
psychology class 12 chapter 4 question answers
psychology class 12 chapter 4 notes pdf
class 12 psychology chapter 4 pdf
psychological disorders class 12 notes
psychological disorders class 12 pdf
psychology chapter 4 class 11
chapter 4 psychology class 12 mcq
Disclaimer: "This video is for educational and informational purposes only and is not intended to infringe on any copyrights. If you believe that this video has used any copyrighted material in a way that constitutes copyright infringement, please contact us at contact@magnetbrains.com and we will take appropriate action."</t>
  </si>
  <si>
    <t>D20211098602
NUR IZAZI ADILAH BT MOHD KHAIRIL AZMAN PANJABI</t>
  </si>
  <si>
    <t>Watch time: 3:21 minutes 
Chapters:
00:00 Tips for teachers of students with conduct disorders
00:19 Be clear about what behaviours you expect
01:02 Focus on the positives
01:24 Try to look beyond immediate behaviour
01:57 Be clear with instructions &amp; sanctions
02:33 Work together to support children with conduct disorders
02:54 Thank you!
This film gives Tips for Teachers who have a child in their class with challenging behaviours or Conduct Disorder/Oppositional Defiant Disorder (ODD). 
For more information, the accompanying comprehensive Fact Sheets and additional resources visit us at https://nipinthebud.org/
Please Like and subscribe if you would like to see more of our films on children's mental health and wellbeing - we'd really appreciate it and we think you will too.
For more information you can also watch more films in our Conduct Disorder in young children Playlist:
https://www.youtube.com/playlist?list=PLS65xMu-topWbjoDrGyK5N7XizCGfGaIY
These films range from how teachers and carers can help support children who may be living with conduct disorders to hearing from families' first-hand experiences. 
Perhaps you're a parent whose child lives with ODD? This parent talks about her experience of her daughter's ODD, which also occurs with ADHD: 
https://www.youtube.com/playlist?list=PLS65xMu-topUtEYFvxQ0co2TrxJ-C1AeB
Here are a wealth of our other films for anyone interesting in children's mental health here:
Young children's mental health tips for Parents &amp; Carers Playlist:
https://www.youtube.com/playlist?list=PLS65xMu-topXHqCqGCHl3dd0nJ5D8kboE
These films range from short films with tips on how to help children look after their mental health to insights into tips for teachers in the classroom if their students are experiencing symptoms of mental illness, neurodiverse or neurodevelopmental issues, or how to handle disclosures from children to anxiety about covid or going back to school. 
Mental Health tips for Teachers of young children Playlist
https://www.youtube.com/playlist?list=PLS65xMu-topUH3FxJmIlA0F6cu-F6KC1G
Please  Like this film and subscribe if you would like to see more of our films on children's mental health and wellbeing - we'd really appreciate it and we think you will too.
Learn more about Children's Mental Health on our website: 
Children's Mental Health https://nipinthebud.org/
ADHD https://nipinthebud.org/adhd-in-children/
Anxiety https://nipinthebud.org/anxiety-in-children/
Autism Spectrum Condition https://nipinthebud.org/autism-in-children/
Conduct Disorder/ODD https://nipinthebud.org/conduct-disorders-in-children/
Depression https://nipinthebud.org/depression-in-children/
OCD https://nipinthebud.org/ocd-in-children/
PTSD https://nipinthebud.org/ptsd-in-children/
Find us on social media: 
Facebook https://www.facebook.com/NipintheBudFilm/
Instagram https://www.instagram.com/nipinthebudfilm/
Twitter https://twitter.com/nipinthebudfilm
LinkedIn https://www.linkedin.com/company/nip-in-the-bud/</t>
  </si>
  <si>
    <t>Learn about Psychosocial hazards and their importance within practices.
Due to changing circumstances in recent years, many practices may have experienced a range of psychosocial hazards and, as a manager, staying on top of them can be challenging. 
This informative 30-minute webinar  discusses the hazards practices face and provide tips and strategies to conquer them.
Our expert presenters, Avant Risk Adviser, Angela Mason-Lynch and PracticeHub’s Product Adoption Manager, Anna-Maria Gibb, will cover:
- the backgrounds to psychosocial hazards and WHS regulations 
- recognising psychosocial hazards and risks in your practice
- proactive strategies to help you mitigate the risk of psychosocial hazards
- new responsibilities for managers and employers under workplace safety law
- the importance of appropriate workplace behaviour and other related policies.</t>
  </si>
  <si>
    <t>Bulimia Nervosa is very real, this video is to help spread awareness and possibly even save the lives of others around you.</t>
  </si>
  <si>
    <t>FVR - Finnish Vaccine Research has a team of specialists who have conducted two major clinical studies of CMV vaccines over several years, enrolling healthy women under 40 years of age.
Our track-record of enrolling participants for these studies is good, despite screening criteria that limit the number of qualified participants, such as contact with young children, seronegativity or –positivity of the subject, or long commitment to study.
In addition to vaccine trials aiming at obtaining a license for marketing authorization, we also offer phase 4 Real-World Evidence studies and large-scale pragmatic field trials, conducted together with healthcare providers.
Outi Laajalahti, ​Regional Lead Physician, explains. 
​Read more: www.fvr.fi/en</t>
  </si>
  <si>
    <t>សំណួរនិងចម្លើយទាក់ទងទៅនិងផ្នែកអប់រំពិសេស
 តើអូទីស្សឹមអាចព្យាបាលឲ្យជាបានដែរឬទេ? 
វីដេអូមួយនេះគឺឆ្លើយតបទៅនឹងសំណួរដែលបានសួរជាញឹកញាប់នៅក្នុងមតិយោបល់និងសារឯកជន។ ថ្ងៃនេះខ្ញុំបានជ្រើសរើសសំណួរចំនួន៦ទាក់ទងជាមួយអូទីស្សឹមនិង ADHD ដើម្បីពន្យល់លម្អិតបន្ថែមទាក់ទងជាមួយនិងបញ្ហានេះ។ សំណួរមានដូចជា៖ ទី ១ កុមារមានអូទីស្សឹមពេលធំឡើងតើអាចមានសភាពធម្មតាវិញដែរឬទេ? ទី ២ ក្មេងដែរមានautism ហេតុអ្វីបានជាមិននិយាយស្តី? ដល់ពេលធំឡើង
តើអាចនិយាយស្តីដូចគេដែរឬទេ? ទី ៣ ហេតុអ្វីបានជាកុមារដែលមានautismនិយាយដដែលៗ? តើមានវិធីអ្វីដែលអាចជួយឲ្យគាត់ឈប់និយាយដដែលៗ? ទី ៤ តើ autism នឹង adhd ដូចគ្នាឬក៏ខុសគ្នា? ទី៥ តើភាពខុសគ្នារវាងautism នឹង adhd មានអ្វីខ្លះ? ទី ៦ តើadhd អាចកើតចំពោះមនុស្សមានវ័យចន្លោះពី១៨ឆ្នាំ ទៅដល់២០ឆ្នាំដែរឬទេ?
Special education resources and information are available online in Khmer and English to support special needs students and parents in Cambodia. Resources are available in articles and videos. This online information is also for the purpose of raising more awareness of special education and strategies that can be implemented to support kids at homes and schools.
Website English► https://www.specialeducationcambodia.com/ 
Website Khmer► https://www.specialeducationcambodia.com/kh/
Follow us on Social Media: 
Facebook _xD83C__xDF0D_ https://www.facebook.com/SpecialEducationCambodia/
Instagram _xD83C__xDF0D_ https://www.instagram.com/specialeducationcambodia/ 
Twitter _xD83C__xDF0D_ https://twitter.com/Special62378660 
Reddit _xD83C__xDF0D_ https://www.reddit.com/user/specialeducationcamb</t>
  </si>
  <si>
    <t>Cyber Services Snapshot 3 - Sandra Cole, Beazley</t>
  </si>
  <si>
    <t>‘No win – no fee’ doesn’t mean there is nothing to pay. Before you consider this type of agreement with your lawyer, learn some of the pitfalls to avoid so you don’t end up out of pocket if your case is not successful.
Former radio presenter and lawyer Kathy Bedford speaks with Jennie Pakula, our legal expert in consumer protection and innovation.
Proudly presented as part of Victorian Law Week 15-21 May 2023. Watch our legal webinar to learn more about ‘no win – no fee’ agreements and how to make informed choices.
Video segments
0:00 Kathy Bedford introduces our legal expert, Jennie Pakula 
1:20 What is a ‘no win – no fee’ agreement?
2:16 What sorts of legal cases are 'no win – no fee’ agreements used for?
2:43 What is a successful outcome (or win) and how is it defined?
4:03 What do you need to look out for in the costs agreement before your sign a 'no win – no fee' agreement?
6:00 What is a contingency fee and is it legal?
6:49 What should you ask your lawyer about the cost estimate?
10:08 What if you have a problem with your lawyer? 
13:44 What if a formal offer of settlement is made?  
14:43 What should I look for in my lawyer’s bill?
17:58 What is a class action?
Summary
20:00 What are they key things to know about 'no win – no fee' agreements?</t>
  </si>
  <si>
    <t>Phoebe Freeman explains that all concussions should be taken seriously. Learn more with our free, Sport-Related Concussion Short Course at: https://www.connectivity.org.au/courses/sport-related-concussion-course/</t>
  </si>
  <si>
    <t>Vitamin B12 deficiency is a critical health concern that can lead to various symptoms, affecting both physical and mental well-being. Being aware of these symptoms can help you identify and address any potential deficiency early on.
Persistent fatigue and weakness are classic early indicators of Vitamin B12 deficiency, as this essential nutrient plays a vital role in energy production and red blood cell formation. A diminished oxygen supply to cells and tissues can result in an overwhelming sense of exhaustion.
Neurological symptoms, such as numbness and tingling in the extremities, difficulty with balance and coordination, and memory loss, are also associated with Vitamin B12 deficiency due to its impact on the nervous system. Gastrointestinal disturbances, including loss of appetite, constipation or diarrhea, and a sore or swollen tongue, can also be linked to insufficient Vitamin B12 levels.
Vitamin B12 deficiency can lead to megaloblastic anemia, characterized by abnormally large and immature red blood cells, resulting in symptoms such as pallor, rapid heartbeat, and shortness of breath. Additionally, mood disturbances like depression, anxiety, irritability, and mood swings may arise from a lack of Vitamin B12, which is crucial for synthesizing mood-regulating neurotransmitters.
If you suspect a deficiency, consult a healthcare professional for appropriate diagnostic testing and treatment options. Early intervention is key to mitigating potential complications and ensuring optimal health.
Shop Zooki: https://zooki.com/collections/all 
About the author: https://zooki.com/pages/sarah-carolides</t>
  </si>
  <si>
    <t>Vitamin B12, or cobalamin, is an essential nutrient that helps keep our bodies healthy and strong. It has a unique structure with a cobalt atom at its center, which is why it's called "cobalamin."
This amazing vitamin plays a key role in keeping our cells working smoothly. It helps with DNA creation, forming red blood cells, and keeping our nervous system in top shape. If we don't get enough B12, we might experience anemia, nerve issues, or even cognitive problems.
But here's the catch: our bodies can't make B12 on their own. We need to get it from the food we eat. You can find B12 in animal-based foods like meat, fish, dairy, and eggs. For those with special diets, there are also fortified foods and supplements available to help meet your B12 needs.
Getting B12 from our food into our bodies isn't always straightforward. A protein called intrinsic factor, made in our stomach, helps B12 absorption in the small intestine. Sometimes, factors like aging, medications, or digestive problems can interfere with this process, causing a deficiency. So, it's essential to be mindful of our B12 intake to stay healthy and energised!</t>
  </si>
  <si>
    <t>As people increasingly prioritise their well-being, it's important to understand the benefits of essential nutrients like Vitamin B12. This vital nutrient offers a multitude of advantages that can significantly impact your overall health.
Arguably the most noticeable function of Vitamin B12 is its role in supporting energy production, which it does by helping to convert the food you consume into usable energy, reducing fatigue, and improving overall vitality. It also has a positive impact on mood regulation, contributing to better mental health and emotional well-being by aiding the synthesis of neurotransmitters such as serotonin and dopamine.
Deep beneath the surface, Vitamin B12 is crucial for maintaining a healthy nervous system, as it plays a key role in the synthesis of myelin, the protective layer surrounding nerve fibres. It also promotes cardiovascular health by regulating homocysteine levels, an amino acid associated with an increased risk of heart disease.
This stalwart of the B vitamin family is also indispensable in the production of red blood cells, which transport oxygen throughout the body, DNA and certain immune cells, that help protect against infections and diseases.
Taking steps to make certain you’re not only getting enough Vitamin B12 in your diet, but also that you’re absorbing it effectively, is key to optimising health and longevity.</t>
  </si>
  <si>
    <t>Watch time: 52:00 seconds 
Damien talks to the Nip in the Bud team about his experience of a child living on the Autism Spectrum. The stress, demands and worry of parenting a child with additional needs can be tough and can test the most resilient of parents.
To watch the full film, where we talk to Damien and 2 other dads  who have an active and engaged role in looking after their child with additional needs - see this link: https://youtu.be/NmrSiOn1rgY
In this film, Damien, Anil and Usman open up about the challenges they have faced, the reality of the day-to-day, things they have learned along the way and where they have turned to look for support.
To watch more films about children and their parents' experience of Autism or find out more from evidence-based experts who work in this field see more in our Playlist here: https://www.youtube.com/playlist?list=PLS65xMu-topXJH4PEF2lICZErPntaTlXJ 
If you need more information we also have more films about conditions &amp; experiences ( such as Anxiety, ADHD, Autism, Conduct Disorder, Depression, OCD, Self-Harm, Eating Disorders and PTSD) which all have accompanying comprehensive Fact Sheets and additional resources visit us at https://nipinthebud.org/
Please Like this film, subscribe and follow us if you would like to see more of our films on children's mental health and well-being - we'd really appreciate it and we think you will too.
To learn more about Children's Mental Health on our website: 
Children's Mental Health: https://nipinthebud.org/
ADHD: https://nipinthebud.org/adhd-in-child...
Anxiety: https://nipinthebud.org/anxiety-in-ch...
Autism Spectrum Condition: https://nipinthebud.org/autism-in-chi...
Conduct Disorder/ODD: https://nipinthebud.org/conduct-disor...
Depression: https://nipinthebud.org/depression-in...
OCD: https://nipinthebud.org/ocd-in-children/
PTSD: https://nipinthebud.org/ptsd-in-child...
Self Harm: https://nipinthebud.org/films-teacher...
Eating Disorders: https://nipinthebud.org/films-teacher...
Emotional Wellbeing | https://nipinthebud.org/films-parents...
Navigating how to get support for your child / ECHP /Early Intervention: https://nipinthebud.org/films-parents...
Find us on social media: 
Facebook https://www.facebook.com/NipintheBudF...
Instagram https://www.instagram.com/nipinthebud...
Twitter https://twitter.com/nipinthebudfilm
LinkedIn https://www.linkedin.com/company/nip-...</t>
  </si>
  <si>
    <t>Watch time: 08.30 minutes
Around 1.25 million people in the UK suffer from eating disorders. 
These disorders can cause serious harm, both physically and emotionally, and they have the highest mortality rate of any mental illness.
Early diagnosis, intervention and treatment are critical.
To understand more about Eating disorders watch our 8 and a half-minute film and download our fact sheet. If you're a parent with a child who you think may have Anorexia many parents appreciate our Life Experience films and the support they give - here Jenny Langley, author of ‘Boys Get Anorexia Too’ talks about her experience when her son developed an eating disorder and his subsequent recovery: https://youtu.be/BLD0Syj6goQ
For more information on how to access help and support, go to the Nip in the Bud ‘Where to go for help page’. https://nipinthebud.org/where-to-go-for-help/
Please Like and subscribe if you would like to see more of our films on children's mental health and wellbeing - we'd really appreciate it and we think you will too.
Nip in the Bud® was set up to encourage awareness about mental health disorders in young children. For more information, the accompanying comprehensive Fact Sheets and additional resources visit us at https://nipinthebud.org/
Perhaps you're a parent whose child is experiencing anxiety? We have more films for you in our Anxiety in young children Playlist
https://www.youtube.com/playlist?list=PLS65xMu-topWH_QiLb-602y5rdtoqF1eX
These films range from how teachers and carers can help support children who may be experiencing Anxiety to hearing from families and children's first-hand experiences.
If you're a teacher or someone who works with young children you can find more information and inspiration here:
Mental Health Tips for Teachers of young children Playlist
https://www.youtube.com/playlist?list=PLS65xMu-topUH3FxJmIlA0F6cu-F6KC1G
Our films range from tips for teachers in the classroom can use if their students are experiencing symptoms of mental illness, neurodiverse or neurodevelopmental issues, to handling disclosures from children, anxiety about covid or going back to school. We also have short films with tips on how to help children look after their mental health.
Learn more about Children's Mental Health on our website: 
Children's Mental Health https://nipinthebud.org/
ADHD https://nipinthebud.org/adhd-in-children/
Anxiety https://nipinthebud.org/anxiety-in-children/
Autism Spectrum Condition https://nipinthebud.org/autism-in-children/
Conduct Disorder/ODD https://nipinthebud.org/conduct-disorders-in-children/
Depression https://nipinthebud.org/depression-in-children/
OCD https://nipinthebud.org/ocd-in-children/
PTSD https://nipinthebud.org/ptsd-in-children/
Self Harm https://nipinthebud.org/self-harm/
Find us on social media: 
Facebook https://www.facebook.com/NipintheBudFilm/
Instagram https://www.instagram.com/nipinthebudfilm/
Twitter https://twitter.com/nipinthebudfilm
LinkedIn https://www.linkedin.com/company/nip-in-the-bud/</t>
  </si>
  <si>
    <t>Watch time: 4:36 minutes 
Chapters:
00:00 Sian introduces Anxiety Tips for teachers
00:38 Respond to anxious children in the moment
01:01 Create a calming corner in the classroom
01:56 Adopt a "whole-class" approach to manage anxiety
02:51 Facing fears, step by step
03:37 Watch out for reassurance seeking in anxious children
03:56 Notice, Reflect, Think, Act
04:08 Thank you!
This film gives Tips for Teachers who have a child or children in their class who are either experiencing symptoms of Anxiety or have a known diagnosis of an Anxiety Disorder. 
For more information, the accompanying comprehensive Fact Sheets and additional resources visit us at https://nipinthebud.org/
Please Like and subscribe if you would like to see more of our films on children's mental health and wellbeing - we'd really appreciate it and we think you will too.
If you're a teacher or a parent concerned about your children's anxiety levels why not learn more, find out more on how to support them here with our Anxiety playlist: https://www.youtube.com/playlist?list=PLS65xMu-topWH_QiLb-602y5rdtoqF1eX
Here are a wealth of our other films for anyone interesting in children's mental health here:
Young children's mental health tips for Parents &amp; Carers Playlist:
https://www.youtube.com/playlist?list=PLS65xMu-topXHqCqGCHl3dd0nJ5D8kboE
These films range from short films with tips on how to help children look after their mental health to insights into tips for teachers in the classroom if their students are experiencing symptoms of mental illness, neurodiverse or neurodevelopmental issues, or how to handle disclosures from children to anxiety about covid or going back to school. 
We also have more Mental Health tips for Teachers of young children in this Playlist:
https://www.youtube.com/playlist?list=PLS65xMu-topUH3FxJmIlA0F6cu-F6KC1G
Wellbeing tips for young children Playlist
https://www.youtube.com/playlist?list=PLS65xMu-topXUCBYOFDrShCQPvdYihfLy
Please  Like this film and subscribe if you would like to see more of our films on children's mental health and wellbeing - we'd really appreciate it and we think you will too.
Learn more about Children's Mental Health on our website: 
Children's Mental Health https://nipinthebud.org/
ADHD https://nipinthebud.org/adhd-in-children/
Anxiety https://nipinthebud.org/anxiety-in-children/
Autism Spectrum Condition https://nipinthebud.org/autism-in-children/
Conduct Disorder/ODD https://nipinthebud.org/conduct-disorders-in-children/
Depression https://nipinthebud.org/depression-in-children/
OCD https://nipinthebud.org/ocd-in-children/
PTSD https://nipinthebud.org/ptsd-in-children/
Find us on social media: 
Facebook https://www.facebook.com/NipintheBudFilm/
Instagram https://www.instagram.com/nipinthebudfilm/
Twitter https://twitter.com/nipinthebudfilm
LinkedIn https://www.linkedin.com/company/nip-in-the-bud/</t>
  </si>
  <si>
    <t>glossary for learning technical words in the field of commercial real estate
learn more here https://englishonline.training/2023/05/09/english-for-commercial-real-estate/</t>
  </si>
  <si>
    <t>#health #juicing #juicerecipe #healthylifestyle #chlorophyll #greenjuice</t>
  </si>
  <si>
    <t>#psychology | #types | #branches | #definitions | #briefly | #lady_psychologist 
~~~~~~~~~~~~~~~~~~~~~~~~~~~~~~~~~~~~~~~~~~~~~~~
Psychology is a diverse field that encompasses various approaches and subfields. Here are some major types or branches of psychology:
Clinical Psychology: Clinical psychologists assess, diagnose, and treat mental disorders and psychological problems. They work with individuals, families, and groups to provide therapy and interventions.
Cognitive Psychology: Cognitive psychologists study mental processes such as perception, attention, memory, problem-solving, and language. They investigate how people acquire, process, and store information and how cognitive processes influence behavior.
Developmental Psychology: Developmental psychologists focus on the psychological changes that occur throughout a person's lifespan. They study physical, cognitive, social, and emotional development from infancy to old age.
Social Psychology: Social psychologists examine how individuals' thoughts, feelings, and behaviors are influenced by social interactions and the presence of others. They study topics such as conformity, persuasion, group dynamics, and attitudes.
Experimental Psychology: Experimental psychologists conduct research and experiments to understand basic psychological processes. They investigate various areas such as perception, learning, motivation, and cognition using controlled laboratory settings.
Forensic Psychology: Forensic psychologists apply psychological principles to the legal and criminal justice systems. They work in areas such as criminal profiling, assessing competency, providing expert testimony, and treating individuals involved in legal cases.
Industrial/Organizational Psychology: Industrial/organizational (I/O) psychologists apply psychological principles in the workplace. They focus on areas like employee selection, training and development, job satisfaction, and organizational behavior.
Educational Psychology: Educational psychologists study learning processes and the application of psychological principles in educational settings. They examine topics such as student motivation, instructional methods, and educational interventions.
Health Psychology: Health psychologists investigate the psychological factors that influence physical health and well-being. They study topics like stress, health behaviors, coping mechanisms, and the impact of psychological factors on illness and treatment.
Neuropsychology: Neuropsychologists explore the relationship between brain function and behavior. They assess and diagnose cognitive deficits resulting from brain injuries or neurological disorders, and they often work closely with medical professionals.
~~~~~~~~~~~~~~~~~~~~~~~~~~~~~~~~~~~~~~~~~~~~~~~
Tools I used for video: @canva for thumbnail
@Pictory for video generation 
@HoiChatGPT for script
**************************************************************************
#foryou #pictoryai #chatgpt #canva # psychology #typesofpsychology #branchesofpsychology #breiflyexplained #defintions #lady_psychologist</t>
  </si>
  <si>
    <t>There are various theoretical perspectives on narcissism, each with its own assumptions, approaches, and implications. In this video, I will explore five different perspectives on narcissism, including the psychoanalytic, social-cognitive, trait, interpersonal, and clinical perspectives.
 By examining these perspectives, I hope to provide readers with a comprehensive understanding of narcissism and how it can manifest in different ways. Additionally, I invite readers to consider which perspective(s) resonates with their own experiences and perspectives on narcissism.
Read full article here
https://narcissisthunters.com/perspectives-on-narcissism/</t>
  </si>
  <si>
    <t>#chlorophyll #chlorophyllwater #liquidchlorophyll #vitamins 
Chlorophyll Water®, recognized by the Green Business Bureau as “Good for the Mind, the Body, and the Planet,”  is a plant-powered purified mountain spring water enhanced with the addition of Chlorophyll, a key ingredient and the distinct green pigment in plant life.
Chlorophyll Water:
https://ChlorophyllWater.com/
Chlorophyll Water® is bottled at the source in Pennsylvania, a preserved natural resource protected from all of the elements by a 1,500-acre forest. The purified mountain spring water in Chlorophyll Water® is then distilled and refined through a three-part purification process, which is triple filtered (including carbon filtration), and then UV treated for purity and quality. Each bottle of Chlorophyll Water® is then fortified with additional vitamin A, vitamin B12, vitamin C and vitamin D for enhanced nutrition.
Noted by Goop for its detox properties, by Pop Sugar as a “potent antioxidant” and by women’s wellness website She Finds as an “anti-aging drink recommended by dermatologists”, Chlorophyll, the main ingredient in Chlorophyll Water®, has been reported to be the #1 ranked beauty ingredient for 2022 by WWD, while the Zoe Report, a website dedicated to beauty and wellness, declared “green is the new black,” Chlorophyll Water, the #1 nutrition trend to follow in 2022 to “boost immunity and energy.”
This past year, Chlorophyll Water® ( https://www.instagram.com/ChlorophyllWater ) has also gained mainstream popularity on social media with the hashtags #chlorophyll and #chlorophyllwater amassing over 580 million mentions on TikTok. Many social media users are raving about the benefits of chlorophyll and sharing their personal results of drinking liquid chlorophyll - everything from anti-aging to clearing up acne, glowing and healthy skin, speeding up metabolism, immune-boosting properties, weight loss, detoxification, and boosting energy.
With the surge in demand, “…after influencers raved about the health properties of Chlorophyll Water, the brand [Chlorophyll Water®] quickly sold out…the small company's product has been flying off of shelves," according to MSN Money in an article entitled "Can't Find the Chlorophyll Water."
Chlorophyll Water® has been featured in the pages of Vogue Magazine as a fashionable hydrating prop with supermodel Kaia Gerber, with Vogue stating chlorophyll “truly is a powerhouse ingredient, worthy of its enduring appeal" and adding that it contributes to "overall good health (and all the good things that come with it, including radiant skin).” While chlorophyll has become part of the daily health routines for celebrities such as Jennifer Lawrence, Gwyneth Paltrow and Reese Witherspoon. Kourtney Kardashian, on her Poosh website, in an article entitled “The Tonics and Supplements I Use Daily,” says drinking Chlorophyll Water® makes Kardashian feel like she’s “multitasking by staying hydrated while also getting important nutrients” her body needs.
With the popularity, Better Homes &amp; Gardens has declared Chlorophyll Water “The Latest Green Nutritional Trend Taking Over Grocery Stores,” calling it “one of the latest trends for improving health…the research that’s available does suggest the health benefits of chlorophyll include antioxidant activity, gut-health promotion, and anti-inflammation effects.”
Health enthusiasts, nutritionists and yoga teachers have long been advocates of the many benefits of chlorophyll. Celebrity nutritionist Kelly Leveque shared to Harper’s Bazaar in an article entitled “Tips to Get a Flat Stomach-The Healthy” to “down chlorophyll.”
Yogi Approved, an online yoga and healthy lifestyle publication, stated, “Due to chlorophyll’s incredible nutritional value, sipping on liquid chlorophyll daily will [have] an advantageous effect in your overall skin health as this ‘super food’ is packed with a range of mighty nutrients.” The proposed nutrients in chlorophyll led Glamour magazine to publish an article called “Drinking Liquid Chlorophyll Gave Me the Best Skin of My Life” – with “potent anti-aging benefits,” the journalist stated that within a week of drinking liquid chlorophyll her energy increased and she experienced “an almost instantaneous change” to her face’s skin tone.
For More Information on Chlorophyll Water:
https://ChlorophyllWater.com/</t>
  </si>
  <si>
    <t>An absessed tooth can lead to endocarditis!!
Suggest your queries we will solve you
Knowledge Madnoob
Thank You For Your Support 
We've a Youtube Channel Which Is Based On HEALTH
Subscribe To Our Channel For Daily Morning Videos About  Health, Diseases, COVID Updates, Discussing Topics For Medical Students
We are a team of medical Professionals
Mr. S ILIYYAS AHAMMED
MRS.RIZWANA RASHID
Our Aim to Provide a Better Education, Daily Updates About Medical Field
Our Vision You the People Who are seeing this video and updating your knowledge
If You Have Any Doubt Regarding Any Medical Topics Feel Free To Contact Our TEAM
Our Youtube Channel
https://www.youtube.com/c/KnowledgeMadNoob
Our Facebook Page
https://www.facebook.com/Knowledge-Madnoob-103820848054192/
Instagram
https://instagram.com/knowledge_madnoob?igshid=nwbygh2oz5ym
Podcasts on all major platforms
https://anchor.fm/knowledge-madnoob</t>
  </si>
  <si>
    <t>Vaginal Pain During Sitting,intercourse|Symptoms,causes,Management
Suggest your queries we will solve you
Knowledge Madnoob
Thank You For Your Support 
We've a Youtube Channel Which Is Based On HEALTH
Subscribe To Our Channel For Daily Morning Videos About  Health, Diseases, COVID Updates, Discussing Topics For Medical Students
We are a team of medical Professionals
Mr. S ILIYYAS AHAMMED
MRS.RIZWANA RASHID
Our Aim to Provide a Better Education, Daily Updates About Medical Field
Our Vision You the People Who are seeing this video and updating your knowledge
If You Have Any Doubt Regarding Any Medical Topics Feel Free To Contact Our TEAM
Our Youtube Channel
https://www.youtube.com/c/KnowledgeMadNoob
Our Facebook Page
https://www.facebook.com/Knowledge-Madnoob-103820848054192/
Instagram
https://instagram.com/knowledge_madnoob?igshid=nwbygh2oz5ym
Podcasts on all major platforms
https://anchor.fm/knowledge-madnoob
why sex hurts,pelvic pain during sex,why is sex painful,how to reduce pain during sex</t>
  </si>
  <si>
    <t>3 Possible Signs of stroke | How to identify?? |stroke (disease or medical condition)
Suggest your queries we will solve you
Knowledge Madnoob
Thank You For Your Support 
We've a Youtube Channel Which Is Based On HEALTH
Subscribe To Our Channel For Daily Morning Videos About  Health, Diseases, COVID Updates, Discussing Topics For Medical Students
We are a team of medical Professionals
Mr. S ILIYYAS AHAMMED
MRS.RIZWANA RASHID
Our Aim to Provide a Better Education, Daily Updates About Medical Field
Our Vision You the People Who are seeing this video and updating your knowledge
If You Have Any Doubt Regarding Any Medical Topics Feel Free To Contact Our TEAM
Our Youtube Channel
https://www.youtube.com/c/KnowledgeMadNoob
Our Facebook Page
https://www.facebook.com/Knowledge-Madnoob-103820848054192/
Instagram
https://instagram.com/knowledge_madnoob?igshid=nwbygh2oz5ym
Podcasts on all major platforms
https://anchor.fm/knowledge-madnoob
health (industry),stroke treatment,transient ischemic attack,stroke prevention,ischemic stroke,hemorrhagic stroke,blood clot,heart disease,stroke symptoms,medicine (field of study),disease (cause of death),how is stroke diagnosed,what is the treatment for stroke,stroke warning signs</t>
  </si>
  <si>
    <t>Being happy is a myth. Happiness is not long lasting nor can we live in a state of eternal bliss &amp; euphoria. Life on earth is meant to be challenging. Life on earth is meant to be hard, make you cry, anxious, scared, angry, and lonely sometimes. We think that we can somehow capture happiness, when we experience it we want to hold onto it forever. We get addicted to these feelings of Euphoria and excitement. We live in constant longing for these feelings of happiness, but it is precisely that, that enables us to experience more of these moments. Because that’s what they truly are, just moments of happiness. You see, when you learn how to cultivate more of these moments you stop identifying yourself with the brief experience. Wether it be happy or sad you realize they are all just passing emotions. In earning how to cultivate these emotions of joy you allow yourself to experience them more often without wanting them to stay forever. From a perspective of gratitude you stop chasing happiness and start enjoying moments of joy… the more you do this the happier you will naturally become ✨✨❤️❤️ Be Joyful.
#explorepage #joy #selfcare #awakening #selfacceptance #love #unity #spirituality #introspective #estherhicks #lawofattraction 
✨✨✨✨✨✨✨✨✨✨✨✨✨✨
Prwwtygem ✨_xD83D__xDC51__xD83D__xDC9D_⬇️⬇️⬇️
FACEBOOK @https://www.facebook.com/XoyRee
INSTAGRAM@https://www.instagram.com/xoy_reee/
SNAPCHAT@prwwtygem
Jaden ✨_xD83C__xDFA5_❤️⬇️⬇️⬇️
FACEBOOK @https://www.facebook.com/jadenmoody/
INSTAGRAM@https://instagram.com/jadenmoodyphotography?
SNAPCHAT@jadenmoody
❌❌❌
DISCLAIMER: I am not a licensed professional on any of the topics I share tips and talk about. My entire channel is based on personal perspective, lessons, and acquired wisdom. It is in good faith, however I here by do not guarantee the accuracy and validity of any of my words/ statements/ actions/ or intended statements on any of my videos. Through my eyes, my world, sharing lessons for you❤️ thank you for watching &amp; blessings.</t>
  </si>
  <si>
    <t>To all the Kids who never seen the 1985 movie The Breakfast Club. (EVERYONE SHOULD) Fortnite ripped off there dance. Then again what else is new. Molly Ringwald should get some credit though!
Follow and subscribe !
https://mixer.com/RetroRudyX
https://www.instagram.com/retrorudyx/
https://twitter.com/RetroRudyX
Song: Karla Devito - We Are Not Alone
Movie: The Breakfast Club
Game : Fortnite</t>
  </si>
  <si>
    <t>Learn how to make a hot towel treatment at home to treat yourself, friends, or a special someone. 
Add your favorite essential oil for aroma and a relaxing effect. PLEASE REMEMBER TO _xD83D__xDC4D_, COMMENT _xD83D__xDDE3_️AND SUBSCRIBE _xD83D__xDD34_, THANK YOU FOR VIEWING! ✨_xD83D__xDE4F__xD83C__xDFFD_✨
WATCH MY PODCAST "BE CIVIL"! 
https://youtu.be/C7Kt5wHXHcU</t>
  </si>
  <si>
    <t>NW Maids
0:00 House Cleaning Service
0:30 Maid Service
1:00 Move in/out Cleaning
1:30 Apartment Cleaning
2:00 Deep Cleaning
#housecleaningservice 
See if we service your area!
https://nwmaids.com/locations
Check out our services:
https://nwmaids.com/services
Discover Part-Time House Cleaning Jobs in Tacoma 
Do words like “flexible hours,” “competitive salary,” and “supportive culture” tick all your ideal job boxes? Then prepare for exciting news as we unveil some incredible part-time house cleaning roles currently up for grabs in Tacoma, WA!
And when it comes to first-rate cleaning services in this area, NW Maids has no rival – they are outstanding! Whether new or experienced within this industry, our comprehensive guide enlightens you about these thrilling employment opportunities.
The Rise of House Cleaner Jobs in Tacoma WA
Tacoma offers a thriving city center where you can harness your potential and showcase skills necessary for exceptional customer satisfaction within house cleaning.
As employment arrangements become increasingly flexible, options such as part time house cleaning continue to soar in demand across many industries.
NW Maids: Leading The Way In Part Time House Cleaning Jobs in Tacoma Washington
NW Maids is a company committed to providing exceptional cleaning services in Tacoma – and they’re looking for people like you!
By becoming NW Maids pros, house cleaners have the freedom to choose their own schedule; it can be part-time or full-time positions. They can also make a decision to work as independent cleaners or as a team. Here are more several benefits of joining NW Maids:
Firstly they recognize and reward diligent employees with fair pay rates and unique opportunities for career growth over time.
Secondly, flexibility is critical when it comes to balancing work responsibilities with personal commitments – so expect plenty of scheduling options here!
And finally, with an emphasis on teamwork and ongoing support programs designed to help all staff members succeed, NW Maids is genuinely one of a kind in terms of service and employee care.
Don’t miss out – choose NW maids as your go-to provider for excellent part-time employment opportunities today!
Consider NW Maids
For those looking for flexible work schedules paired with financial independence, part-time house cleaner jobs in Tacoma are an excellent choice!
Furthermore, NW Maids is one of the best cleaning service providers that serves Tacoma Washington as it offers housekeepers competitive compensation rates and fosters supportive working relationships while providing growth opportunities to advance their careers.
This makes it simpler than it’s ever been to begin your part-time house cleaning journey successfully! You can discover more about this exciting opportunity by visiting their website or contacting them by their phone number today.
Apply for work at NW Maids.
Watch more: https://www.youtube.com/watch?v=bu5toV8mfJI</t>
  </si>
  <si>
    <t>How to remove Innovative Tub Solution's non slip coating from your bathtub using an eco-friendly stripper you can buy at Home Depot.  This will not damage your bathtub's original surface.  This demonstration is specific to our aftermarket, waterbased non slip coating and may not work with other coatings, especially if the coating is epoxy based.  Epoxy based coatings will need a stronger chemical stripper, such as Jasco or KleanStrip.</t>
  </si>
  <si>
    <t>Breakups are never easy, and the process of getting over a broken relationship can be overwhelming. In this Howcast video, we’ll show you how to cope with the emotions and pain associated with a breakup. We’ll provide tips on how to take care of yourself, focus on the future, and move on. Our guide will help you heal and get back on your feet so you can be ready for the next chapter in your life.
_xD83D__xDC8C_ Let's stay Connected _xD83D__xDC8C_
➡️ our website:https://www.howcast.com/
➡️ Facebook:https://www.facebook.com/howcast
➡️ https://www.instagram.com/howcast/
✨ If you liked this video, I'm sure you'll like these videos as well
▶️ https://youtu.be/vMhg-2l29iQ
▶️ https://youtu.be/rUDGlpvsvg0
About us:- 
Emphasizing high-quality instructional video production, Howcast brings you leading experts and accurate, reliable information on makeup tutorials, cute hairstyles, and nail art designs to soccer tricks, parkour, and skateboarding, plus how to Dougie, how to kiss, and much, much more. Howcast empowers people with engaging, useful how-to information wherever, whenever they need to know-how
#Howcast #getoverbreakup #breakup 
Related searches:
how to heal from a breakup
how long to get over a breakup
how to overcome breakup
how to get over a relationship breakup
breakup recovery
moving on after a breakup</t>
  </si>
  <si>
    <t>Try out this quad and foot and ankle stability exercise</t>
  </si>
  <si>
    <t>Welcome to the third episode in the Jazz Basics Series, The Kick Ball Change. Keisha Stewart owner and director of Barre None Dance Company will walk us through step by step how to Kick Ball Change. She will even give us feet and arm queues so we will be jazz dancing pros in no time!! Please keep a lookout for more weekly uploads of our jazz basics series and go ahead and subscribe to our channel for more fun dance content!</t>
  </si>
  <si>
    <t>Are you looking to take your business to the next level? If so, then this Howcast video is for you! We're going to teach you the essential skills you need to be a successful business leader. We'll cover topics such as how to motivate your employees, how to negotiate, and how to be the best leader you can be. With this video, you'll be well on your way to becoming a top-notch business leader.
⏰ Time chapters ⏳
00:00 Intro
00:04 How to learn from a peer performance review
01:32 How to be the best leader
03:49 How to motivate employees
05:01 How to negotiate
06:51 How to achieve results 
_xD83D__xDC8C_ Let's stay Connected _xD83D__xDC8C_
➡️ our website:https://www.howcast.com/
➡️ Facebook:https://www.facebook.com/howcast
➡️ https://www.instagram.com/howcast/
✨ If you liked this video, I'm sure you'll like these videos as well
▶️ https://youtu.be/68Or5yr1JGY
▶️ https://youtu.be/CeY42ZsUdws
About us:- 
Emphasizing high-quality instructional video production, Howcast brings you leading experts and accurate, reliable information on makeup tutorials, cute hairstyles, and nail art designs to soccer tricks, parkour, and skateboarding, plus how to Dougie, how to kiss, and much, much more. Howcast empowers people with engaging, useful how-to information wherever, whenever they need to know-how
#Howcast #skills #business 
Related searches:
how to be the best leader
how to motivate employees
business skills
entrepreneur skills
business development skills</t>
  </si>
  <si>
    <t>Hello everyone, and welcome to Howcast. Thanks for watching our video, "How to Prepare and Speak in Public".If public speaking ranks right up there on your list of fears with snakes and heights, take a deep breath and watch these videos. Feel free to leave a comment if you have any questions. 
⏰ Time chapters ⏳
00:00 Intro
00:04 How to overcome speech anxiety
01:26 How to speak in public
04:52 How to give a speech
06:41 How to give welcome remarks
08:26 How to make a public apology
_xD83D__xDC8C_ Let's stay Connected _xD83D__xDC8C_
➡️ our website:https://www.howcast.com/
➡️ Facebook:https://www.facebook.com/howcast
➡️ https://www.instagram.com/howcast/
✨ If you liked this video, I'm sure you'll like these videos as well
▶️ https://youtu.be/egxkGX7rioY
▶️ https://youtu.be/s_YYQCYkwXA
About us:- 
Emphasizing high-quality instructional video production, Howcast brings you leading experts and accurate, reliable information on makeup tutorials, cute hairstyles, and nail art designs to soccer tricks, parkour, and skateboarding, plus how to Dougie, how to kiss, and much, much more. Howcast empowers people with engaging, useful how-to information wherever, whenever they need to know-how
#Howcast #speakingtips #publicspeaking 
Related searches:
how to speak in public
speaking techniques
how to give a speech
how to build confidence in speaking
tips for speeches</t>
  </si>
  <si>
    <t>Having good manners is essential for building positive relationships and earning the respect of others. It involves being polite, respectful, and considerate towards others in various social situations. Some tips for having good manners include using polite language and greetings, showing appreciation, being punctual, listening attentively, and avoiding rude behavior like interrupting or talking over others. Good manners can make a big difference in how people perceive you and can help you succeed in both personal and professional settings.
⏰ Time chapters ⏳
00:00 - Intro
00:02 - How to Admit You Forget Someone's Name
01:45 - How to Respond to Being Left Out
04:04 - How to End a Friendship
05:21 - How to Speak Up when You See Injustice
08:46 - How to Start a Conversation
_xD83D__xDC8C_ Let's stay Connected _xD83D__xDC8C_
➡️ our website:https://www.howcast.com/
➡️ Facebook:https://www.facebook.com/howcast
➡️ https://www.instagram.com/howcast/
✨ If you liked this video, I'm sure you'll like these videos as well
▶️ https://youtu.be/jpo4pzHy338
▶️ https://youtu.be/22yx9M8pQ9U
About us:- 
Emphasizing high-quality instructional video production, Howcast brings you leading experts and accurate, reliable information on makeup tutorials, cute hairstyles, and nail art designs to soccer tricks, parkour, and skateboarding, plus how to Dougie, how to kiss, and much, much more. Howcast empowers people with engaging, useful how-to information wherever, whenever they need to know-how
#Howcast #goodmanners 
Related searches:
importance of good manners
how to have good manners and etiquette
ways to have good manners 
how to get good manners
how to have perfect manners</t>
  </si>
  <si>
    <t>Welcome to Howcast! In this video, we'll provide tips on "How to Take Care of Your Feet and Nails". From filing and shaping your nails to cleaning and moisturizing your feet, to addressing foot and nail issues, this video will show you how to keep your feet and nails looking and feeling their best. If you have any questions, don't hesitate to leave a comment. Thanks for watching!
⏰ Time chapters ⏳
00:00 Intro
00:04 How to prevent foot blisters
02:02 Quick tip
02:15 How to cure nail fungus
04:00 How to treat nail discoloration
05:22 How to prevent ingrown toenails
06:44 How to prevent athlete's foot
_xD83D__xDC8C_ Let's stay Connected _xD83D__xDC8C_
➡️ our website:https://www.howcast.com/
➡️ Facebook:https://www.facebook.com/howcast
➡️ https://www.instagram.com/howcast/
✨ If you liked this video, I'm sure you'll like these videos as well
▶️ https://youtu.be/dCR9aBgMzVI
▶️ https://youtu.be/lTHVUHI6oKE
About us:- 
Emphasizing high-quality instructional video production, Howcast brings you leading experts and accurate, reliable information on makeup tutorials, cute hairstyles, and nail art designs to soccer tricks, parkour, and skateboarding, plus how to Dougie, how to kiss, and much, much more. Howcast empowers people with engaging, useful how-to information wherever, whenever they need to know-how
#Howcast #healthtips #footcaretips #footcare 
Related searches:
how to prevent blisters on feet
how to take care of feet
how to cure nail fungus
total foot care
complete foot care</t>
  </si>
  <si>
    <t>Hello everyone, and welcome to Howcast. Thanks for watching our video, "How to Enjoy Winter".Make the most of the cold weather with these winter activities. Feel free to leave a comment if you have any questions. 
⏰ Time chapters ⏳
00:00 Intro
00:04 How to make snow angels
01:43 How to have a snowball fight
03:28 How to make a snowman
05:06 How to turn your house into a winter wonderland
07:00 How to turn your yard into a winter wonderland
_xD83D__xDC8C_ Let's stay Connected _xD83D__xDC8C_
➡️ our website:https://www.howcast.com/
➡️ Facebook:https://www.facebook.com/howcast
➡️ https://www.instagram.com/howcast/
✨ If you liked this video, I'm sure you'll like these videos as well
▶️ https://youtu.be/rJ_yhPTAHxc
▶️ https://youtu.be/cyAYIXN6tUY
About us:- 
Emphasizing high-quality instructional video production, Howcast brings you leading experts and accurate, reliable information on makeup tutorials, cute hairstyles, and nail art designs to soccer tricks, parkour, and skateboarding, plus how to Dougie, how to kiss, and much, much more. Howcast empowers people with engaging, useful how-to information wherever, whenever they need to know-how
#Howcast #winter #snowfall 
Related searches:
indoor winter activities
how to have a snowball fight
snowman activity
how to make a snowman
snowball throw game
how to turn your house into a winter wonderland</t>
  </si>
  <si>
    <t>Hello everyone, and welcome to Howcast. Thanks for watching our video, "How to Care for Aged Parents". In this video, we'll be discussing some practical tips and strategies for taking care of your aging parents. The entire video is broken down into steps for easy understanding. Feel free to leave a comment if you have any questions. 
_xD83D__xDC8C_ Let's stay Connected _xD83D__xDC8C_
➡️ our website:https://www.howcast.com/
➡️ Facebook:https://www.facebook.com/howcast
➡️ https://www.instagram.com/howcast/
✨ If you liked this video, I'm sure you'll like these videos as well
▶️ https://youtu.be/tL67IxoH67c
▶️ https://youtu.be/y0GDng95kGk
About us:- 
Emphasizing high-quality instructional video production, Howcast brings you leading experts and accurate, reliable information on makeup tutorials, cute hairstyles, and nail art designs to soccer tricks, parkour, and skateboarding, plus how to Dougie, how to kiss, and much, much more. Howcast empowers people with engaging, useful how-to information wherever, whenever they need to know-how
#howcast #grandparents #careforgrandparents
Related searches:
How to Care for Aged Parents
Aged Parents
elderly care
care for old people</t>
  </si>
  <si>
    <t>Do you want to make the switch to natural skincare products? Organic beauty expert Spirit Demerson is here to show you how to create a natural skincare routine. In this Howcast beauty video, Spirit will give you tips on the best natural products to use and how to use them. Discover the natural skincare routine that will make your skin glow. If you have any questions, don't hesitate to leave a comment. Thanks for watching!
⏰ Time chapters ⏳
00:00 Intro
00:03 What is cocoa butter good for
01:01 Natural skin care for oily skin
02:31 Natural skin care for aging skin
03:38 Organic remedies for lip problems
05:33 What is shea butter good for
_xD83D__xDC8C_ Let's stay Connected _xD83D__xDC8C_
➡️ our website:https://www.howcast.com/
➡️ Facebook:https://www.facebook.com/howcast
➡️ https://www.instagram.com/howcast/
✨ If you liked this video, I'm sure you'll like these videos as well
▶️ https://youtu.be/-SX--G2451E
▶️ https://youtu.be/fLOpCqxup58
About us:- 
Emphasizing high-quality instructional video production, Howcast brings you leading experts and accurate, reliable information on makeup tutorials, cute hairstyles, and nail art designs to soccer tricks, parkour, and skateboarding, plus how to Dougie, how to kiss, and much, much more. Howcast empowers people with engaging, useful how-to information wherever, whenever they need to know-how
#Howcast #skincare #naturalskincare  
Related searches:
all natural skincare
organic products for skin
natural skin care for oily skin
best natural skin care products
natural glowing skin</t>
  </si>
  <si>
    <t>Hello everyone, and welcome to Howcast. Thanks for watching our video, "How to Have a Merry Christmas".This is the season to be jolly and you'll have a very merry Christmas if you check out this holiday video from Howcast. Feel free to leave a comment if you have any questions. 
⏰ Time chapters ⏳
00:00 Intro
00:04 How to tell if santa came while you were sleeping
01:52 How to prevent common christmas disasters
03:51 How to throw a christmas party
05:59 How to succesfully pull off a mistletoe kiss
07:13 How to host your first christmas dinner
_xD83D__xDC8C_ Let's stay Connected _xD83D__xDC8C_
➡️ our website:https://www.howcast.com/
➡️ Facebook:https://www.facebook.com/howcast
➡️ https://www.instagram.com/howcast/
✨ If you liked this video, I'm sure you'll like these videos as well
▶️ https://youtu.be/nlODa5QOm3Y
▶️ https://youtu.be/2RZiQn1L9nU
About us:- 
Emphasizing high-quality instructional video production, Howcast brings you leading experts and accurate, reliable information on makeup tutorials, cute hairstyles, and nail art designs to soccer tricks, parkour, and skateboarding, plus how to Dougie, how to kiss, and much, much more. Howcast empowers people with engaging, useful how-to information wherever, whenever they need to know-how
#Howcast #christmas 
Related searches:
best christmas
merry christmas funny
how to succesfully pull off a mistletoe kiss
best merry christmas
how to host your first christmas dinne</t>
  </si>
  <si>
    <t>In this Howcast video How to Do Physical Therapy Exercises for the Knees, physical therapist Eric Sampson demonstrates the exercises you need to do to perform physical therapy on your knees. Learn how to strengthen, stretch, and care for your knees through physical therapy, and discover the benefits of following a regular physical therapy routine.If you have any questions, don't hesitate to leave a comment. Thanks for watching!
⏰ Time chapters ⏳
00:00 Intro
00:04 How to do a forward step-up exercise
02:01 How to do a sit-to-stand lift exercise
04:04 How to do heel-raised squats
05:43 How to do a heel raise on step exercise
08:07 How to do a side leg raise exercise
_xD83D__xDC8C_ Let's stay Connected _xD83D__xDC8C_
➡️ our website:https://www.howcast.com/
➡️ Facebook:https://www.facebook.com/howcast
➡️ https://www.instagram.com/howcast/
✨ If you liked this video, I'm sure you'll like these videos as well
▶️ https://youtu.be/6vEeaK3tvzE
▶️ https://youtu.be/0aQ17FA1nck
About us:- 
Emphasizing high-quality instructional video production, Howcast brings you leading experts and accurate, reliable information on makeup tutorials, cute hairstyles, and nail art designs to soccer tricks, parkour, and skateboarding, plus how to Dougie, how to kiss, and much, much more. Howcast empowers people with engaging, useful how-to information wherever, whenever they need to know-how
#Howcast #therapy #kneeexercises 
Related searches:
knee strengthening exercises
knee pain exercises
stretches for knee pain
knee pain relief exercises
physiotherapy exercise for knee pain</t>
  </si>
  <si>
    <t>Are you looking to learn the basics of good manners and etiquette? Look no further! In this Howcast video, etiquette expert Faye de Muyshondt will teach you the fundamentals of having impeccable manners and proper etiquette. From shaking hands and introducing yourself to dining etiquette and the art of conversation, you'll have all the tools you need to make a great impression in any situation. Don't miss out on this chance to learn the essentials of good manners!
⏰ Time chapters ⏳
00:00 Intro
00:03 How to shake hands and introduce yourself
02:42 How to make a good first impression
04:34 How to introduce others
06:28 How to be agood friend
08:41 How to make new friends
_xD83D__xDC8C_ Let's stay Connected _xD83D__xDC8C_
➡️ our website:https://www.howcast.com/
➡️ Facebook:https://www.facebook.com/howcast
➡️ https://www.instagram.com/howcast/
✨ If you liked this video, I'm sure you'll like these videos as well
▶️ https://youtu.be/jpo4pzHy338
▶️ https://youtu.be/22yx9M8pQ9U
About us:- 
Emphasizing high-quality instructional video production, Howcast brings you leading experts and accurate, reliable information on makeup tutorials, cute hairstyles, and nail art designs to soccer tricks, parkour, and skateboarding, plus how to Dougie, how to kiss, and much, much more. Howcast empowers people with engaging, useful how-to information wherever, whenever they need to know-how
#Howcast #goodmanners 
Related searches:
how to get good manners
how to make a good first impression
how to introduce others
how to be agood friend
how to have perfect manners</t>
  </si>
  <si>
    <t>Hello everyone, and welcome to Howcast. Thanks for watching our video, "How To Play Chess Like A Grandmaster".Master this game of strategy and skill and you'll be ready to challenge any chess champion who comes your way. Feel free to leave a comment if you have any questions. 
⏰ Time chapters ⏳
00:00 Intro
00:04 How to play chess
03:36 How to win at chess
05:24 How to use rybka
07:10 How to use chess notation
09:01 How to use zappa
_xD83D__xDC8C_ Let's stay Connected _xD83D__xDC8C_
➡️ our website:https://www.howcast.com/
➡️ Facebook:https://www.facebook.com/howcast
➡️ https://www.instagram.com/howcast/
✨ If you liked this video, I'm sure you'll like these videos as well
▶️ https://youtu.be/z456__pFO0I
▶️ https://youtu.be/BbpOS_GI8jY
About us:- 
Emphasizing high-quality instructional video production, Howcast brings you leading experts and accurate, reliable information on makeup tutorials, cute hairstyles, and nail art designs to soccer tricks, parkour, and skateboarding, plus how to Dougie, how to kiss, and much, much more. Howcast empowers people with engaging, useful how-to information wherever, whenever they need to know-how
#Howcast #learnchess #chessgame 
Related searches:
learn how to play chess
how to win at chess
rules of chess for beginners
how to use rybka
learn how to play chess for beginners</t>
  </si>
  <si>
    <t>What is bulimia nervosa? Bulimia nervosa's an eating disorder that's characterized by cycles of binging and purging while typically maintaining a normal weight. Find more videos at http://osms.it/more.
Hundreds of thousands of current &amp; future clinicians learn by Osmosis. We have unparalleled tools and materials to prepare you to succeed in school, on board exams, and as a future clinician. Sign up for a free trial at http://osms.it/more.
Subscribe to our Youtube channel at http://osms.it/subscribe.  
Get early access to our upcoming video releases, practice questions, giveaways, and more when you follow us on social media:
Facebook: http://osms.it/facebook
Twitter: http://osms.it/twitter
Instagram: http://osms.it/instagram
Our Vision: Everyone who cares for someone will learn by Osmosis.
Our Mission: To empower the world’s clinicians and caregivers with the best learning experience possible. Learn more here: http://osms.it/mission
Medical disclaimer: Knowledge Diffusion Inc (DBA Osmosis) does not provide medical advice. Osmosis and the content available on Osmosis's properties (Osmosis.org, YouTube, and other channels) do not provide a diagnosis or other recommendation for treatment and are not a substitute for the professional judgment of a healthcare professional in diagnosis and treatment of any person or animal. The determination of the need for medical services and the types of healthcare to be provided to a patient are decisions that should be made only by a physician or other licensed health care provider. Always seek the advice of a physician or other qualified healthcare provider with any questions you have regarding a medical condition.</t>
  </si>
  <si>
    <t>Welcome to Exposure Therapy, the podcast where we explore the world of photography. In this episode, we sit down with wildlife and landscape photographer Tim Arnold, who spends most of his time capturing the stunning scenery of the Rocky Mountains in Alberta.
With a passion for the natural world, Tim shares his insights into the art of wildlife and landscape photography. He discusses his approach to capturing the perfect shot and how he brings his images to life.
Tim also shares his experiences of shooting in the rugged terrain of the Rocky Mountains, where he encounters everything from bears and elk to stunning mountain landscapes. He offers valuable tips for anyone looking to photograph wildlife and nature in the great outdoors, from choosing the right equipment to staying safe in the wilderness.
Join us as we explore the beauty of the natural world with Tim Arnold in this episode of Exposure Therapy. Whether you're an avid photographer or simply appreciate the beauty of nature, this episode is sure to inspire you to get out and capture the world around you.
CLICK HERE TO SUBSCRIBE: https://youtube.com/@tjkennedyphoto?sub_confirmation=1
Connect with Tim:
Website: https://www.wildhorsesrealestate.com
Instagram: https://www.instagram.com/coacharn
Want to be a guest on the podcast?  Contact tjken@pm.me to inquire.
T.J. Kennedy is a freelance photographer &amp; creative in northern Alberta, Canada.
Find T.J. at:
Website: https://tjkennedy.me
LinkedIn: https://linkedin.com/in/tj-kennedy
Facebook: https://facebook.com/tjkennedyphoto 
Instagram: https://instagram.com/tjkennedyphoto
Vero: https://vero.co/tjkennedyphoto
Twitter: https://twitter.com/tjkennedyphoto
Telegram: https://t.me/tjkennedy
Spotify: https://podcasters.spotify.com/pod/show/exposuretherapy
Thank you to our sponsor for this video - Prairieview Phototours - where photographers of all levels can book their all-inclusive, authentic Alberta adventure!  With four unique and exciting tours to choose from, you'll have the chance to explore one of Alberta's amazing regions and capture the beauty that awaits you. Don't miss out on this opportunity to embark on an adventure of a lifetime!  Book your tour now at https://pvphototours.com
#photographypodcast #exposuretherapy #youtubepodcasts #alberta #canada #filmmaking #wethenorth #filmphotography #digitalphotography #canon #nikon #sony #documentary #blackmagic #photographytips</t>
  </si>
  <si>
    <t>Alberta chief firearms officer Teri Bryant discussed the federal government’s firearm confiscation plan. Learn more: https://www.alberta.ca/release.cfm?xID=870427BAAAA1E-CD66-A8CE-4826FE895BBE55BA</t>
  </si>
  <si>
    <t>In this video, You Will Learn in details about Koch's Postulates and It's Limitations as well as Molecular Koch's Postulates. 
Hope You Find it Helpful :)</t>
  </si>
  <si>
    <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t>
  </si>
  <si>
    <t>03011094553
Iftikharalisheeno@gmail.com 
#NisaBBCream#thekhatrakhatrashow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#farahkhan #bhartisingh #HaarshLimbachiyaa #PratikSehajpa #RashamiDesai #UmarRiaz #gameshow #comedy #bhartisinghcomedy #funnyshow #voot #vootgameshow #familyshow#thekhatrakhatrashow #farahkhan #bhartisingh #HaarshLimbachiyaa #PratikSehajpa #RashamiDesai #UmarRiaz #gameshow #comedy #bhartisinghcomedy #funnyshow #voot#NisaBBCream#thekhatrakhatrashow a</t>
  </si>
  <si>
    <t>All you want to know about OSTEOPROSIS is here.</t>
  </si>
  <si>
    <t>All information about GOUT disease in this video.</t>
  </si>
  <si>
    <t>PSYCHOSOCIAL PHARMACY #pharmacy #socialpharmacy #dpharma #psychotropic #narcotic #studypool Pharma 
alcohol
tobacco
social impact of drug abuse
suicide behaviour</t>
  </si>
  <si>
    <t>VR Headset and/or headphones are highly recommended for the best possible experience (3D Stereoscopic, Ambisonics 3D audio). 
This is an attempt to replicate Sensory Overload (Meltdown) experienced by people on the Autism spectrum. The setting is chosen to replicate some of the possible triggers for sensory overloads, such as sudden noises,  too much eye contact, sudden movements and more.
The setting (classroom) was chosen to showcase how pretty ordinary situation might be perceived by a person whos experiencing sensory overloads, as well as to try and promote empathy.
Here's the list of possible triggers for sensory overload shown in the video:
- Kids suddenly screaming before the beginning of the class
- Girl tripping an falling on the table when the teacher enters the classroom 
- The teacher announces the surprise group assignment 
- The teacher starts giving out papers starting with our hero, every kid starts staring at our hero.
- The teacher rushes kids to start dividing into groups, kids start to get active, lots of noise, which heightens sensory input and progresses our hero towards sensory overload
- The teacher lets the class know that this assignment has to be finished in 5 minutes, kids start to get concerned, senses start to blend together
- Kid rushes our hero to start the assignment, sensitivity to light heightens
- Kids ask the teacher to open the window, and they all yell simultaneously, triggering short sensory overload which starts to get worse
- Teacher opens the window introducing extra light and outside street noise into the room.
- The teacher comes up to the desk and angrily rushes our hero to get started and work fast, which now induces full sensory overload.
I must add that since I personally have never experienced this type of sensory phenomena this project was created according to feedback provided by people on the spectrum able to articulate their experiences. Huge thanks to everyone who provided feedback to make this closer to reality and this didn't turn out to be one of my usual "trippy videos".
As always, your feedback helps me grow so I'm more than happy to hear your thoughts on this one. Thank you for your time and have fun!
--- The team ---
Producers:
Riga Innovation Group
-Alīna Dolmate
-Mārtiņš Upītis
Camera and Post-production:
-Aigars Ceplītis
Visual Effects:
- Raimonds Jermaks (Symmetric Vision)
Audio Recording and post-production:
Dirty Deal Audio
- Māris Dejus
Developed within the project "Piedzīvo citādo".  The material has been produced in cooperation with the multifunctional center "Solis Augšup". Project co-financed by the Riga City Council Education, Culture and Sports Department Public Integration Program</t>
  </si>
  <si>
    <t>#Concentration in Sport Psychology in urdu and hindi-#Concentration and Attention in Sport-#Concentration in Sports-#Concentration and Attention Control Trainning-#The psychology of Concentration In Sport Performers-#Concentration-#Sport Psychology-#Applied Sport Psychology in Concentration-#Theories of Concentration-#Models of Concentration-#Method and Measures of Concentration-#Practical Issues and Intervention of Concentration-#Attention as a spotlight or lenz-#Attention as a Filter-#Attention as a resource by aleeza yaqoob-#Attention @learningwithaleeza</t>
  </si>
  <si>
    <t>#TRACHEA
#FUNCTIONS OF TRACHEA 
#BRONCHI
#BRONCHIOLES 
#ALVEOLI 
#RESPIRATORY SYSTEM 
#anatomyandphysiology 
#GMM 1ST YEAR 
Tiny air sacs at the end of the bronchioles (tiny branches of air tubes in the lungs). The alveoli are where the lungs and the blood exchange oxygen and carbon dioxide during the process of breathing in and breathing out. Oxygen breathed in from the air passes through the alveoli and into the blood and travels to the tissues throughout the body. Carbon dioxide travels in the blood from the body's tissues and passes through the alveoli to be breathed out.
There are threeTrusted Source overall processes involved in your breathing:
moving air in and out of your lungs (ventilation)
oxygen-carbon dioxide exchange (diffusion)
pumping blood through your lungs (perfusion)</t>
  </si>
  <si>
    <t>Alphabetical classification 
Taxonomical classification 
Morphological classification 
Pharmacological classification 
Chemical classification</t>
  </si>
  <si>
    <t>This lecture is prepared from Robbins textbook of pathology and Step-1 USMLE pathology book. 
.
.
.
Subscribe to stay updated about upcoming videos.</t>
  </si>
  <si>
    <t>The menstrual cycle is a series of natural changes in hormone production and the structures of the uterus and ovaries that make conception possible.
Live To Learn is for educational purposes only and should not be used as a substitute for medical advice  the live To Learn content is not in any way meant to guide medical decision making. If medical advice or information is required, please seek it from an appropriately trained and licensed doctor or healthcare provider. Live To Learn takes no responsibility for any actions taken or not taken based on the information provided. 
Please highlight any errors you notice in the comments below. Thank you.
#menstruation #menstrualcycle #menses #gynecological #gynaecology #mbbs #livetolearn #periods #medicine #medicaleducation #medical #medstudentlife #medschool #hormonebalance  #hormones #health #menstrualawareness #menstrualhygieneday #menstrualhygiene #awareness #ovarian #ovaries #uterusproblem #uterinebleeding #endometrium #gynaecologists #gynae #periodspain</t>
  </si>
  <si>
    <t>eye, structure of eye, visual pathway, optic nerve, optic chiasma, optic tract, optic radiations, Explained in hindi, jibi Sebastian</t>
  </si>
  <si>
    <t>Lymphatic system, Structure of Lymph Node, Explained in hindi, by Jibi Sebastian</t>
  </si>
  <si>
    <t>Physiology of vision, refraction of light rays, accomodation, change in size of pupil, eye physiology, Explained in hindi jibi Sebastian</t>
  </si>
  <si>
    <t>it explains about the different types of blood groups in a simple manner</t>
  </si>
  <si>
    <t>important points to remember in blood and blood cells</t>
  </si>
  <si>
    <t>blood, blood cells, plasma, erythrocytes, leukocytes and platelets explained in a very simple manner</t>
  </si>
  <si>
    <t>sense organs, structure of ear, middle ear, vestibule, cochlea, semi circular canals, anatomy of ear, Explained in hindi @jibi Sebastian online</t>
  </si>
  <si>
    <t>sense organs, structure of eye, interior structure of eye, part 2, aqueous fluid, aqueous humour, vitreous body, Explained in hindi</t>
  </si>
  <si>
    <t>sense organs, Sense of Smell any sense of taste, nose and nasal cavity, tongue and taste buds, physiology of smell and Physiology of taste, Explained in hindi, jibi Sebastian</t>
  </si>
  <si>
    <t>Lymphatic system, circulation of Lymph, transport of Lymph Explained in hindi, in a very simple manner by Jibi Sebastian</t>
  </si>
  <si>
    <t>sense organs, structure of ear, Physiology of hearing, Physiology of balance, hearing and balance, anatomy and physiology of ear, Explained in hindi @jibi Sebastian online</t>
  </si>
  <si>
    <t>mental Status Examination MSE explained in very simple manner</t>
  </si>
  <si>
    <t>MCQs of Excretory System, Objective Questions of Urinary System, Multiple Choice Questions of Urinary System, Explained in hindi</t>
  </si>
  <si>
    <t>#norcet  #aiims #nursingexampreparation #psychiatricnursing
NORCET-2023 | Triage Series | Psychiatric Nursing #5 | Most Important Questions | By Suraj Sir
NORCET-2023 की परीक्षा की तैयारी करने वाले  को ध्यान में रखते हुए उत्कर्ष नर्सिंग क्लास लेकर आ रहे है NORCET की  स्पेशल क्लासेस | ये Classes आपके आगामी NORCET-2023 की तैयारी को और मजबूती प्रदान करने वाली होगी अत: यह वीडियो अंत तक जरूर देखें।
▬▬▬▬▬▬▬▬▬▬▬▬▬▬▬▬▬▬▬▬▬▬▬
➤➤Dont Miss To Watch Therse Playlists ➤➤  
➤➤Complete Medical Surgical Nursing : 
☞ https://youtube.com/playlist?list=PLpIz0Dy1wvDxBvJkOw1IVXca_gC4j6MbG 
➤➤360 Degree Rafale Class Playlist : 
☞ https://youtube.com/playlist?list=PLpIz0Dy1wvDxfoyS6iwIhJWY6Zw-7bSmv
➤➤Nursing Important Short Topics And Tricks :
☞https://youtube.com/playlist?list=PLpIz0Dy1wvDwZoQGByAeXwplrI6AYQCaT
☞https://youtube.com/playlist?list=PLpIz0Dy1wvDyMbReN_oPan0Yki5p1DZL_
▬▬▬▬▬▬▬▬▬▬▬▬▬▬▬▬▬▬▬▬▬▬▬
_xD83D__xDCF2_ Download Our App:-
 https://utkarsh.onelink.me/Lc5j/2b6f5416
_xD83C__xDF0D_Visit our website:- https://utkarsh.com/
 _xD83D__xDC68__xD83C__xDFFB_‍_xD83C__xDF93_ Student Support:-  support@utkarsh.com
▬▬▬▬▬▬▬▬▬▬▬▬▬▬▬▬▬▬▬▬▬▬▬
✤ Subscribe to our other Channels:-
➤SSC Utkarsh - https://www.youtube.com/channel/UC_yuiK5r5fo4i2orrgvub5A
➤Utkarsh Nursing Classes - https://www.youtube.com/channel/UCiKEBdOKmGyluNl0-w4PzYA
▬▬▬▬▬▬▬▬▬▬▬▬▬▬▬▬▬▬▬▬▬▬▬
✦ Join OUR Telegram CHANNELS:-
☞ Utkarsh Nursing Classes - https://t.me/UtkarshNursingClasses
▬▬▬▬▬▬▬▬▬▬▬▬▬▬▬▬▬▬▬▬▬▬▬
#medicalsurgicalnursing  #utkarshnursing  #nursingExam #importantQuesandration  #norcet #norcet2023 #surajsir #substanceabuse #himmatsir #medicalsurgicalnursing 
#psychiatricnursing #surajsir</t>
  </si>
  <si>
    <t>How to join voogly 30 days norcet challenge course 
Students helping preparation plan 
Step1 - Download voogly app 
Step2 – login with your permanent mobile number and email id 
Step3 – choose option as student when processing
Step4 – click on store or choose course you want to join 
Step5 – process payment option phonepay, atm, upi or all other as you want 
Step6 – enjoy your study 
https://voogly.courses.store/332557?utm_source%3Dother%26utm_medium%3Dtutor-course-referral%26utm_campaign%3Dcourse-overview-webapp
listen announcement - https://www.youtube.com/live/tigP9HXhLVE?feature=share
New batch Join link -SN27 from 1 may (3 to 7 pm)  (includes Offline/online/live/recorded/pdf/weekly testseries in this course)
https://voogly.courses.store/285245?utm_source%3Dother%26utm_medium%3Dtutor-course-referral%26utm_campaign%3Dcourse-overview-webapp
_______________________________________________
download smooth study android application
https://play.google.com/store/apps/details?id=co.stan.voogly
_______________________________________________
iOS (apple users app) – org code – voogly 
https://apps.apple.com/in/app/my-institute/id1472483563
_______________________________________________
Facebook daily MCQs page
https://www.facebook.com/VOOGLYMCI/
_______________________________________________
Facebook news and exam updates page 
https://www.facebook.com/mcinursingkota/
_______________________________________________
Instagram educational short video link
https://www.instagram.com/voogly.education/
_______________________________________________
Institutes official website 
https://www.nursesworld.org/
_______________________________________________
Enquiries/doubts/instant informations
https://www.whatsapp.com/business/
_______________________________________________
Google map address 
https://goo.gl/maps/aefWmHMC6aAGXZY8A
_______________________________________________
Telegram channel for daily pdf notes
https://t.me/voogly
Ashok Kumar Sahu
(Founder &amp; Director)
(Asst. Professor)
(Selected as Tutor in AIIMS Patna &amp; Bhopal)
VOOGLY MCI Education Private limited Kota Raj
#voogly #vooglymcieducation #vooglymcinursing #mcicoaching #vooglycoaching #ashoksahusir #sahusir @voogly #education in #nursing #neet #mbbs #biology #pharmacy #ottechnician #medical exams #aiims #norcet #cho #rajcho #pgi #jipmer #esic #rrb #dsssb #army #navy</t>
  </si>
  <si>
    <t>Important terminology of Psychiatric nursing (easy lessons learn with jenny)_xD83D__xDC69_‍⚕️_xD83E__xDE7A_. 
Terms discussed are :-
•Affect, Apathy
•Anxiety, Panic
•Delusion, Illusion
•Echolalia, Echopraxia
•Obsession, Compulsion
•Neurosis, Psychosis
•Delirium, Dementia
•Paranoia, Déjá vu
•Depression, Mania
•Circumstantial, Tangential
•Addiction, Withdrawal
•Coprolalia, Copropraxia
•Preoccupied, Phobia
•Amnesia, Hallucinations 
:::::::::::::::::::::::::::::::::::::::::::::::::::::::::::::::::::::::::::::::::::::::::::::::::::::::::::::::::::::::::::::
Languages used are :-
•English
•Hindi
:::::::::::::::::::::::::::::::::::::::::::::::::::::::::::::::::::::::::::::::::::::::::::::::::::::::::::::::::::::::::::::
Comment me if you need video on other topics.
I hope you like this video, don't forget to like, share and subscribe my channel _xD83E__xDD1E_
Thank you for watching _xD83D__xDE4F_❤️
:::::::::::::::::::::::::::::::::::::::::::::::::::::::::::::::::::::::::::::::::::::::::::::::::::::::::::::::::::::::::::::
Email :- learnwithjenny83@gmail.com
#medical #knowledge #mentalhealth #nursing #youtube #learnwithjenny</t>
  </si>
  <si>
    <t>Protein energy malnutrition is a spectrum of conditions ranging from mild 
undernutrition to extreme forms of malnutrition. It includes kwashiorkor and 
marasmus.
Children with kwashiorkor have characteristic skin lesions with alternating zones of hyperpigmentation, desquamation, and hypopigmentation, giving a “flaky paint” appearance. 
Hair changes include loss of color or alternating bands of pale and darker color, straightening, fine texture, and loss of firm attachment to the scalp
Other features that distinguish kwashiorkor from marasmus include an enlarged, fatty liver (resulting from reduced synthesis of the carrier protein component of lipoproteins) and the development of apathy, listlessness, and loss of appetite.</t>
  </si>
  <si>
    <t>B.ed notes 
childhood and growing up 
educational psychology and it's nature</t>
  </si>
  <si>
    <t>#psychology #malayalam #psychological #calicutuniversity #semester3 #module1 #psychometrics #nominal #ordinal #interval #ratio #bsc #bscpsychology #psychologymalayalam</t>
  </si>
  <si>
    <t>In this video, we will be discussing the principles of Object-Oriented Programming (OOP) and how they can be applied to write efficient and maintainable code. OOP is a programming paradigm that is widely used in modern software development, and understanding its principles is essential for any aspiring programmer.
We will start by introducing the four main principles of OOP: Encapsulation, Inheritance, Polymorphism, and Abstraction. We will explain each of these concepts in detail, giving examples of how they can be used in practice.
We will also discuss the importance of code reusability and how OOP principles can help achieve this. We will show you how to create classes and objects, and how to use them in your code to make it more modular and easier to maintain.
Throughout the video, we will use real-world examples to illustrate the concepts we discuss. We will also provide tips and best practices for writing effective OOP code.
By the end of the video, you will have a solid understanding of the principles of Object-Oriented Programming and how they can be applied to write efficient and maintainable code. Whether you are a beginner or an experienced programmer, this video will provide valuable insights into the world of OOP.
#ObjectOrientedProgramming
#OOPPrinciples
#CodeReusability
#Encapsulation
#Inheritance
#Polymorphism
#Abstraction
#Modularity
#BestProgrammingPractices
#ProgrammingParadigm
#EfficientCode
#MaintainableCode
#OOPConcepts
#OOPforBeginners
#OOPforExperiencedProgrammers
#RealWorldExamples
#SoftwareDevelopment
#ProgrammingTips
#ProgrammingEducation
#ComputerScience</t>
  </si>
  <si>
    <t>This is a detailed presentation on Intellectual Disability which is extremely useful for undergraduate medical (MBBS) students, psychiatry postgraduates, medical postgraduates and pediatrics postgraduates. 
In this video, Definition of Intellectual disability, Epidemiology, Etiopathogenesis of Intellectual Disability, Common syndromes with Intellectual disability, Evaluation  of Intellectual Disability, IQ assessement and Management of Intellectual Disability are covered. 
The other name for Intellectual disability is Mental Retardation. 
This video was part of academic teaching program of postgraduate psychiatry training in Saveetha Medical College, Chennai. Speaker was Dr.Aswin, a psychiatry postgraduate student.</t>
  </si>
  <si>
    <t>This video gives a comprehensive overview of Mental Status Examination or MSE as part of psychiatric interview of a patient. 
Here, the components of MSE  are give in detail.
Speaker: Dr.Iniyan, Associate Professor of psychiatry, Saveetha Medical College
Link to Catatonia Demonstration video : https://www.youtube.com/watch?v=zsux-k1Jdxg</t>
  </si>
  <si>
    <t>research of listening activity</t>
  </si>
  <si>
    <t>Neurodevelopmental disorders range from severe social deprivation, genetic risk, metabolic diseases, immune disorders, infectious diseases, nutritional factors, physical trauma, as well as toxic and environmental factors.
Children with neurodevelopmental disorders can experience difficulties with language and speech, motor skills, behavior, memory, learning, or other neurological functions. While the symptoms and behaviors of neurodevelopmental disabilities often change or evolve as a child grows older.
#psychology     
#depression
#mentalhealthawareness
#mentalillness 
#parenting 
#teachers 
#specialeducation 
#specialneeds 
Contact
Roshan Lal Prasad
Email: roshanlalprasad@gmail.com
Rehab Psychologist | RCI Registered</t>
  </si>
  <si>
    <t>This poster video is part of "Health is Social: Leveraging the Metaverse to Improve Public Health," the virtual conference of the UConn Center for mHealth and Social Media, May 18-19, 2023. Registration still open: https://mhealth.inchip.uconn.edu/chasm2023/
The Effect of Remote Exercise Interventions on Physical Activity, Functional Mobility and Gait among Adults with Parkinson Disease
Paria Darbandsari PT,  Linda Pescatello PhD, Cristina Colon-Semenza PT, MPT, PhD
Introduction: Parkinson Disease (PD) is a chronic progressive neurodegenerative disease, characterized by multiple motor and non-motor symptoms. Exercise is a critical component of
effective disease management however it needs to be sustained over the course of the disease to
maintain the benefits. Sustaining exercise over prolonged periods is difficult due to the disease-
related barriers (e.g., mobility, apathy, pain, cognitive impairments) as well as social barriers (e.g., access to specialists, transportation, financial). Remote exercise interventions are a potential mechanism to overcome the barriers that limit engagement with exercise to enhance physical activity, functional mobility, and walking ability for those living with PD.
Purpose: To examine the literature on the effectiveness of remote exercise interventions on physical activity, functional mobility, and gait among people with PD. 
Methods: A systematic review was conducted. PubMed and Cochrane databases were searched with search terms related to exercise, remote interventions, and PD. Inclusion criteria were randomized controlled trials that included:  1. healthy adults living with PD  2. exercise of all types (e.g., aerobic, resistance, balance and gait training – Yoga – Tai chi – Dance)  delivered via remote interventions ( e.g.,  mobile apps, online videos, online classes, home-based virtual reality) 3. Hohn and Yahr stage (1-3)  4. ≥  30 years old 5. conducted between 2000-2023 6. self-reported or objective assessment of physical activity or gait or functional mobility. The exclusion criteria include: 1. an additional neurological diagnosis other than PD  2. interventions limited to only activities of daily living  3. manuscript not available in English. The quality of the included trials was evaluated according to the Physiotherapy Evidence Database (PEDro) scale.
Results: The initial database search revealed 563 potentially relevant studies. Studies 
were screened according to their titles and abstracts and 529 studies were excluded. The
remaining 34 studies underwent a full text review and 6 were included in this systematic review.
Conclusion: This review will examine the effectiveness of different kinds of remote exercise interventions.</t>
  </si>
  <si>
    <t>Consciousness Language.
Universal awareness.
Consciousness, at its simplest, is sentience and awareness of internal and external existence. The language of consciousness is a complex and controversial topic, as there is no single agreed-upon definition or theory of consciousness. Some theorists suggest that consciousness cannot be fully expressed in language, as it is a subjective and experiential phenomenon that goes beyond words.
However, some philosophers and neuroscientists have proposed that the language of consciousness can be understood as the way we communicate our subjective experiences, thoughts, and feelings. This includes not only verbal language, but also nonverbal communication such as facial expressions, body language, and tone of voice.
Some theories propose that there may be a universal language of consciousness that transcends cultural and linguistic boundaries, allowing individuals from different backgrounds to share and understand each other's subjective experiences. However, this idea is still highly debated, and there is no consensus on whether such a universal language exists.
Ultimately, the language of consciousness is a complex and multifaceted concept that is still the subject of ongoing research and debate in various fields, including philosophy, neuroscience, and psychology.</t>
  </si>
  <si>
    <t>Oftentimes, this is where shame or guilt starts to set in because elementary school children who experience trauma know that something is not right.
They can't quite put their finger on it, but they often feel personally responsible for what's happening around them, although they have no reason to feel guilt or shame. It is a common way that trauma manifests. And when we feel shame, we often want to hide. We often feel worse about ourselves. We often feel like we are to blame even if we're not.
And so sometimes that shame can lead to the manifestation of behavior that includes outbursts or doing things to try to overcome that shame or suppress that shame. And so we see some really maybe aggressive behavior or unfavorable behavior starting to show up in the classroom because students aren't sure how to manage the feelings that they're experiencing
--</t>
  </si>
  <si>
    <t>depression and anxiety causes - https://www.mrdepression.com/fight
Depression Fundamentals Explained   
There's no solitary trigger of depression. I don't understand why folks presume I'm the only one who endures from this disorder. How several additional opportunities have you complied with those who state they don't see psychological health and wellness? I understand it's a poor trait to possess bipolar, but then everyone else has actually psychological health concerns also. But, I don't take into consideration clinical depression to be the whole problem. But the suggestion of psychological ailment is typically misinterpreted as an health problem of the individual race.
It can easily occur for a variety of reasons and it has actually numerous different triggers. It's like a magnetic – you can develop a magnetic field through switching on your phone or placing it in a secure place – it can easily additionally have an effect on your breathing or your mood or your moment. It can easily likewise impact your bodily feelings, like your temperature, blood pressure or your heart price. And you can experience it – that might cause a whole lot of discomfort or panic along with folks who have been impacted through it.
For some individuals, an distressed or stressful lifestyle activity, such as grief, separation, ailment, verboseness and work or amount of money worries, can easily be the trigger. Many folks likewise experience emotional anxiety, such as a solid wish to do or to be an necessary individual or person in a positive means. Some people may have bad attitudes in the direction of their scenario. While this is most likely the instance not everyone's life experience can be a source of tension, for some, a life activity performs.
Various source can commonly integrate to cause clinical depression. The best trigger may be the shortage of energy, and the withdrawal of sleepiness. The rest is an interplay of sleep reduction and tiredness, which can easily leave users under massive stress, particularly while in workplace environments. Sleeping will induce the brain to refine info considerably differently after continuous exposure to tension. It may likewise be because of an mental condition like rage that will definitely prevent people from recognizing, recognizing or reacting to their feelings.
For example, you may really feel reduced after being bad and after that experience a upsetting event, such as a grief, which brings on depression. In each situations, you may acquire a range of treatment choices including medicines and bodily treatment – though many people respond properly to a lot of of the care offered. But because numerous individuals in the UK do not react properly to procedure, other variables may be adding variables to inadequate end results in the NHS.
People often speak concerning a "descending spiral" of occasions that leads to clinical depression. This has actually to do with how lifestyle is structured in this world. In the past married couple of years social psycho therapists have established a brand new approach to looking at people who are underpaid or understaffed in order to find how they answer to their task desires. However, this method overlooks the aspect through centering on simply how that group of people respond to the issues they are experiencing as an individual.
For instance, if your partnership with your partner breaks down, you're likely to experience reduced, you might stop finding buddies and family and you might begin drinking more. But the contrast might be correct -- you might end up being extra steady and you'll likely really love your companion a whole lot even more and your partnership are going to continue. You could possibly additionally be brought in to more intimate relationships, where your commitment to each various other might start to drop apart.
All of this can easily create you really feel worse and cause depression. The only means to stay clear of the anxiety will be to merely be honest and assist others. Merely believe concerning how a lot effort you put right into the regular tasks to be successful, and what kind of exciting you are likely to have. This is the secret to helping others. It's one of the causes my family always keeps a diary for me every Friday and Saturday. It will aid me discover my thoughts and emotions when I'm having a psychological wellness problem.
Some research studies have likewise recommended that you're much more likely to receive...</t>
  </si>
  <si>
    <t>Attention Deficit Hyperactivity Disorder, (ADHD), previously known as Attention Deficit Disorder. We look at the ADHD symptoms, diagnosis (including criteria) and the treatment options. 
For more medicine videos consider subscribing (if you found any of the info useful!): 
https://www.youtube.com/channel/UCRks8wB6vgz0E7buP0L_5RQ?sub_confirmation=1
Patreon: https://www.patreon.com/rhesusmedicine
Buy Us A Coffee!: https://www.buymeacoffee.com/rhesusmedicine
Video Timestamps:
0:00 What is Attention Deficit Hyperactivity Disorder? 
0:20 Attention Deficit Hyperactivity Disorder Symptoms 
2:29 Attention Deficit Hyperactivity Disorder Complications
3:15 Attention Deficit Hyperactivity Disorder Pathophysiology
4:01 Attention Deficit Hyperactivity Disorder Causes
4:53 Attention Deficit Hyperactivity Disorder Diagnosis (DSM 5 Criteria) 
5:48 Attention Deficit Hyperactivity Disorder Treatment
USEFUL STUFF FOR STUDENTS:
1) FREE Amazon Prime 6 Months for Students 
UK: http://www.amazon.co.uk/joinstudent?tag=rhesusmedic09-21 
2) Pocket Cards: Lab Values / References / ECG / History Taking (Cheatsheets for rotations!):
US: https://amzn.to/41O28OM  UK: https://amzn.to/3H1LHX7
3) Suture Practice Kit: US: https://amzn.to/41uolBt  UK: https://amzn.to/41tFPhk
(We receive a small percentage of sales when qualifying purchases are made through these Amazon affiliate links!) 
LINK TO MORE MNEMONICS:
https://www.youtube.com/watch?v=p-XE7PiwGgE&amp;list=PLGNSE_HvIV4t7a33bbHN1fq-j_tge0Gmp
LINK TO SOCIAL MEDIA: 
https://twitter.com/RhesusMedicine
https://www.instagram.com/rhesusmedicine/
Other Questions answered and video tags:
Attention deficit hyperactivity disorder
ADHD
ADHD explained
Understanding attention deficit hyperactivity disorder
Attention deficit hyperactivity disorder
Attention deficit hyperactivity disorder treatment
Attention deficit disorder inattentive
Attention deficit disorder
Attention deficit hyperactivity disorder dsm 5 criteria
Attention deficit hyperactivity disorder dsm v criteria
Attention deficit hyperactivity disorder symptoms
Attention deficit hyperactivity disorder dsm 5
ADHD symptoms 
ADHD diagnosis
ADHD medication
Attention deficit disorder symptoms
Attention deficit disorder treatment 
Disclaimer: Please remember this video and all content from Rhesus Medicine is for educational and entertainment purposes only and is not a guide to diagnose or to treat any form of condition. The content is not to be used to guide clinical practice and is not medical advice. Please consult a healthcare professional for medical advice.
MUSIC IN THIS VIDEO:
Sound effects from ZapSplat.com
IMAGES:
No changes made
#medicalmnemonic #medicalmnemonics #rhesusmedicine #studymedicine #studygram #medstudent #medicalschool</t>
  </si>
  <si>
    <t>Link to video on antipsychotics: https://youtu.be/4a8Z-WZ_3Ug
Link to video on depression:
https://youtu.be/sB7a8tvNaO0
This video discusses schizophrenia, its pathophysiology, types, symptoms, and management.  The main types of schizophrenia include paranoid, hebephrenic, catatonic, and residual schizophrenia. 
There are key first and second rank symptoms you should be aware of, and that you only need one first-rank symptom in order to make a diagnosis. Once diagnosed, schizophrenia can be treated with typical or atypical antipsychotics, all of which carry their own side effects. 
If you have any questions, feel free to leave them down in the comments! 
------------------------------------
Learn more with the playlists below:
OBGYN playlist:
https://youtube.com/playlist?list=PL5dMnEPfWO15y7gv55pl1Z7odJ2kunzJQ
Neurology playlist:
https://youtube.com/playlist?list=PL5dMnEPfWO15s5SuSy1bV5e3p06XJyM7D
Pediatrics playlist: 
https://youtube.com/playlist?list=PL5dMnEPfWO16GS4rzHtMwrRDPVujmHUSs
Endocrinology playlist: 
https://youtube.com/playlist?list=PL5dMnEPfWO173DyhzdwcZSwG63yOswL_-
Genetics playlist:
https://youtube.com/playlist?list=PL5dMnEPfWO16KACtPxiHD394pOPNXzm04
Psychiatry playlist:
https://youtube.com/playlist?list=PL5dMnEPfWO15MbTJvtiNPy14BQvTt5wuN
------------------------------------
*Disclaimer*
Medsplanations is not providing any medical advice, and any videos on this channel should not be interpreted as such. All the videos are for educational purposes only. If you are worried about any symptoms you might be experiencing please contact a healthcare professional, as we are unable to provide any medical advice. 
*Copyright*
Any external images in these videos are used under the fair use law for educational purposes.</t>
  </si>
  <si>
    <t>Link to last video on the terretorio de zaguates:  https://www.youtube.com/watch?v=gsew6RhXhMw
Dogs can be wonderful for ADHD brains! 
But a lot of these benefits depend on you having a good relationship with your dog, so make sure you choose one that’s right for you and your family. Do as much research ahead of time as possible and make sure you meet your new family member in person before you commit!
http://www.akc.org/find-a-match/#slide1
http://www.animalplanet.com/breed-selector/dog-breeds/questionnaire/page1.html
picking a puppy (VIDEO): https://www.youtube.com/watch?v=J9khrqxVpAc
picking a shelter dog (article): http://3lostdogs.com/a-guide-to-choosing-the-right-dog-from-a-shelter/
WARNING: There are many “registries” that are essentially scams. You do NOT need to register your emotional support animal, or have a vest or ID card for them. All you need is a letter from your doctor or therapist explaining why you need one.  
For service animals, which autistic people often benefit from, you do not need a vest either, although many handlers choose to use one. What makes a service dog a service dog is the specialized training they go through to provide a specific task or tasks to assist with their handler’s disability and be able to behave in public places. 
More on service dog scams: http://servicedogcentral.org/content/fake-service-dog-credentials
Right to Emotional Support Animals in "No Pet” Housing:
http://www.bazelon.org/wp-content/uploads/2017/04/2017-06-16-Emotional-Support-Animal-Fact-Sheet-for-Website-final.pdf
More on emotional support animals: http://www.akc.org/content/entertainment/articles/everything-about-emotional-support-animals/ 
Link to Fair Housing Act: https://www.hud.gov/sites/documents/SERVANIMALS_NTCFHEO2013-01.PDF
Laws in other countries: https://assistancedogsinternational.org/access-and-laws/adi-guide-to-assistance-dog-laws/
Canada (opinion piece, provides links): http://helpmentalhealth.squarespace.com/canadian-laws/
What’s The Difference Between a Service Dog, Therapy Dog, and an Emotional Support Animal? (VIDEO) https://www.youtube.com/watch?v=4C459sQwrAo&amp;feature=youtu.be
More about service dogs: https://www.huffingtonpost.com/janice-celeste/service-dogs-not-allowed-_b_8062976.html
What NOT to do around service dogs (video by Drew Lynch): https://www.youtube.com/watch?v=U9PqaaIBjq0
Find an assistance dog! 
International: https://www.assistancedogsinternational.org/
Canada: http://www.cagads.com/programs.html
THE LIST OF STUDIES
Gadomski, A. M., Scribani, M. B., Krupa, N., Jenkins, P., Nagykaldi, Z., &amp; Olson, A. L. (2015). Pet Dogs and Children's Health: Opportunities for Chronic Disease Prevention?. Preventing Chronic Disease, 121-10. doi:10.5888/pcd12.150204
Gadomski, A. M., Scribani, M. B., Krupa, N., &amp; Jenkins, P. (2017). Pet dogs and child physical activity: the role of child-dog attachment. Pediatric Obesity, 12(5), e37-e40. doi:10.1111/ijpo.12156
Martin, K. E., Wood, L., Christian, H., &amp; Trapp, G. A. (2015). Not Just "A Walking the Dog": Dog Walking and Pet Play and Their Association With Recommended Physical Activity Among Adolescents. American Journal Of Health Promotion, 29(6), 353-356. doi:10.4278/ajhp.130522-ARB-262
Lundqvist, M., Carlsson, P., Sjödahl, R., Theodorsson, E., &amp; Levin, L. (2017). Patient benefit of dog-assisted interventions in health care: a systematic review. BMC Complementary &amp; Alternative Medicine, 171-12. doi:10.1186/s12906-017-1844-7
Schuck, S. B., Emmerson, N. A., Fine, A. H., &amp; Lakes, K. D. (2015). Canine-assisted therapy for children with ADHD: preliminary findings from the positive assertive cooperative kids study. Journal Of Attention Disorders, 19(2), 125-137. doi:10.1177/1087054713502080
Sugawara, A., Masud, M. M., Yokoyama, A., Mizutani, W., Watanuki, S., Yanai, K., &amp; ... Tashiro, M. (2012). Effects of Presence of a Familiar Pet Dog on Regional Cerebral Activity in Healthy Volunteers: A Positron Emission Tomography Study. Anthrozoos, 25(1), 25-34.
Dogs in the workplace: https://www.ncbi.nlm.nih.gov/pmc/articles/PMC5451949/
Special thanks to Alex and Duckie for consulting and providing links and research on this video! Puppy kisses, mwah!
-=-=-=-=-=-=-=-=-=-=-=-=-=-=-=-=-=-=-=-=-=-=-=-=-=-=-=-=
Facebook: http://facebook.com/howtoadhd
Twitter: http://twitter.com/howtoadhd
Support us on Patreon: http://patreon.com/howtoadhd
Music for "5 Ways Dogs Help ADHD Brains -- in 360 Degrees!!!":
"The Show Must Be Go”, "RetroFuture Clean", "Happy Happy Game Show", "Life of Riley", "Future Gladiator", "Daily Beetle"
Kevin MacLeod (incompetech.com)
Licensed under Creative Commons: By Attribution 3.0
http://creativecommons.org/licenses/by/3.0/</t>
  </si>
  <si>
    <t>Healthcare Model leadership 
Healthcare Management 
HCM 495 Healthcare Management Capstone</t>
  </si>
  <si>
    <t>#medicalknowledgeonline  , 
To define conduct and conduct disorders
To describe the various causes of conduct disorders
To discuss the types of conduct disorders
To enumerate the signs and symptoms of conduct disorders
To Enlist the diagnostic evaluation of conduct disorders
To discuss the treatment modalities for conduct disorders
To Describe the nursing care of child with conduct disorders
#medicalknowledgeonline,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</si>
  <si>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Topics &amp; Speakers:
What to ask for and when? Pros and Cons of each imaging modality
Dr. Sonal Garg - Consultant (Paediatric Radio-imaging and Radiodiagnosis)
EMG-NC basics and applications for Paediatricians
Dr. Margi Desai - Sr. Consultant (Clinical Neurophysiology)
Learning Disability and ADHD: A case-based approach and a short overview on Autism Awareness
Dr. Priyanka Parikh - Sr. Consultant (Developmental Paediatrics)
Questions and open discussion at the end of each talk</t>
  </si>
  <si>
    <t>in this Concept overview, we will discuss about difference between sugar and starch with various points, examples, quiz and questions.
Disclaimer:-               
Copyright Disclaimer under Section 107 of the copyright act 1976, allowance is made for fair use for purposes such as criticism, comment, news reporting, scholarship, and research. Fair use is a use permitted by copyright statute that might otherwise be infringing. Non-profit, educational or personal use tips the balance in favour of fair use.
#learninglessons #starch #sugar</t>
  </si>
  <si>
    <t>In this video i have deeply explained about major 3 health services like care of eyes,nails and skin.</t>
  </si>
  <si>
    <t>For B.Ed. Sem. II students
Department of Education</t>
  </si>
  <si>
    <t>This video has been made for all medical students specially for pharm d students. In this video you will get knowledge about Urocit-k(Potassium citrate) its Indications, Side effects, Dosage and warnings.</t>
  </si>
  <si>
    <t>Hi everyone! Welcome to my YouTube Channel Anju ka Jahan. This channel is not limited to any particular content. You will get videos related to mother health care, baby health care, cooking recipe, beauty tips and vlogs will also stream.
About this video
Shared my pregnancy story 
#anjukajahan 
#hindi 
#SubchorionicHemorrhageHindi
#SubchorionicHematoma
#PerichorionicCollection
Follow on 
Facebook Verma Anju
Instagram mom_n_littlemunchkin
Thanks for watching</t>
  </si>
  <si>
    <t>TH DIA 00387 Januvia Janumet Janumet XR pannel VDO 1 min low res</t>
  </si>
  <si>
    <t>Addnok tablet use in #india 
#medical  
#tabletennis 
#medicine 
#addnok tablet
#tables use in hindi
#drug details
#medical student
#medical shope
#medical lovin
#dvaiya
#buprenorphine
#side effect
# dose
#full detail
#new video</t>
  </si>
  <si>
    <t>#theories of disease causation#
#germ theory#
#epidemiological traid#
#multifactorial causation theory#
#web of causation#
#louis pasture#
#robert koch##msn basic concept#
#bsc nursing 2nd year#</t>
  </si>
  <si>
    <t>Things to know about gestational sac</t>
  </si>
  <si>
    <t>[This video is prepared by Occupational Therapy students from Universiti Teknologi MARA (UiTM)]
This video explains about the biological theories of aging, which includes;
1. Wear And Tear Theory
2. Rate of Living theory
3. Crosslinking theory
4. Free radical theory
5. Accumulation waste theory
6. Autoimmune theory
7. Error theory
8. Order to disorder theory (law of entropy)
Resources:
1. Anonymus,(2021, April 8). The Collateral Damage of Isolation is Also a Pandemic. hudsonreporter.com. Retrieved from https://hudsonreporter.com/2021/04/08/the-collateral-damage-of-isolation-is-also-a-pandemic/
2. BJORKSTEN, J. (1968). THE CROSSLINKAGE THEORY OF AGING. Journal of the American Geriatrics Society, 16(4), 408–427. doi:10.1111/j.1532-5415.1968.tb02821.x
3. Chandrasekaran, A., Idelchik, M. del P. S., &amp; Melendez, J. A. (2017). Redox control of senescence and age-related disease. Redox Biology, 11, 91–102. doi:10.1016/j.redox.2016.11.005 
4. Cunha, L. L., Perazzio, S. F., Azzi, J., Cravedi, P., &amp; Riella, L. V. (2020). Remodeling of the Immune Response With Aging: Immunosenescence and Its Potential Impact on COVID-19 Immune Response. Frontiers in immunology, 11, 1748. https://doi.org/10.3389/fimmu.2020.01748
5. Dean, W. New Life for an Old Theory
6. Diggs J. (2008) The Error Catastrophe (Accumulation) Theory of Aging. In: Loue S.J., Sajatovic M. (eds) Encyclopedia of Aging and Public Health. Springer, Boston, MA. https://doi.org/10.1007/978-0-387-33754-8_162
7. Diggs, J. (n.d.). Accumulative Waste Theory of Aging. Encyclopedia of Aging and Public Health, 74–75. doi:10.1007/978-0-387-33754-8_6 
8. Gladyshev, V. N. (2014). The Free Radical Theory of Aging Is Dead. Long Live the Damage Theory! Antioxidants &amp; Redox Signaling, 20(4), 727–731. doi:10.1089/ars.2013.5228 
9. Healthline. (2018). 10 Easy Ways to Boost Your Metabolism (Backed by Science). Retrieved from: https://www.healthline.com/nutrition/10-ways-to-boost-metabolism#TOC_TITLE_HDR_1
10. Kelly, J., (2021). Theory 4- Wear-and-Tear Theory. Retrieved April 11, 2021, from https://bio.libretexts.org/@go/page/40578
11. Mangan, P. (2016, August 18). The garbage catastrophe of aging and how to avoid it. Retrieved from https://medium.com/the-mission/the-garbage-catastrophe-of-aging-and-how-to-avoid-it-783fb2a795c5
12. Mercado-Sáenz, S., Ruiz-Gómez, M., Morales-Moreno, F., &amp; Martínez-Morillo, M. (n.d.). Cellular aging: Theories and technological influence. Retrieved from https://www.scielo.br/scielo.php?script=sci_arttext&amp;pid=S1516-89132010000600008
13. S. Sohal, R. (1986). The Rate of Living Theory: A Contemporary Interpretation. Department of Biology, 23-44
14. Schor, J., Schor, A., &amp; Schor, J. (n.d.). A new look at the free radical theory of aging. Retrieved from https://www.naturalmedicinejournal.com/journal/2016-02/new-look-free-radical-theory-aging
15. SingHealth. (2018, May 21). From Stress Management: https://www.singhealth.com.sg/patient-care/conditions-treatments/stress-management/
Stibich, M. (2020, April 17). The Wear and Tear Theory of Aging. Retrieved from verywellhealth: https://www.verywellhealth.com/wear-and-tear-theory-of-aging-2224235.com
16. T. Samaras, T. (1974). The Law of Entropy and the Aging Process. Human Develop, 17, 314-320
17. Viña, J., Borras, C., Abdelaziz, K. M., Garcia-Valles, R., &amp; Gomez-Cabrera, M. C. (2013). The Free Radical Theory of Aging Revisited: The Cell Signaling Disruption Theory of Aging. Antioxidants &amp; Redox Signaling, 19(8), 779–787. doi:10.1089/ars.2012.5111 
18. Watad, A., Bragazzi, N. L., Adawi, M., Amital, H., Toubi, E., Porat, B.-S., &amp; Shoenfeld, Y. (2017). Autoimmunity in the Elderly: Insights from Basic Science and Clinics - A Mini-Review. Gerontology, 63(6), 515–523. doi:10.1159/000478012
19. What is gene therapy? (2016, December 19). Retrieved from https://www.yourgenome.org/facts/what-is-gene-therapy</t>
  </si>
  <si>
    <t>#medicalknowledgeonline ,
Generic Name, Drug class, Precautions ,  How to use,  Side Effects ,.
 What is INDERAL ?   , 
 Vital information, 
 Before taking this medicine (Precautions ), 
 How to use ,
 Dosing information
 Miss a dose, Overdose ,
 Stop or Avoid Taking ,
Side Effects, 
 Other Drugs Will Affect,
#medicalknowledgeonline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</si>
  <si>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Define Hepatitis - C
Explain epidemiological determinants
Describe the pathophysiology
Explain the management of Hepatitis - C in detail
Enumerate and explain preventive interventions
#medicalknowledgeonline
-----------------------------------------------------------------------------------------------------------------------------------------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</si>
  <si>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
Generic Name, Drug class, Precautions ,  How to use,  Side Effects Drug class, 
 What is JALYN ?   , 
 Vital information, 
 Before taking this medicine (Precautions ), 
 How to use ,
 Dosing information
 Miss a dose, Overdose ,
 Stop or Avoid Taking ,
Side Effects, 
 Other Drugs Will Affect,
#medicalknowledgeonline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</si>
  <si>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
Generic Name, Drug class, Precautions ,  How to use,  Side Effects Drug class, 
 What is INCRUSE ELLIPTA ?   , 
 Vital information, 
 Before taking this medicine (Precautions ), 
 How to use ,
 Dosing information
 Miss a dose, Overdose ,
 Stop or Avoid Taking ,
Side Effects, 
 Other Drugs Will Affect,
#medicalknowledgeonline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</si>
  <si>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
Generic Name, Drug class, Precautions ,  How to use,  Side Effects ,.
 What is IINDAPAMIDE ?   , 
 Vital information, 
 Before taking this medicine (Precautions ), 
 How to use ,
 Dosing information
 Miss a dose, Overdose ,
 Stop or Avoid Taking ,
Side Effects, 
 Other Drugs Will Affect,
#medicalknowledgeonline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</si>
  <si>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utilize the critical thinking approach while performing health assessment of thorax
mention about the history collection aspects related to cardiovascular system
understand about the examination of heart
distinguish the normal &amp; abnormal heart sounds
perceive about the assessment of peripheral system
enumerate the normal age related variations
Utilize the critical thinking approach while performing health assessment of thorax
Mention about the history collection aspect related to thorax
Understand about the examination of respiratory sounds
Distinguish the normal &amp; abnormal respiratory sounds
Enumerate the age related variations
#medicalknowledgeonline
-----------------------------------------------------------------------------------------------------------------------------------------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</si>
  <si>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Discuss the prevalence of nutritional anaemia prophylaxis programme
List down the strategy of Nutritional anaemia prophylaxis programme
Enlist the Beneficiaries of Nutritional anaemia prophylaxis programme
#medicalknowledgeonline
-----------------------------------------------------------------------------------------------------------------------------------------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</si>
  <si>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
What is    Osteomyelitis. ?,
What is     Osteomalacia ? ,
What are the difference between  Osteomyelitis. and Osteomalacia ?,
#medicalknowledgeonline
-----------------------------------------------------------------------------------------------------------------------------------------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</si>
  <si>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
What is ANTI-MÜLLERIAN HORMONE TEST?, 
What is it used for?, 
Why do need this test?,
What happens during test?,
 Is need any preparation for the test?,
How long for the test ? 
Are any risks to this test?,  
what show Results  ?, 
What know more about the test?,
#medicalknowledgeonline
*********************************************************************************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</si>
  <si>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
What is MALARIA TESTS  ?, 
What is it used for?, 
Why do need this test?,
What happens during test?,
 Is need any preparation for the test?,
How long for the test ? 
Are any risks to this test?,  
what show Results  ?, 
What know more about the test?,
#medicalknowledgeonline
*********************************************************************************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</si>
  <si>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
What is BLOOD GLUCOSE TEST ?, 
What is it used for?, 
Why do need this test?,
What happens during test?,
 Is need any preparation for the test?,
How long for the test ? 
Are any risks to this test?,  
what show Results  ?, 
What know more about the test?,
#medicalknowledgeonline
*********************************************************************************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</si>
  <si>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
What is    Myalgia     ?,
What is   Fibromyalgia ? ,
What are the difference between  Myalgia and Fibromyalgia ?,
#medicalknowledgeonline
-----------------------------------------------------------------------------------------------------------------------------------------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</si>
  <si>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
What is    Pulled Muscle ?,
What is    Pinched Nerve ? ,
What are the difference between  Pulled Muscle and Pinched Nerve ?,
#medicalknowledgeonline
-----------------------------------------------------------------------------------------------------------------------------------------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</si>
  <si>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describe about care of rubber goods
discuss about care of mackintosh
explain about care of rubber tubes
enumerate the care of  rubber gloves
discuss about care of ambu bag
explain about care of stainless steel goods
describe about care of glass equipment
enumerate the care of plastic items
discuss the care of furniture
describe the maintenance of ward inventory and indent
#medicalknowledgeonline
-----------------------------------------------------------------------------------------------------------------------------------------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</si>
  <si>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
What is    Esophageal Cancer     ?,
What is   Throat Cancer ? ,
What are the difference between  Esophageal Cancer and Throat Cancer ?,
#medicalknowledgeonline
-----------------------------------------------------------------------------------------------------------------------------------------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</si>
  <si>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define training and supervision
mention the objectives of training and     supervision
state  various training programmes of  health 
  workers
discuss training of Local Dais and Multi purpose Health workers
describe training of  of ANMs, AWWs and  ASHAs
#medicalknowledgeonline
-----------------------------------------------------------------------------------------------------------------------------------------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</si>
  <si>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
What is    Alzheimer’s Disease.    ?,
What is   Dementia with Lewy Bodies ? ,
What are the difference between  Alzheimer’s Disease. and Dementia with Lewy Bodies ?,
#medicalknowledgeonline
-----------------------------------------------------------------------------------------------------------------------------------------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</si>
  <si>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List out the Aims, Objectives, Strategies and approaches of NMHP
Explain the activities of NMHP
Describe the National Health Authority, Policy and  Revised NMHP
#medicalknowledgeonline
-----------------------------------------------------------------------------------------------------------------------------------------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</si>
  <si>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#medicalknowledgeonline  , 
TO STUDY THE MENTAL HEALTH ACT,
#medicalknowledgeonline,
TOPICS
1. ANATOMY – Topics
https://www.youtube.com/playlist?list=PLpHbgG-0bk1e6Xp132f4RDODf35j3K-29
2. PHYSIOLOGY – Topics
https://www.youtube.com/playlist?list=PLpHbgG-0bk1ftq8D8uxdHYevjRgroDuSi
3. DISEASES – Topics
https://www.youtube.com/playlist?list=PLpHbgG-0bk1fR7WtZ4UBQOPuZmwmV7vmx
4. PUBLIC HEALTH- Topics
https://www.youtube.com/playlist?list=PLpHbgG-0bk1chQhBIlzByo01dT2wMH6u2
5. Rx – Topics
https://www.youtube.com/playlist?list=PLpHbgG-0bk1eJW5Tv_8j-Dz-wJoask5mE
6. LABORATORY TEST – Topics
https://www.youtube.com/playlist?list=PLpHbgG-0bk1cs5G5bbEomKCZfn0njbL4C
7. MEDICAL IMAGING – Topics
https://www.youtube.com/playlist?list=PLpHbgG-0bk1cF9nCqJ6B6yV7TwJJu3NQR
8. SURGICAL AND MEDICAL PROCEDURES – topics 
https://www.youtube.com/playlist?list=PLpHbgG-0bk1cAqAbH9fAxPS5TwWyIEx_B
9. MICROBIOLOGY – Topics
https://www.youtube.com/playlist?list=PLpHbgG-0bk1e6aqizuorJ442Tr-Eb5884
10. BIOCHEMISTRY – Topics
https://www.youtube.com/playlist?list=PLpHbgG-0bk1cNmdnfYfRVwYK1HQ6N-OLv
11. NUTRITION – Topics
https://www.youtube.com/playlist?list=PLpHbgG-0bk1fUqveXB4OEQGjGgmlGDxcB
12. HEALTH TOPICS
https://www.youtube.com/playlist?list=PLpHbgG-0bk1dmFflhPkIvlIghWQBa_20G
13. MEDICAL &amp; SURGICAL – Topics
https://www.youtube.com/playlist?list=PLpHbgG-0bk1e88sq0OPBOShixAPFF_KhF
14. PAEDIATRICS / CHILD HEALTH – Topics
https://www.youtube.com/playlist?list=PLpHbgG-0bk1duJlRJKUwVLNYogCVCQewb
15. MENTAL HEALTH – Topics
https://www.youtube.com/playlist?list=PLpHbgG-0bk1epTRE_JZkiPwanMh_THMvI
16. MATERNAL HEALTH – Topics
https://www.youtube.com/playlist?list=PLpHbgG-0bk1dHvRCzS5-B16HWpPcPtJ7i
17. COMMUNITY HEALTH – Topics
https://www.youtube.com/playlist?list=PLpHbgG-0bk1eYYtzvdToeaM0u1ZkNZhUU
18. NURSING FOUNDATION – Topics
https://www.youtube.com/playlist?list=PLpHbgG-0bk1e4-zihqhrVnum0TcbF3yjA
19. BIOSTATISTICS – Topics
https://www.youtube.com/playlist?list=PLpHbgG-0bk1dxxgHfN8LN21gedefLyDKG
20. PATHOLOGY – TOPICS
https://www.youtube.com/playlist?list=PLpHbgG-0bk1docqR_9WObka0sB9Kf6iNj
21. NURSING EDUCATION – Topics
https://www.youtube.com/playlist?list=PLpHbgG-0bk1fPliHpPyF9FUYCuB3Uu9iW
22. HOSPITAL MANAGEMENT AND HEALTH CARE ADMINISTRATION – Topics
https://www.youtube.com/playlist?list=PLpHbgG-0bk1cp_0BfMGCnEtqBuvxpQ6Fr
23. NURSING RESEARCH – TOPICS 
https://www.youtube.com/playlist?list=PLpHbgG-0bk1dtoJvH50Xcfl9pirf_syyH
24. NURSING FOUNDATION – Topics
https://www.youtube.com/playlist?list=PLpHbgG-0bk1e4-zihqhrVnum0TcbF3yjA
25.  PHARMACOLOGY – TOPICS 
https://www.youtube.com/playlist?list=PLpHbgG-0bk1cZQz_OVW2C-bn40VFmZl5T
26.  PUBLIC HEALTH – Topics
https://www.youtube.com/playlist?list=PLpHbgG-0bk1chQhBIlzByo01dT2wMH6u2
27.  INTERNATIONAL DAYS
https://www.youtube.com/playlist?list=PLpHbgG-0bk1dsgR5-OI_N8L3DNzPWXN6C
28. NURSING  - TOPICS
https://www.youtube.com/playlist?list=PLpHbgG-0bk1drpDWVEKVMrUUzp4W2SPOi
#medicalknowledgeonline</t>
  </si>
  <si>
    <t>How does a child with dyslexia feel? This is a 360 ° educational video aimed at sensitizing children, teachers and parents about dyslexia. Immerse yourself into the reality of dyslexic children, gaining a better understanding of their day-to-day life. This 360 video is the adaptation of a virtual reality app, part of our collection of virtual reality and empathy.
Thanks for visiting us! If you want your children to smile and learn, subscribe! :D
We only upload our own content, designed by educators so that children smile and learn while watching a video. 
All of our content reinforces educational values, encouraging the use of multiple intelligences and language learning. 
If you like our videos, download “The Smart Library” now. You’ll discover more than 70 interactive games and stories for children designed by educators. The stories are based on VALUES like friendship, respect, and generosity, and our games cover all of the MULTIPLE INTELLIGENCES. All our content is in SPANISH, ENGLISH, FRENCH, ITALIAN and PORTUGUESE. 
The perfect tool to use in and out of school.
Download it today!
-Apple Store: https://itunes.apple.com/us/app/smart-edutainment-library/id1062523369?mt=8
-Google Play: https://play.google.com/store/apps/details?id=net.smileandlearn.library
www.smileandlearn.com
Thank you for trusting us with your children's education!</t>
  </si>
  <si>
    <t>Warning: this film contains flashing lights, bright colours and loud, sudden noises. Some people might experience motion sickness in this 360 degree virtual reality film.
Prepare to step into the virtual reality world of Too Much Information.
Sometimes, autistic people become overloaded by everything around them. That can make the outside world feel like a terrifying place. And for their families, all the looks, judgements and tuts make it feel like a lonely and isolated place.
That’s why we’ve created a virtual reality experience in collaboration with autistic adults and children. So you can feel every single sight, every single sound, every single stare they endure on a simple trip to the shopping centre. So stay calm, take a breath and make sure your headphones are plugged in.
The question is: Will you make it to the end?
#AutismTMI
To fully experience sensory overload, grab your headphones, download the app and get Google cardboard goggles, available now at: www.autism.org.uk/VR
If you don't have a Google cardboard or a VR headset to hand, we highly recommend viewing the 360 video with headphones.
Warning: this film contains flashing lights, bright colours and loud, sudden noises
Copyright notice
This website and its content is copyright of The National Autistic Society - © The National Autistic Society 2017. All rights reserved.
Any redistribution or reproduction of part or all of the contents in any form is prohibited other than the following:
• you may print or download to a local hard disk extracts for your personal and non-commercial use only
• you may copy the content to individual third parties for their personal use, but only if you acknowledge the website as the source of the material
You may not, except with our express written permission, distribute or commercially exploit the content. Nor may you transmit it or store it in any other website or other form of electronic retrieval system.
// About Us
We are the UK's leading charity for people affected by autism.
We want a world where all people living with autism get to lead the life they choose.
We will transform understanding of autism and make sure everyone living with autism gets the support they need.
Find more information about Autism, and helpful resources on our website: http://bit.ly/NationalAutisticSociety</t>
  </si>
  <si>
    <t>This is a 360 degree video designed to represent the lunchroom of a standard high school for an autistic person. This specific experience is called extrasensory input.</t>
  </si>
  <si>
    <t>Imposter syndrome is reported to occur quite commonly in everyone, no matter what their level of accomplishment. How do we manage imposter syndrome, when we are experiencing it ourselves?</t>
  </si>
  <si>
    <t>Unlock the hidden power of Self-Verification Theory to boost your confidence and strengthen your relationships! _xD83C__xDF1F_ In this groundbreaking video, we dive into the fascinating science behind this psychological theory and reveal proven techniques to live your most authentic life. Watch now and start your journey towards self-discovery! Don't forget to like, share, and subscribe for more life-changing content! _xD83D__xDD25_ #SelfVerificationTheory #ConfidenceBoost #DiscoverYourself</t>
  </si>
  <si>
    <t>i feel very emotional and grateful for the universe to bringing me to this phase of life. it has taught me that sometimes you have to release everything that is blocking you from all that you deserve.
thank you so much for watching.
my socials *:･ﾟ✧
ig: @amydefe
tik tok: @amydefe
music *:･ﾟ✧
Music by Citrus Avenue - Paris, Darling - https://thmatc.co/?l=710FBD7B
Music by Mark Generous - Financial Freedom - https://thmatc.co/?l=14098EC6</t>
  </si>
  <si>
    <t>Spinal cord anatomy
spinal cord injury
Spinal cord exercise
Spinal cord pain
spinal cord neuroanatomy
Spinal cord lesions
spinal cord class 10
Spinal cord class 12
spinal cord pain relief excercise
spinal cord diagram
Spinal cord mnemonics
Spinal cord injury levels mnemonic 
ascending tracts of spinal cord mnemonic</t>
  </si>
  <si>
    <t>You probably hold incorrect beliefs about life insurance. There are a lot of false claims that ignorant people make, and holding these false beliefs could cost you millions of dollars. Let's fix that in today's video.
Get Term Life Insurance : https://www.ladderlife.com/
Term Life Insurance For Parents (could take as little as 5 minutes!) : https://meetfabric.com/
► Best Community To Learn To Make Money Online : https://jointherealworld.com/?a=wdkklmmqc6
► Get NordVPN (our preferred VPN for privacy and security) ➡ https://nordvpn.sjv.io/an1MeM
► Hire top 1% of freelancers for your business : https://bit.ly/3pLyYCb
► Join our FREE newsletter (you can unsubscribe anytime, no pressure☺️) : https://bit.ly/42kjuD0
► Subscribe for more valuable finance and investing videos  : https://bit.ly/42aZALy
None of this is meant to be construed as investment advice, it's for entertainment purposes only. In addition, some of the links above are affiliate links, meaning that at no additional cost to you, we may earn a commission if you click a link and make a purchase. The video is accurate as of the posting date but may not be accurate in the future.</t>
  </si>
  <si>
    <t>Winding up and Winding down | Dr Varudhini Kankipati | Silly Monks 
#WindingUpAndWindingDown #VarudhiniKankipati #SillyMonks
Dr Varudhini Kankipati, PhD is a practising psychologist who specializes in individual, family and group psychotherapy, working with children, adolescents, and adults. Her experience in behavioural health and psychotherapy counselling ranges from working with individuals dealing with depression, anxiety, attention issues, addiction, abuse, grief and loss, adjustment issues, marriage and relationship issues, family developmental problems, conflict resolution to trauma and crisis management.</t>
  </si>
  <si>
    <t>$5.00 USMLE STEP 1 PRACTICE TEST (280 FULL LENGTH QUESTIONS)
www.USMLEstep1PracticeTest.com
USMLE STEP 1 CARDIOVASCULAR CHEAT SHEET LINK: https://www.amazon.com/dp/B0BQP965WD?ref=myi_il_dp&amp;th=1
1 of 1
This is the visual mnemonic I use for remembering some of the important Hypothalamic nuclei. It covers the following:
Anterior
Posterior
Suprachiasmatic
Lateral
Medial
Hope whoever watches it finds it helpful. Let me know if you find any mistakes and I'll update it as soon as possible. Thanks for watching!</t>
  </si>
  <si>
    <t>Are you looking for a way to win salary negotiations? In this video, we're sharing an unbelievable trick that will help you achieve success!
This trick is so effective that you'll need to use it in your next salary negotiation. If you're looking for a way to increase your chances of getting a higher salary, then you need to watch this video! This trick will help you to win salary negotiations, and you won't believe how easy it is to use!
SUBSCRIBE, LIKE AND SHARE
- 
Get your free Career Welcome Pack:
https://welcome.banjialo.com
CHECK OUT MY MEDIUM PUBLICATIONS:
Profile:  https://banjialo.medium.com
Sign up on Medium: https://banjialo.medium.com/membership (affiliate)
LET'S CONNECT
Personal Website: https://banjialo.com
Twitter: https://twitter.com/banjialo
LinkedIn: https://www.linkedin.com/in/banjialo
Instagram: https://instagram.com/banjialo
TOOLS I USE (AFFILIATE):
Animation Software: https://bit.ly/3SMcXgs
Logitech MX Keys Keyboard: https://amzn.to/3AjAKNH
Blue Yeti Microphone: https://amzn.to/3SOfqqU
Logitech C922 Pro Stream Webcam: https://amzn.to/3CkxByH
Logitech MX Vertical Wireless Mouse: https://amzn.to/3SIVDsV
WordPress hosting to develop my website: https://tinyurl.com/yckvc7bc
Grammarly: https://tinyurl.com/y3f5wp6v
Please note that some of these links are affiliate links and I may earn a commission if you make a purchase using any of these links at no extra cost to you.
WANT TO SUPPORT THIS CHANNEL?
Buy me a coffee: https://buymeacoffee.com/banjialo
CAREER SERVICES
https://hinterviews.com.au
CONTACT
banji@banjialo.com</t>
  </si>
  <si>
    <t>Antisocial Personality Disorder (APD) is often co-occuring with substance use disorders. People with this kind of problems are often ignored or even punished by the social and (mental) health services. This video shows the specific characteristics of people with APD and the difficulties they are facing, but also the problems clinicians and caretakers face, when working with them.
Further the Impulsive Lifestyle Counselling program as a tool to work with this disorder is introduced.
For more specific information about the Impulsive Lifestyle Counselling (ILC) program and an overview of it's context and separate sessions look into this video:
https://youtu.be/fFndHEtWbeI
For research on APD and downloading the ILC manual visit our website
(so far the website is in Danish, but the manual is available for download in English):
https://psy.au.dk/forskning/forskningscentre-og-klinikker/center-for-rusmiddelforskning/temasider/behandling-af-antisocial-personlighedsforstyrrelse/</t>
  </si>
  <si>
    <t>Functional components of cranial nerves
https://youtu.be/ukJobD-_0cE
Anatomy of Midbrain
https://youtu.be/eQkhUFAPFSA
BASAL GANGLIA
https://youtu.be/HsqryGnTqA4</t>
  </si>
  <si>
    <t>We use the words interchangeably all the time: anxiety and stress. But they are different things! Here's how.
#bipolar #depression #bipolardisorder #mentalhealthawareness #mentalhealthmatters #stigmacrusher #mentalhealth #mentalillness #anxiety #antidepressant</t>
  </si>
  <si>
    <t>Welcome to our podcast 'Hope in the Deep End', brought to you by the Shared Health Foundation. 
In this podcast series we are exploring all the different complexities of working in areas of deprivation, poverty and entrenched health inequalities. From clinicians to youth workers, we want to inspire, challenge and give inspiration to all those that work in the deep end.
In this week's episode we're speaking to Dr Jen Davies, clinical psychologist at Shared Health Foundation. The Together Service is embedded in primary care and is accessible to all patients of the practice. The service works with all parents and expecting parents to create healthier bonds with their baby, and also with those who have experienced baby loss and trauma.
Follow us on Twitter @Sharedhealthgm
Want to appear on 'Hope in the Deep End'? Email us on contact@sharedhealth.org.uk</t>
  </si>
  <si>
    <t>Dr Varudhini Kankipati talks about Persistent Depressive Disorder (Dysthymia), the risk factors and symptoms! 
Persistent Depressive Disorder or Dysthymia is defined as a low mood occurring for at least two years, along with at least two other symptoms of depression. Examples of symptoms include lost interest in normal activities, hopelessness, low self-esteem, low appetite, low energy, sleep changes and poor concentration. Treatment includes medication and talks therapy.
#Depression #MentalHealth #mentalhealthawareness
Dr Varudhini Kankipati, PhD is a practising psychologist who specializes in individual, family and group psychotherapy, working with children, adolescents, and adults. Her experience in behavioural health and psychotherapy counselling ranges from working with individuals dealing with depression, anxiety, attention issues, addiction, abuse, grief and loss, adjustment issues, marriage and relationship issues, family developmental problems, and conflict resolution to trauma and crisis management.</t>
  </si>
  <si>
    <t>Buy "Memorable Psychiatry," "Memorable Psychopharmacology,” and "Memorable Neurology" on Amazon! http://memorablepsych.com/books 
In this video, we're going to take a whirlwind tour of mnemonics you can use to remember diagnostic criteria for every major psychiatric diagnosis! 
Intended for all healthcare providers, including doctors, medical students, psychologists, nurses, nurse practitioners, physician assistants, social workers, and more.
ATTRIBUTIONS
Beauty Flow Kevin MacLeod (incompetech.com)
Licensed under Creative Commons: By Attribution 3.0 License
http://creativecommons.org/licenses/by/3.0/
DSM https://commons.wikimedia.org/wiki/File:DSM-5_%26_DSM-IV-TR.jpg Creative Commons Attribution-Share Alike 3.0 Unported license.
Yosemite map, 1931 by Greg Bishop https://www.flickr.com/photos/konabish/7860109280 Attribution-NonCommercial-ShareAlike 2.0 Generic (CC BY-NC-SA 2.0)
Studying (Image by Kevin Phillips from Pixabay) https://pixabay.com/photos/studying-exams-preparation-951818/ PD
Nils Werner - Depression https://www.flickr.com/photos/130721398@N06/25363062843 Attribution-NonCommercial-ShareAlike 2.0 Generic (CC BY-NC-SA 2.0)
VCU Libraries - Prescription Pad https://www.flickr.com/photos/vculibraries/6032081853 Attribution-NonCommercial-ShareAlike 2.0 Generic (CC BY-NC-SA 2.0)
Carol Browne - Sacha digging - 223/365 https://www.flickr.com/photos/63299638@N00/2752058124 Attribution-NonCommercial-ShareAlike 2.0 Generic (CC BY-NC-SA 2.0)
Heroin. Attribution is to be given to Rehab Center Parus. When using on the Web, a link to http://rebcenter-moscow.ru is appreciated. https://commons.wikimedia.org/wiki/File:Heroin_Narcotic_drug.jpg Creative Commons Attribution-Share Alike 4.0 International license.
Gillie stalking the catnip Uploaded by Jacopo Werther Author Dwight Sipler from Stow, MA, USA https://commons.wikimedia.org/wiki/File:Gillie_stalking_the_catnip_(2587001371).jpg Creative Commons Attribution 2.0 Generic license.
Chris Yarzab Shocked https://www.flickr.com/photos/10957255@N08/31550725490 Attribution 2.0 Generic (CC BY 2.0)
The home of Fixers on Flickr Danny Bowman has led a very successful campaign about body dysmorphia https://www.flickr.com/photos/fixersuk/19362454398/ Attribution-NoDerivs 2.0 Generic (CC BY-ND 2.0)
Stuart Hamilton - 5 Emotions https://www.flickr.com/photos/stuandgravy/4032861 Attribution-NonCommercial-ShareAlike 2.0 Generic (CC BY-NC-SA 2.0)
An illustration depicting fear of abandonment in borderline personality disorder Author MissLunaRose12 https://commons.wikimedia.org/wiki/File:BPD_1.png Creative Commons Attribution-Share Alike 4.0 International license.
madamepsychosis - Dissociation https://www.flickr.com/photos/belljar/5316051 Attribution-NonCommercial-NoDerivs 2.0 Generic (CC BY-NC-ND 2.0)
evelina zachariou - Anorexia https://www.flickr.com/photos/evelynized/6880365093 Attribution-NonCommercial-NoDerivs 2.0 Generic (CC BY-NC-ND 2.0)
Thomas Hawk - Black and Tan Sundae, Fentons Ice Cream, Piedmont Ave https://www.flickr.com/photos/thomashawk/2500262938 Attribution-NonCommercial 2.0 Generic (CC BY-NC 2.0)
Autism English: Subject: Quinn, an ~18 month old boy with autism, obsessively stacking cans. Date: Late 2002. Place: Walnut Creek, California. Photographer: Andwhatsnext. Scanned photograph. Credit: Copyright (c) 2003 by Nancy J Price (aka Mom). This is an edited version of en:Image:Autism-stacking-cans.jpg. https://commons.wikimedia.org/wiki/File:Autism-stacking-cans_2nd_edit.jpg Creative Commons Attribution-Share Alike 3.0 Unported license.
Corie Howell - [365] 096 https://www.flickr.com/photos/coriehowell/3475820366 Attribution-NonCommercial-NoDerivs 2.0 Generic (CC BY-NC-ND 2.0)
Eye.Ess.Ohh - wink https://www.flickr.com/photos/24272300@N07/4651753405/ Attribution-NonCommercial-NoDerivs 2.0 Generic (CC BY-NC-ND 2.0)
An alcoholic man with delirium https://commons.wikimedia.org/wiki/File:An_alcoholic_man_with_delirium_Wellcome_L0060780_(level_correction).jpg Creative Commons Attribution 4.0 International license.
Timothy Tsui - "Panic" - Emily Kreetzer https://www.flickr.com/photos/timothytsuihin/14199686835 Attribution-ShareAlike 2.0 Generic (CC BY-SA 2.0)
Young girl running in Soviet-style school uniform. Photo by Adam Jones adamjones.freeservers.com https://commons.wikimedia.org/wiki/File:Young_Girl_in_Traditional_Dress_-_Running_-_Prokhorovka_-_Russia.JPG Creative Commons Attribution-Share Alike 3.0 Unported license.
Hyponosis https://www.lamag.com/culturefiles/heres-learned-hypnosis-motivation-institution/ Unclear copyright status but Google Images reports under a Creative Commons license. Engaging in fair use as the purpose of this video is education.
Justin Higuchi - XYLO EP Release Party 03/02/2019 https://www.flickr.com/photos/39400957@N03/47267887622 https://creativecommons.org/licenses/by/2.0/
Kate Brady - Sad emo boy https://www.flickr.com/photos/cliche/127618427 Attribution-ShareAlike 2.0 Generic (CC BY-SA 2.0)</t>
  </si>
  <si>
    <t>Buy "Memorable Psychiatry," "Memorable Psychopharmacology,” and "Memorable Neurology" on Amazon! http://memorablepsych.com/books 
Depression is one of the leading causes of death and disability worldwide, so it’s crucial to have a good understanding of it. Learn more about depression and dysthymia in this mnemonics-filled lecture intended for all healthcare providers, including doctors, medical students, psychologists, nurses, nurse practitioners, physician assistants, social workers, and more!
ATTRIBUTIONS
Beauty Flow Kevin MacLeod (incompetech.com)
Licensed under Creative Commons: By Attribution 3.0 License
http://creativecommons.org/licenses/by/3.0/</t>
  </si>
  <si>
    <t>In this video, I'll share with you how ChatGPT has helped me streamline my wedding photography business. ChatGPT is an AI language model that I've used to generate unique and attention-grabbing content like the title of this video, captions for my Instagram posts, blogging, and emails. ChatGPT has revolutionized the way I approach marketing and content creation for my business, allowing me to save time and focus on what I do best - capturing beautiful moments on camera. Whether you're a seasoned pro or just starting out, ChatGPT can help take your wedding photography business to the next level.
► Start Using ChatGPT Here:   https://openai.com
Hope you enjoy!
► FREE wedding timeline guide:   https://view.flodesk.com/pages/64347b9b1e84e5372ebd3528
 WEDDING AND PORTRAIT INQUIRIES:  @nicolekirkphoto
--
FIND ME:
Instagram: https://www.instagram.com/nicolekirkp...
Facebook: https://www.facebook.com/nicolekirkph...</t>
  </si>
  <si>
    <t>Being a mom is a 24/7/365 gig — which comes with an invisible workload that's in addition to other jobs, responsibilities, and personal care.
We all know how much time, effort, energy, and resources it takes to maintain a family. And the more people in it, the more work it takes.
Starting in the 20th century, most women in the United States found their daily activities and responsibilities had doubled. She was not just the home and family manager; she also became a full-time employee and even sometimes a sole breadwinner. Two full-time jobs — paid for one. Does her work ever end? Does anyone even notice her ‘invisible workload‘?
Watch family and marriage therapist Susan Harrington, founder of Maison Vie, explain "The Invisible Workload," how it often impacts mothers, and ways you can help even out the load so Mom feels appreciated, happier, and healthier _xD83D__xDC90_
You can also read the full blog post here - https://maisonvieneworleans.com/the-invisible-workload-of-motherhood</t>
  </si>
  <si>
    <t>Hiring a general contractor and want to avoid conflict, tension, or regret from making the wrong choice? In this video, I’m going deep into unknown tips on choosing the RIGHT general contractor for your remodeling needs by setting healthy boundaries and project expectations, and show you how they provide a guide to hiring the best contractor for your needs and simplify the hiring process.
Stop hiring ANY contractor or one that is immediately available. There are key questions you need to ask a contractor before hiring so you’re not left with regret from your choice or the unsavory taste of conflict, tension, and stress throughout your home renovation. 
➡️ Want more direction and clarity on how to hire the right contractor for your project needs? Watch this video: https://www.youtube.com/watch?v=Hg809By68Ks&amp;list=PLoIEUzpuDL1hgHkQ2w8awfetWhS7msGu8&amp;index=2
➡️Struggling to pull the trigger and hire a general contractor? I’d love to help you figure out the best options for your project needs. Reach out to me at gabriella@gabriellamilgrom.co and let me know how I can help you! 
➡️ Want to know the 9 KEY questions you need to ask a contractor before hiring to avoid regret??? Check out my blog post that breaks them all down for you _xD83D__xDE00_: https://www.gabriellamilgrom.co/post/hiring-a-contractor
TWEET THIS VIDEO: https://ctt.ac/_Ub96
SAY HI ON SOCIAL: 
Instagram: https://www.instagram.com/gabriellamilgrom.co/
Pinterest: https://www.pinterest.ca/gabriellamilgrom/
Facebook: https://www.facebook.com/gabriellamilgrom.co/
YouTube Video URL: https://youtu.be/4Zb-6lKI3Q8
#GabriellaMilgrom #HiringA Contractor #homeremodeling 
VIDEO CHAPTERS:
00:00 Introduction
01:51 #1 Availability + Accessibility For Response
02:31 #2 Preferred Method of Communication
03:40 #3 Timeframe for Response
04:32 #4 Project Forecasting Needs
05:55 #5 Contractor Response Time
06:46 2 Key Areas Within A Project
07:56 Summary</t>
  </si>
  <si>
    <t>In this vide I talk about scar revision (non surgical) and how it can help those of us with scars to feel more confident. I share my own personal experience of living with scars, and the way it impacted my life.
I also give you a brief overview of what's involved in a scar revision treatment programme with me, how long it takes and how it works. 
I mention my blog, where I shared my own personal trauma scar story, you can read it via the link below. 
https://www.nikkibutler.co.uk/2021/05/06/best-facial-scar-treatment-2/
If you'd like to chat about your own scars, or get in touch, you can either comment on this video, reach out to my on my socials, or email me directly at nikki@nikkibutler.co.uk.   
Best, Nikki x</t>
  </si>
  <si>
    <t>Have it ever happened to you: 
you try hard to follow a diet or start exercising, but there is no result?
or
you try hard, lose weight but then gain everything back plus a bit more?
There is one reason for it: the law of thermodynamics.
The question to ask is: ‘Why am I not in a calorie deficit?’
Then dig deep.
The answer can be simple, but more often than not…
you may keep asking why and arrive at very interesting conclusions!</t>
  </si>
  <si>
    <t>In this guide, we'll figure out what is a Session 0 and what you should expect as a player or as a gamemaster. Just some helpful things to think about and plan for before your first session!
Updated with more information and better audio.
00:00 - Introduction
00:34 - Session 0 for a Player
06:47 - Session 0 for a Gamemaster
20:46 - Closing and Thanks!
Twitter: https://twitter.com/SlyStrategist
Spoutable: https://spoutible.com/SlyStrategist
Instagram: https://www.instagram.com/slystrategist/
Facebook: https://www.facebook.com/SlyStrategist/
Reddit : u/theSlyStrategist
This video uses trademarks and/or copyrights owned by Paizo Inc., used under Paizo's Community Use Policy (paizo.com/communityuse). We are expressly prohibited from charging you to use or access this content. This video is not published, endorsed, or specifically approved by Paizo. For more information about Paizo Inc. and Paizo products, visit paizo.com</t>
  </si>
  <si>
    <t>Your local business has an SEO advantage over businesses with a broad reach when you execute my basic SEO strategies. Learn how to get found online throughout your service area. And, once your prospects have landed on your site, maximize your conversion rate. Learn more about SEO to get found online when you subscribe to my channel _xD83D__xDD34_ https://www.youtube.com/@UC6_Z9RseV2sQxd6c_YlAmoA 
This video contains basic and advanced SEO tips for local businesses_xD83D__xDC47_:
0:00 SEO tips for local business 2023
3:20 Common SEO mistakes 
8:08 SEO fundamentals 
10:59 SEO Content ideas for local businesses
19:43 Conversion rate optimization CRO ideas for local businesses 
Get personalized SEO Training for yourself or your team. Learn about my personalized SEO Training ➡️ https://emilyjourney.com/seo-training-services/ 
Want help with your SEO Strategy? You don't have to figure it out by yourself. Learn about my SEO Strategy Development services ➡️ https://emilyjourney.com/contact/ 
#seo #seo2023 #localbusinessseo #localbusinessmarketing #basicseo #advancedseo #seotraining</t>
  </si>
  <si>
    <t>Hi guys, in todays video Im gonna talk about my experience with Post Ssri Sexual Dysfunction - PSSD after taking ssri antidepressant called Zoloft also known as Sertraline. I had persistent issues with erection, weak orgasm and general numbness induced by antidepressants that my doctor never warned me about so I want to raise some awareness for people deciding to take this medication and also share some tips on how to better the condition. Please like, comment, subscribe and have a great day :)</t>
  </si>
  <si>
    <t>Follow Lindsay on social media: 
INSTAGRAM: https://www.instagram.com/lifttherapy/ 
FACEBOOK: https://www.facebook.com/LindsayBurkeMFT/ 
TWITTER: https://twitter.com/LIFTtherapy/ 
Lindsay Burke, LMFT, is a psychotherapist, behavior interventionist, life coach, mental health consultant, and founder of LIFTtherapy. With over 15 years of experience working with adults, children and their families in various home, school, clinical and hospital settings, Lindsay is dedicated to working, with integrity and humility, towards the enhancement of the mental health and well-being of all individuals, couples and families through treatment, consultation, coaching, teaching and the dissemination of information. In therapy, she is known for her warm, playful, strength-based and “keep it real” approach. She has served clients throughout the US, Germany, Europe and Australia with a dedication to inspiring hope and supporting her clients as they work towards meeting their highest potential. Lindsay has presented at the US Department of Justice’s regional conference and was recognized as one of the "Women Leading the Way" by the University of Kentucky President's Commission on Women in 2006. She served as a professional coach and “guide” to a family on the (Re)Connect Series show produced by Kelly Ripa airing on Disney+, runs groups and workshops for The Angry Therapist, and has been featured in The Chicago Tribune, The Good Men Project, The Lexington Herald Leader, Life &amp; Style Magazine, PopSugar, InTouch Magazine, AllTreatment, Medium, RelationUp, P-Therapy, JRNI and ElephantJournal. In the meantime, Lindsay teaches and trains in mixed martial arts, practices yoga, plays the piano and enjoys soaking up as much nature as possible with her family. Marriage &amp; Family Therapist | License #106046 Behavior Interventionist Life Coach Speaker Martial Artist Los Angeles, CA | 323.741.4768 | LIFTtherapycoach@gmail.com www.LIFTtherapy.us 
#LIFTtherapy #LIFTothersup #AskLinds</t>
  </si>
  <si>
    <t>If you know someone living with ADHD, you may have noticed how much passion they have for things they are really interested in. And Dr. Wendy Rice thinks THAT’S _xD83D__xDC4F__xD83C__xDFFC_ OK! _xD83D__xDC4F__xD83C__xDFFC_
☎️ (813) 969-3878
_xD83D__xDCBB_ ricepsychology.com
#mentalhealth #tampa #tampafl #focus #adhdawareness #adhdproblems #passion</t>
  </si>
  <si>
    <t>What does it feel like to have bipolar cyclothymia? I hope to be able to answer this question in the video from my perspective. If you're suffering from mental health issues and can relate to some of the experiences I talk about then I hope it helps. All I'm trying to do is shed some insight on the situation. If you have any thoughts of opinions please share
Peace and Love
Welcome to my channel Lifting out of the Lows where I share and document my experience with mental health and depression. I hope from sharing these videos and my experiences I'm able to help people along their own journey and make it somewhat easier (if that's possible) as I talk about things such as: 
* How to stop feeling depressed 
* My experience with mental health 
* How to stop feeling anxious 
* How to improve your mental health
* My journey through life 
* How to take action
* How to be happier in life 
I haven't got it all figured out, far from it. We're all on a journey that one never stops learning from but by creating these videos my aim is to help people and start more of a conversation around mental health. If you like the videos like, share and all the rest as the louder the message I'm sure the more people will benefit</t>
  </si>
  <si>
    <t>Unlock the secrets of dental hygiene for a healthier smile! Join us as we explore its importance, tips, and benefits. Discover its connection to overall well-being and get practical tips to elevate your oral care game. Subscribe now! #DentalHygiene #HealthySmile</t>
  </si>
  <si>
    <t>In Episode 2, we’re looking at what happens in your first integrative psychiatry appointment and how to prepare for your first psychiatrist visit. 
[+] Get our FREE Holistic Mental Health Mini-Course!
_xD83D__xDD38_ Click here: https://pacificintegrativepsych.com/minicourse/ 
[+] If you’re in California and want to learn more about Pacific Integrative Psychiatry
_xD83D__xDD38_ Click here to schedule a free mental health strategy session: https://pacificintegrativepsych.com/schedule-health-strategy-session 
✅  IN THIS VIDEO: 
0:00 - Introduction
0:47 - Invitation to sign up for the Free Mini Course
1:04 - What to expect in your first appointment
2:01 - How to prepare ahead of time?
4:36 - What is the psychiatrist going to ask?
6:16 - How to make the most of the first session?
8:38 - What happens next?
[+] Website: 
_xD83D__xDD38_ Check it out here: https://pacificintegrativepsych.com/
[+] Social: 
_xD83D__xDD38_ Instagram: https://www.instagram.com/pacificintegrativepsych
_xD83D__xDD38_ Facebook: https://www.facebook.com/pacificintegrativepsych 
#sleepdoctor #sleepexpert #mentalhealth #mentalwellbeing #depression #anxiety #health #wellness #sleephealth #selfcare #healthcare #psychiatry #integrativemedicine #integrativepsychiatry #holisticmedicine #mentalhealth #mentalwellness #psychiatrist</t>
  </si>
  <si>
    <t>Welcome back to the Recovery Channel! Todays video we are going over 10 helpful coping skill for Addiction and Recovery! These skills are helpful to reduce and mange triggers and cravings.
Follow us on Facebook and Instagram!
@appliedcareservices
Applied Care Services is a mental health service agency providing ARHMS, In-home/Community-based Psychotherapy, Outpatient Mental Health Psychotherapy and Recovery Services. We are located in White Bear Lake MN- check out our website at - https://www.appliedcareservices.com/</t>
  </si>
  <si>
    <t>Full Spectrum Behavior Analysis, LLC, is a Florida based company founded upon the science of Behavior Analysis as the chief means of improving the lives of individuals with Autism and Developmental Disabilities. We are dedicated to the ethical and effective practice of Applied Behavior Analysis for children and young adults with developmental disabilities. Our staff of over 200 ABA practitioners sets us apart from other companies. We have 8 PhD’s in ABA and Special Education who are Doctoral Level Behavior Analysts (BCBA-Ds). 
Visit our website: 
www.fullspectrumaba.com 
Follow us on: 
Facebook: www.facebook.com/fullspectrumaba/ 
Instagram: www.instagram.com/fullspectrumaba/ 
Don't forget to comment, like, share, and subscribe.</t>
  </si>
  <si>
    <t>For more resources on trauma, visit:
- www.InstituteCCR.org/Roll-Call
- www.ConferenceCAW.org
- www.GenesisShelter.org
This video was produced for the Institute for Coordinated Community Response by Sketchology Studios.</t>
  </si>
  <si>
    <t>Stand in the middle of the mind of someone with Dissociative Identity Disorder.  Based on true 'headspace' conversations, for the first time ever, we are able to embody the alternate identities using actors to portray them.
Listen to what they have to say, get to know their dynamic, and truly appreciate why it's important for their voices to be heard so a system (all the identities) can learn to communicate, cooperate and function.
ACTORS:
Jake - Will Sid Smith 
Jamie - David Flanagan
Ed - Thomas Fabian Parrish
Ollie - James Ryall
Jess - as herself
CREW:
@polyphonicsystem (instagram)
@tizzyrainbow (instagram)
@george.t.langdon (instagram)
---------
Self-help:
Even if it's online, try taking the time out to talk:
https://betterhelp.com/multiplicity
Social Media:
Facebook: https://www.facebook.com/multiplicityandme
Instagram: https://www.instagram.com/multiplicityandme
Twitter: https://twitter.com/multiplicityand
Tumblr: www.multiplicityandme.tumblr.com
Tumblr (the alters): www.multiplicityandwe.tumblr.com
Support:
Patreon: http://www.patreon.com/multiplicityandme
Wishlist: http://amzn.eu/ixnmvek
P.O. Box:
[alters name if wanted @] MultiplicityAndMe
PO BOX 141
Cwmbran
NP449DG
Wales, UK
--
Links may be affiliate links, but I will only promote brands that I trust. Thank you for supporting this channel.</t>
  </si>
  <si>
    <t>Psychologist Dr Graham Reynolds discusses substance use disorders.</t>
  </si>
  <si>
    <t>Everyday situations can be stressful for those on the autism spectrum. Step into the shoes of 16-year-old Layla as she attends a birthday party. Hear her inner thoughts and experience how overwhelming an occasion like this can be for her 
Warning: This film contains effects which may cause anxiety for some viewers.
Subscribe to The Guardian on YouTube ► http://is.gd/subscribeguardian
Support the Guardian ► https://support.theguardian.com/contribute
Today in Focus podcast ► https://www.theguardian.com/news/series/todayinfocus
Sign up for the Guardian documentaries newsletter ► https://www.theguardian.com/info/2016/sep/02/sign-up-for-the-guardian-documentaries-update
The Guardian ► https://www.theguardian.com
The Guardian YouTube network:
Guardian News ► https://www.youtube.com/guardianwires
Guardian Football ► https://www.youtube.com/user/GuardianFootball
Guardian Sport ► http://www.youtube.com/c/GuardianSportVideo
Guardian Live ► https://www.youtube.com/user/guardianmembership
Guardian Culture ► https://www.youtube.com/guardianculturearts
#autism #autismawareness #autismacceptance #autismo #</t>
  </si>
  <si>
    <t>The first 1,000 people to use the link will get a 1 month free trial of Skillshare https://skl.sh/katimorton04231  -- For a limited time, Skillshare is offering 40% off your first year of membership - one of their best offers out there! https://skl.sh/katimorton40
Let's talk about BPD parents - whether it be a mother or a father, or even a mother or father in law. Dealing with someone who has BPD is not an easy process, but we need to learn how to navigate ourselves and our own boundaries when intimately close to someone who has borderline personality disorder or we can be dramatically effected by BPD. The truth is that growing up in a BPD or any form of unhealthy household (narcissist or addiction or many other disorders or diseases). Navigating any BPD relationship in life can be very complex (whether it be a mom or a dad or a partner or any relationships that are close to you) and it's important we create the necessary boundaries in these borderline personality disorder relationships. Let's talk about the 6 ways to deal with a BPD parent (or any relationship) in your life. What else has worked for you in dealing with BPD relationships in your life (partner, mom, dad, colleague, friend, etc.)?
Let's talk more about BPD and the 10 signs of quiet borderline personality disorder: https://studio.youtube.com/video/4uix8HHzPag/edit?c=UCzBYOHyEEzlkRdDOSobbpvw
8 signs your mom is a narcissist: https://www.youtube.com/watch?v=Pfj4YEIGN-I 
What is borderline personality disorder? https://www.youtube.com/watch?v=zPopjuKuweg 
My Books (in stores now)
Traumatized   https://geni.us/Bfak0j  
Are u ok?    http://bit.ly/2s0mULy 
Journaling
Every Tuesday &amp; Friday I post a journal prompt to help keep you motivated and working on yourself. Join here: https://www.youtube.com/katimorton/join 
Online Therapy
I do not currently offer online therapy.  My sponsor BetterHelp can connect you with a licensed, online therapist, please visit: https://betterhelp.com/kati
Patreon
https://www.katimorton.com/kati-morton-patreon/
Podcasts
Opinions That Don't Matter!  &amp;  Ask Kati Anything!
video: youtube.com/c/OpinionsThatDontMatter
Partnerships
Linnea Toney  linnea@underscoretalent.com
Please Read 
If you or someone you know is in immediate danger, please call a local emergency telephone number or go immediately to the nearest emergency room.</t>
  </si>
  <si>
    <t>Recording of a live 1-hour webinar broadcasted on 3/22/19 for the National Board of Forensic Evaluators:
Some mental health professionals erroneously believe that once they've slapped a disorder label on an assessment, they've done their due diligence in formulating a DSM-5 diagnosis, but they're missing out on an important and critical aspect of diagnosis-- z-codes!  
What are "z-codes?"  If they aren't disorders, will insurance companies pay for them?  If not, then why are they important?  
A comprehensive list of z-codes is an integral part of diagnosis.  When clinicians learn to efficiently and effectively list z-codes, they can save themselves and others a great deal of time, write more meaningful treatment plans, more easily identify what's missing in their interventions, and thereby improve client outcomes.  
Whether you're a therapist seeking to improve your clinical skills or a forensic evaluator who wants to write a more effective evaluation report, this 1-hour webinar should equip you to start having fun with z-codes.
Learning Objectives:
1. Define z-codes and learn an efficient method for where and how to find then in the DSM-5.  
2. List reasons why z-codes are so important for thorough assessment and treatment planning.
3. Identify several z-codes in a case scenario.  
DISCLAIMER: Continuing education hours/certificates are available only for mental health professionals who attended the original live webinar event on 3/22/19.  This video was posted for educational purposes only.</t>
  </si>
  <si>
    <t>Are you a narcissist? Let's talk through it. I oftentimes get questions like, how do I know if I'm a narcissist, am I a narcissist, what is a narcissist, am I a narcissistic person and so many more. In this video let's talk all about narcissism. What narcissism is. What narcissism looks like. What is narcissistic personality disorder. The common signs or traits of narcissism. Then you can help figure out if you or someone you know may be struggling from narcissistic personality disorder, oftentimes called narcissism.</t>
  </si>
  <si>
    <t>We may come from a household with parents or a mother that is toxic or narcissistic or a codependent - and having a day specific to celebrating mom can bring up a lot of feelings. For many of us, we will likely always have a relationship with mom - whether that is good or bad. And your mom may always be narcissistic (or have narcissistic personality disorder) or codependent with you or toxic or whatever gripe you have with her or both of your parents, but you may still have to navigate that relationship with her. I'm talking through the 7 ways &amp; tips to improve your relationship with your mother (or father or dad too) so that days like mother's day are not as challenging for both of you. 
How to deal with toxic parents: https://www.youtube.com/watch?v=HfU3vliw_08
8 signs your mom is a narcissist: https://www.youtube.com/watch?v=Pfj4YEIGN-I
More family problems videos: https://www.youtube.com/watch?v=jGp7MdemQLU&amp;list=PL_loxoCVsWqyAlQyfLTtU8f0_hOQY6uX_ 
7 essential tips for navigating a difficult relationship with your mom:
1. Assess the relationship with your mother.
2. Acknowledge your role in your relationship with your mom.
3. Try seeing things from your mom's perspective. 
4. Try practicing forgiveness with your parents.
5. Assess your own needs and capabilities with the relationship.
6. Avoid trying to change your mom.
7. Set healthy boundaries with your family. 
Improving our relationships with our parents can be challenging, especially when complicated by abuse, addiction, or differing beliefs. However, by implementing these 7 steps, we can foster growth and find resolution. Remember, meaningful change requires effort. 
I'm Kati Morton, a licensed therapist making Mental Health videos!
--
My Books (in stores now)
Traumatized   https://geni.us/Bfak0j  
Are u ok?    http://bit.ly/2s0mULy 
Journaling
Every Tuesday &amp; Friday I post a journal prompt to help keep you motivated and working on yourself. Join here: https://www.youtube.com/katimorton/join 
Online Therapy
I do not currently offer online therapy.  My sponsor BetterHelp can connect you with a licensed, online therapist, please visit: https://betterhelp.com/kati
Patreon
Are you interested in supporting the creation of mental health videos? If so, please visit: https://www.katimorton.com/kati-morton-patreon/
Podcasts
Opinions That Don't Matter!  &amp;  Ask Kati Anything!
video: youtube.com/c/OpinionsThatDontMatter
Partnerships
Linnea Toney  linnea@underscoretalent.com
Please Read 
If you or someone you know is in immediate danger, please call a local emergency telephone number or go immediately to the nearest emergency room.</t>
  </si>
  <si>
    <t>Feeling alone lately and/or are you struggling to make new friends? The pandemic was a struggle for so many in so many ways - and one of those ways was not having the human connection necessary to make friends and build and maintain relationships in our lives. We may have asked ourselves how do I make new friends in college or how do I make new friends in my 30s or how do I make new friends in my 40s - or where do I make new friends. Friendships can be tough and if you recently moved or work from home or just struggle being vulnerable in social settings - building new friendships can be really difficult. Let's take me for example, I recently moved to a new city and am missing my friends back in Los Angeles. I'm in my 30s and work from home and making new friends has been really hard for me. I don't know where to go or what places to make new friends. I also know that making new friends takes effort and time and it's hard to dedicate time for new friendships. But then I can catch myself feeling alone or lonely - and as a therapist I know I need community and friendships. In this video I'm going to talk you through the 10 ways and places and tips and how to make new friends - whether you're in college or high school or in your 30s or 40s or 50s or whatever age. Know that making new friends and feeling alone is something so many people face and you're not alone - and there are people out there that are also looking to make new friends. What has worked for you in making new friendships? Where do you go to make new friends? How do you make new friends? Would love your tips, too!
Here are some other videos on how to build healthy friendships and make new friends in a new city or as an adult that may be helpful:
how to make friends easily | tips for the socially awkward, healthy friendships, how to be likeable: https://www.youtube.com/watch?v=rTgqcJ6_-KY
The Secret to Making New Friends as an Adult | Marisa G. Franco | TED:
https://www.youtube.com/watch?v=-k0p-DYYZKU
4 Steps to Making a New Friend | How to Life:
https://www.youtube.com/watch?v=nBWbALQIqIk
More videos on feeling lonely and loneliness from me:
THERAPIST SHARES The 4 Step Process For CURING LONELINESS &amp; Finding HAPPINESS|: https://www.youtube.com/watch?v=z3W3Lumym-s
Feeling alone: https://www.youtube.com/watch?v=ZUNm7FcuH8s
My Books (in stores now)
Traumatized   https://geni.us/Bfak0j  
Are u ok?    http://bit.ly/2s0mULy 
Journaling
Every Tuesday &amp; Friday I post a journal prompt to help keep you motivated and working on yourself. Join here: https://www.youtube.com/katimorton/join 
Online Therapy
My sponsor BetterHelp can connect you with a licensed, online therapist, please visit: https://betterhelp.com/kati
Patreon
https://www.katimorton.com/kati-morton-patreon/
Podcasts
Opinions That Don't Matter!  &amp;  Ask Kati Anything!
video: youtube.com/c/OpinionsThatDontMatter
Partnerships
Linnea Toney  linnea@underscoretalent.com
Please Read 
If you or someone you know is in immediate danger, please call a local emergency telephone number or go immediately to the nearest emergency room.</t>
  </si>
  <si>
    <t>Honestly, I'm not always certain about this question as it pertains to my life. Sometimes I'm like Kati, you're just burned out and you need a break. And other times I can find myself beating myself up for being too lazy or unmotivated and getting stuck into the compare and despair cycle. And then sometimes I'm like Kati are you depressed? Or Kati are you sad in your life right now or sad in general? Or Kati are you simply burned out on life? What is it? Am I lazy? Am I sad? Am I depressed? Am I burnt out? Do I need a break? Let's talk about this some more... because I see a lot of comments with people confusing and unsure what they really are. The truth is we may be depressed or sad and that may lead us to feeling lazy or overwhelmed - but let's talk about what those signs and symptoms are. Because, we can also be so hard on ourselves sometimes, or at least I know that I can, and I hope that this video helps you better understand that just because someone else looks like they're doing X, Y, Z we may be doing a different version of X, Y, Z or our personality type may not act that way. 
Sharing my depression story for the first time... https://www.youtube.com/watch?v=uyrKQAmGDts
My burn out story on feeling burnt out: https://www.youtube.com/watch?v=s_4bBcCfm1w
Six must know signs and symptoms of depressions: https://www.youtube.com/watch?v=51vdnwrfsNA
More Kati Unfiltered: https://www.youtube.com/watch?v=s_4bBcCfm1w&amp;list=PL_loxoCVsWqxMGZ1jTkj_mR_bxi1Pl1kV&amp;index=1
--
My Books (in stores now)
Traumatized   https://geni.us/Bfak0j  
Are u ok?    http://bit.ly/2s0mULy 
Journaling
Join here: https://www.youtube.com/katimorton/join 
Online Therapy
I do not currently offer online therapy.  My sponsor BetterHelp can connect you with a licensed, online therapist, please visit: https://betterhelp.com/kati
Patreon
Are you interested in supporting the creation of mental health videos? If so, please visit: https://www.katimorton.com/kati-morton-patreon/
Podcasts
Opinions That Don't Matter!  &amp;  Ask Kati Anything!
video: youtube.com/c/OpinionsThatDontMatter
Partnerships
Linnea Toney  linnea@underscoretalent.com
Please Read 
If you or someone you know is in immediate danger, please call a local emergency telephone number or go immediately to the nearest emergency room.</t>
  </si>
  <si>
    <t>Licensed Therapist Kati Morton discusses how and why someone who is vulnerable can be taken advantage of. Through her life experiences, she often finds that kindness can can be mistaken for naïveté and this is seen as a sign of weakness by others who then exploit and use that kindness to their advantage. Friends, co-workers, family members, it can happen with anyone and today I am exploring my own situations in life to better understand why this pattern of being taken advantage of happens frequently and how I might change my personal way of being in order to better protect myself from being taken advantage of - there are a lot of selfish people in this world or people who will use you or scam you if you don't stop it. Hopefully this video helps you create boundaries or end friendships that are one sided or not benefitting you any longer. 
Anyway, enough of me talking, let's talk about being taken advantage of, friends, family members or people who take advantage of or use you (for your kindness, your money, emotionally, as a therapist, etc.), and what you can do to stand up for yourself from being taken advantage of. 
More videos you may like: 
Why am I afraid to be happy? https://www.youtube.com/watch?v=OD9Zuj0M6Wc&amp;pp=ygUPa2F0aSB1bmZpbHRlcmVk 
People who get taken advantage of: why do they? https://www.youtube.com/watch?v=Qq3k10SlpoE
More Kati Unfiltered: https://www.youtube.com/watch?v=s_4bBcCfm1w&amp;list=PL_loxoCVsWqxMGZ1jTkj_mR_bxi1Pl1kV
--
Kati's Books (in stores now)
Traumatized   https://geni.us/Bfak0j  
Are u ok?    http://bit.ly/2s0mULy 
Journaling
Join here: https://www.youtube.com/katimorton/join 
Online Therapy
Kati does not currently offer online therapy.  My sponsor BetterHelp can connect you with a licensed, online therapist, please visit: https://betterhelp.com/kati
Patreon
Are you interested in supporting the creation of mental health videos? If so, please visit: https://www.katimorton.com/kati-morton-patreon/
Podcasts
Opinions That Don't Matter!  &amp;  Ask Kati Anything!
video: youtube.com/c/OpinionsThatDontMatter
Partnerships
Linnea Toney  linnea@underscoretalent.com
Please Read 
If you or someone you know is in immediate danger, please call a local emergency telephone number or go immediately to the nearest emergency room.</t>
  </si>
  <si>
    <t>Kati, can you talk about Narcissistic abusive parents and how to cope. (I believe I found this question below my 3 types of narcissists video). Before we get into to how to best cope, there are a few things I want to discuss first. Number one, when we grow up with a narcissistic parent what we struggle with most is emotional neglect. This happens most commonly when a parent is a narcissist because they always put their own needs ahead of their child’s. Remember Narcissism is when we demonstrate a pattern of grandiosity, need for admiration, and have a lack of empathy. So having a child isn’t something we can emotionally do (or at least not healthfully). And if we need a lot of admiration and have to feel important, being a parent to a baby and child couldn’t be farther from that. If we grew up with a parent who was narcissistic, this could mean that they weren’t able to do anything more than keep us alive. Forget the cuddles, patience when we were upset, or even them trying to figure out what was causing us to cry. If a narcissistic parent became embarrassed by their child, they could lash out at their child or even their spouse. Therefore, this could mean that as a child you were possibly emotionally or physically abused or at least neglected in many ways....
I'm Kati Morton, a licensed therapist making Mental Health videos!
#katimorton #therapist #therapy
MY BOOK
Are u ok? A Guide To Caring Your Mental Health
http://bit.ly/2s0mULy
JOURNALING CLUB
Every Tuesday &amp; Friday I post a journal prompt to help keep you motivated and working on yourself. Whether you add the prompts to your own journal at home or use the comment section under the prompt itself, this can be a great way to keep on track with journaling.  Join here: https://www.youtube.com/katimorton/join 
ONLINE THERAPY
I do not currently offer online therapy.  BetterHelp can connect you with a licensed, online counselor, please visit: https://betterhelp.com/kati
I receive commissions on referrals and recommend services I know and trust.
MY AMAZON RECOMMENDATIONS  https://www.amazon.com/shop/katimorton
PATREON
Are you interested in supporting the creation of mental health videos? If so, please visit: https://www.katimorton.com/kati-morton-patreon/
PODCASTS
Opinions That Don't Matter!  &amp;  Ask Kati Anything!
video: youtube.com/c/OpinionsThatDontMatter
Audio versions: 
https://opinonsthatdontmatter.buzzsprout.com/
https://askkatianything.buzzsprout.com/
BUSINESS EMAIL: Linnea Toney  linnea@underscoretalent.com
PO Box: 1223 Wilshire Blvd. #665 Santa Monica, CA 90403
PLEASE READ
If you or someone you know is in immediate danger, please call a local emergency telephone number or go immediately to the nearest emergency room.</t>
  </si>
  <si>
    <t>Get to know what Conduct Disorder is by following two fictional children – Lucas, who has Conduct Disorder, and Pablo, who does not. This video explains the DSM-5 definition and criteria for Conduct Disorder, mechanisms by which it arises, abnormalities in brain structure, and potential treatment options.
Subscribe to the McMaster Demystifying Medicine YouTube channel: https://www.youtube.com/c/DemystifyingMedicine
This video is provided for general and educational information only. Please consult your health care provider for Information about your health.
This video was made by McMaster students Theoktisti Dimakis, Nitara Fernando, and Mahnoor Akram in collaboration with the McMaster Demystifying Medicine Program
Copyright McMaster University 2022
If your child has conduct disorder or you know someone who is seeking help, the following resources may be helpful:
Conduct Disorder Resource Center: https://www.aacap.org/aacap/Families_and_Youth/Resource_Centers/Conduct_Disorder_Resource_Center/Home.aspx
National Federation of Families Resources:
https://www.ffcmh.org/resources-conductdisorder
Works Cited in the Video:
American Psychiatric Association. (2013). Diagnostic and statistical manual of mental disorders (5th ed.). https://doi.org/10.1176/appi.books.9780890425596
Choi, B. S., Kim, J. I., Kim, B. N., &amp; Kim, B. (2017). Comorbidities and correlates of conduct disorder among male juvenile detainees in South Korea. Child and adolescent psychiatry and mental health, 11(1), 1-7. https://doi.org/10.1186/s13034-017-0182-3 
Connor, D. F., Ford, J. D., Albert, D. B., &amp; Doerfler, L. A. (2007). Conduct disorder subtype and comorbidity. Annals of Clinical Psychiatry, 19(3), 161-168. https://doi.org/10.1080/10401230701465269 
Fairchild, G., Hawes, D.J., Frick, P.J. et al. Conduct disorder. Nat Rev Dis Primers 5, 43 (2019). https://doi.org/10.1038/s41572-019-0095-y
Maniglio, R. (2014). Prevalence of sexual abuse among children with conduct disorder: a systematic review. Clinical Child and Family Psychology Review, 17(3), 268-282. https://doi.org/10.1007/s10567-013-0161-z 
Passamonti, L., Fairchild, G., Goodyer, I. M., Hurford, G., Hagan, C. C., Rowe, J. B., &amp; Calder, A. J. (2010). Neural Abnormalities in Early-Onset and Adolescence-Onset Conduct Disorder. Archives of General Psychiatry, 67(7), 729–738. https://doi.org/10.1001/archgenpsychiatry.2010.75</t>
  </si>
  <si>
    <t>Created by Group 39 -  Kylie Nelson-Marois, Maddison Gates, Kelly Keys, and Karishma Shukla
For NEUR 3272  Neuroscience of Social Behavior at the University of Queensland</t>
  </si>
  <si>
    <t>Title: Tongue Twister
"A box of secrets; one tries to keep its contents hidden, yet how can the truth eventually be revealed?"
Actor/Actresses:
Karen Opema
Jhochelle Montante
Althea Maybituin
Nicole Aroyud
Charlene Capa
John Michael Gerasmio
Kayle Villavicencio 
Director: Charlene Capa
Script Writer: Ashlee May Rama
Screenplay Writer: Xylene Methyll Sayton
Producers:
Andrei Michaela Julian
Errol Trasportes
Ella Lastica
Isaiah Lebumfacil</t>
  </si>
  <si>
    <t>Everyone has to work in groups. Humans are social creatures after all. But how exactly does a group work and effectively accomplish a goal? What are the underlying mechanisms that drive successful teams? What phases and roadblocks to groups experience? And do people behave differently when in a group versus as an individual? 
Tune in for this and more on this episode of "The Science of Working in Groups". 
Let's connect!
› LinkedIn: https://www.linkedin.com/in/enrimarini
› Twitter: https://twitter.com/RealEnriMarini
› Medium: https://medium.com/@TheEthicalEngineer
› YouTube: https://www.youtube.com/channel/UCp8dswizdRHH5Mme0F2UIOQ</t>
  </si>
  <si>
    <t>Separation anxiety is when someone fears being apart from or losing a person or other attachment figure. Adults can experience separation anxiety, although it is more common in children.
A person may develop extreme anxiety due to the separation, or anticipated separation, from a specific attachment figure. This can be a person, place, or even an animal. A person may also manifest physical symptoms of separation anxiety, such as nausea and headaches.
On occasion, people may categorizeTrusted Source an adult with separation anxiety disorder as controlling or overprotective. However, their actions are often an adult’s way of expressing their fears in regard to separation.
Those with obsessive-compulsive disorder are more likely to experience separation anxiety. Those with separation anxiety often have other co-existing conditions, such as social phobias, panic disorders, or agoraphobia. Agoraphobia involves fear and anxiety of being in spaces where it may be difficult to escape or receive help.
Contact MHP for any related issue.
Dm us on instagram: @mhp.mentalhealthpeace
#mentalhealth #mentalhealthawareness #mentalhealthmatters #mentalwellness #psychology #psychologist #counseling #therapy #explorepage #explore #exploreuae #exploreDubai #anxiety #depression #selfcare #selflove #stress #mindfulness #wellness #selfimprovement #positivity #healing
#negativeeffectsofsocialmediao nmentalhealth #mentalhealthandtechnology
#reels #viral #trending #selfhelp #motivation #gratitude #trending #trebdingvideo</t>
  </si>
  <si>
    <t>Learn about what mindfulness is, and how it might be able to help you live a happier life.
Resources:
Videos: 
- https://www.youtube.com/watch?v=ZToicYcHIOU
- https://www.youtube.com/watch?v=ssss7V1_eyA
Articles: 
- https://www.psychologytoday.com/us/basics/mindfulness 
- https://www.psychologytoday.com/us/blog/evidence-based-living/201804/what-do-we-really-know-about-mindfulness 
Need a counselor? Use these links to find a therapist:
- https://www.psychologytoday.com/us/therapists
- https://www.talkspace.com/
- https://www.betterhelp.com/
- https://www.goodtherapy.org/find-therapist.html
Always remember: You are not alone, you can reach out and get the help you need!
Keywords: Mindfulness, meditation, counseling, treatment, stress, mental health</t>
  </si>
  <si>
    <t>Addressing the Barriers to Financial Inclusion and cashless Payment in Nigeria.</t>
  </si>
  <si>
    <t>Courtesy of Newswise MedNews. In the first-ever controlled study measuring the effectiveness of pharmaceutical direct-to-consumer advertising (DTCA), researchers found only a modest effect on drug sales. In some cases, DTCA had no effect at all.  Study authors Michael Law and Stephen Soumerai describe why direct to consumer advertising is ineffective. http://newswise.com/articles/view/543809/</t>
  </si>
  <si>
    <t>Join Emma as she explores what happens in our bodies when we enter the fight, flight, or freeze response.  Emma explains this use a caveman analogy which is ideal for younger viewers.  We also have a more detailed video on our YouTube channel.</t>
  </si>
  <si>
    <t>_xD835__xDDDB__xD835__xDDEE__xD835__xDDFD__xD835__xDDFD__xD835__xDE06_ _xD835__xDDE0__xD835__xDDFC__xD835__xDE01__xD835__xDDF5__xD835__xDDF2__xD835__xDDFF_'_xD835__xDE00_ _xD835__xDDD7__xD835__xDDEE__xD835__xDE06_ to all the wonderful moms. Book in _xD835__xDC76__xD835__xDC8F__xD835__xDC86_ _xD835__xDC6F__xD835__xDC86__xD835__xDC82__xD835__xDC8D__xD835__xDC95__xD835__xDC89_ _xD835__xDC77__xD835__xDC82__xD835__xDC84__xD835__xDC8C__xD835__xDC82__xD835__xDC88__xD835__xDC86_ @ 7000/- for your mother. The _xD835__xDC91__xD835__xDC82__xD835__xDC84__xD835__xDC8C__xD835__xDC82__xD835__xDC88__xD835__xDC86_ _xD835__xDC8A__xD835__xDC8F__xD835__xDC84__xD835__xDC8D__xD835__xDC96__xD835__xDC85__xD835__xDC86__xD835__xDC94_ 50+ _xD835__xDC95__xD835__xDC86__xD835__xDC94__xD835__xDC95__xD835__xDC94_ for your mother's health.  
#HealthyMom  
.
.
.
_xD835__xDDD9__xD835__xDDFC__xD835__xDDFF_ _xD835__xDDEE__xD835__xDDFB__xD835__xDE06_ _xD835__xDDFE__xD835__xDE02__xD835__xDDF2__xD835__xDDFF__xD835__xDDF6__xD835__xDDF2__xD835__xDE00_: 9606063461
_xD835__xDDE0__xD835__xDDFC__xD835__xDDFF__xD835__xDDF2_ _xD835__xDDF6__xD835__xDDFB__xD835__xDDF3__xD835__xDDFC_: https://bit.ly/truscan  
#mothersday #HealthyMom #MotherhoodMatters #StrongMothers #happymothersday #mothersday #motherslove #mothers #MomPower #SuperMom #HealthyMotherhood #WellnessForMothers #FitMomLife #SelfCareForMothers #healthpackages #healthtests #diagnostis #truscan #diagnostiscenter #truscandiagnosticcentre #RBIlayout #JPNagar #bangalore #bengaluru
__________________________________________________________________________
Follow us on:
Facebook: https://www.facebook.com/truscandiagno
Instagram: https://www.instagram.com/truscandiagno
Twitter: https://twitter.com/tru_scan
Learn More: https://truscan.in/</t>
  </si>
  <si>
    <t>Advancing Health Equity in Cancer Prevention and Control through Implementation Science -- April Oh, PhD, MPH</t>
  </si>
  <si>
    <t>Watch the webinar on Langerhans Cell Histiocytosis where  Dr. Michael M Henry shares ideas, advice, insights and best practices to take on the new world of better understanding LCH. Learn exclusive facts on histocytes, their functions and historical perspective, diagnosis, treatment, and unmet needs of LCH. Watch the full video to enhance your knowledge on this mysterious disease.
MDforLives APP is available for free -
Android - https://bit.ly/2STA3Yl
iOS devices - https://apple.co/3cVGVvm
Follow Us On:
Facebook:  https://www.facebook.com/MDforLives/
Twitter:       https://twitter.com/MDforLives/
Instagram:  https://www.instagram.com/mdforlives/
LinkedIn:    https://www.linkedin.com/company/mdfo...</t>
  </si>
  <si>
    <t>Interested in learning more? Check out the following video: https://youtu.be/4PI04RtSK2A  
TikTok’s unique algorithm has led it to become one of the fastest-growing apps and most addictive social media platforms. TikTok addictions can be classified as behavioural addictions, however, they are not recognized by the DSM-5.  This condensed video previews  what behavioural addictions are, why TikTok is addictive, and some coping strategies for TikTok addictions.
This video was made by McMaster University students Alison Slade, Maram Jaber, Tisha Parikh, and Khushi Shah, in collaboration with the Demystifying Research McMaster Program. 
This video is for educational purposes only. Please reach out to your healthcare provider for information about your health. 
Copyright McMaster University 2023. 
#TikTok #socialmedia #behaviouraladdictions #DSM-5 #brainrewardpathway #dopamine 
References: 
Franken, I. H., Booij, J., &amp; van den Brink, W. (2005). The role of dopamine in human addiction: from reward to motivated attention. European journal of pharmacology, 526(1-3), 199–206. https://doi.org/10.1016/j.ejphar.2005.09.025
Grant, J. E., Potenza, M. N., Weinstein, A., &amp; Gorelick, D. A. (2010). Introduction to behavioural addictions. The American journal of drug and alcohol abuse, 36(5), 233–241. https://doi.org/10.3109/00952990.2010.491884
Greenfield D. N. (2018). Treatment Considerations in Internet and Video Game Addiction:  A Qualitative Discussion. Child and adolescent psychiatric clinics of North America, 27(2), 327–344. https://doi.org/10.1016/j.chc.2017.11.007
Hartney, E. (2021, November 14). Cognitive behavioral therapy for addiction. Verywell Mind. https://www.verywellmind.com/cognitive-behavioral-therapy-for-addiction-21953
Koetsier, J. (2022, October 12). Digital Crack cocaine: The science behind TikTok's success. Forbes. https://www.forbes.com/sites/johnkoetsier/2020/01/18/digital-crack-cocaine-
the-science-behind-tiktoks-success/?sh=944035078beb
Lopez, S. (2021, February 14). TikTok is a dopamine factory. The Gauntlet. 
https://thegauntlet.ca/2021/02/14/tiktok-is-a-dopamine-factory/
Sun, Y., &amp; Zhang, Y. (2021). A review of theories and models applied in studies of social media addiction and implications for future research. Addictive behaviors, 114, 106699. https://doi.org/10.1016/j.addbeh.2020.106699
What medications are used in addiction treatment? Mission Harbor Behavioral Health. (n.d.). https://sbtreatment.com/medications-treat-addiction/</t>
  </si>
  <si>
    <t>This is a short video that describes a few basic concepts of how dopamine works.</t>
  </si>
  <si>
    <t>This video provides an overview of the development and the biological mechanisms that underlie substance use disorder (SUDs), commonly known as addiction. The focus of this video is to highlight use of recent use virtual reality in treating addictions as it dives into two studies. 
This video was made by McMaster University students Marielle Lubula, Selina Tang, Rushmila Barsha and Radmehr Abdollahi in collaboration with the Demystifying Research McMaster Program. 
This video is for educational purposes only. Please speak to your healthcare provider for information about your health. 
Copyright McMaster University 2023.
#Substanceesedisorder, #Addiction, #VirtualReality, #VR, #VirtualRealityTreatment
References
1. Substance Use and Co-Occurring Mental Disorders [Internet]. National Institute of Mental Health (NIMH). [cited 2022 Dec 7]. Available from: https://www.nimh.nih.gov/health/topics/substance-use-and-mental-health2. Strathearn L, Mertens CE, Mayes L, Rutherford H, Rajhans P, Xu G, et al. Pathways Relating the Neurobiology of Attachment to Drug Addiction. Frontiers in Psychiatry [Internet]. 2019 [cited 2022 Dec 7];10. Available from: https://www.frontiersin.org/articles/10.3389/fpsyt.2019.007373. Hayes A, Herlinger K, Paterson L, Lingford-Hughes A. The neurobiology of substance use and addiction: evidence from neuroimaging and relevance to treatment. BJPsych Advances. 2020 Nov;26(6):367–78.4. Administration (US) SA and MHS, General (US) O of the S. THE NEUROBIOLOGY OF SUBSTANCE USE, MISUSE, AND ADDICTION [Internet]. Facing Addiction in America: The Surgeon General’s Report on Alcohol, Drugs, and Health [Internet]. US Department of Health and Human Services; 2016 [cited 2022 Dec 7]. Available from: https://www.ncbi.nlm.nih.gov/books/NBK424849/5. Open Resources for Nursing (Open RN) 14.5 Neurobiology of Substance Use Disorders. [cited 2022 Dec 7]; Available from: https://wtcs.pressbooks.pub/nursingmhcc/chapter/14-5-neurobiology-of-substance-use-disorders/6. How Virtual Reality Can Help You Fight Addiction [Internet]. 2018 [cited 2022 Dec 7]. Available from: https://thedawnrehab.com/blog/virtual-reality-help-fight-addiction/7. Tsamitros N, Sebold M, Gutwinski S, Beck A. Virtual Reality-Based Treatment Approaches in the Field of Substance Use Disorders. Curr Addict Rep. 2021 Sep 1;8(3):399–407.8. Wong D. Research guides: Virtual Reality in the Classroom: What is VR? [Internet]. [cited 2022 Dec 7]. Available from: https://guides.library.utoronto.ca/c.php?g=607624&amp;p=49383149. Kaganoff E, Bordnick PS, Carter BL. Feasibility of Using Virtual Reality to Assess Nicotine Cue Reactivity During Treatment. Res Soc Work Pract. 2012 Mar 1;22(2):159–65.10. Shen YI, Nelson AJ, Oberlin BG. Virtual reality intervention effects on future self-continuity and delayed reward preference in substance use disorder recovery: pilot study results. Discov Ment Health. 2022 Sep 15;2(1):19.</t>
  </si>
  <si>
    <t>Since the rise of the COVID-19 pandemic, nurses working in the healthcare sector have been adversely impacted. In our video,we will present the reasons behind nursing shortages, negative impacts on nurses, current action that have been applied to help registered nurses in Ontario,and present future recommendations. We conclude our video with an exclusive interview with Ms. Chalupa, a working registered nurse in the greater Toronto area. 
This video was made by McMaster students Jasmine Brar, Abigail Liznick, and Reeham Siddique in collaboration with the Demystifying Research McMaster Program. 
We would like to thank Ms.Amy Chalupa for joining our interview segment and providing us with valuable insight into her career during the pandemic. 
This video is for educational purposes only. Please speak with your healthcare provider for information about your health. 
Copyright McMaster University 2023. 
1. Government of Canada SC. Experiences of health care workers during the COVID-19 pandemic, September to November 2021 [Internet]. The Daily. Statistics Canada; 2022 [cited 2022Nov13]. Available from:https://www150.statcan.gc.ca/n1/daily-quotidien/220603/dq220603a-eng.htm
2. Turale S, NantsupawatA. Clinician mental health, nursing shortages and the COVID-19 pandemic: Crises within crises. International nursing review. 2021 Mar;68(1):12-4.
3. Dyer O. Covid-19: Ontario Hospitals close wards as nursing shortage bites. BMJ. 2022
4. Lopez V, Anderson J, West S, Cleary M. Does the COVID-19 pandemic further impact nursing shortages?. Issues in Mental Health Nursing. 2022 Mar 4;43(3):293-5.
5. Häussl A, Ehmann E, Pacher A, Knödl K, Huber T, Neundlinger L, Osmanovic A, Plank-Straner A, Walter P, Schüssler S, Schoberer D. Psychological, physical, and social effects of the COVID-19 pandemic on hospital nurses. International Nursing Review. 2021 Dec;68(4):482-92.
6. Galanis P, Vraka I, Fragkou D, Bilali A, Kaitelidou D. Nurses' burnout and associated risk factors during the COVID-19 pandemic: A systematic review and meta-analysis. Journal of Advanced Nursing. 2021;77(8) 
7. Rosenberg K. RN shortages negatively impact patient safety. AJN, American Journal of Nursing. 2019;119(3):51.
8. Haddad LM, Annamaraju P, Toney-Butler TJ. Nursing shortage -statpearls -NCBI bookshelf [Internet]. Nursing Shortage. National Library of Medicine. Available from: https://www.ncbi.nlm.nih.gov/books/NBK493175/
9. Kwon C-Y, Lee B, Kwon O-J, Kim M-S, Sim K-L, Choi Y-H. Emotional labor, Burnout, medical error, and turnover intention among South Korean nursing staff in a University Hospital setting. International Journal of Environmental Research and Public Health. 2021;18(19):10111.
10. Nursing Through Crisis: A Comparative Perspective. [Internet]. Registered Nurses’ Association of Ontario. Registered Nurses’ Association of Ontario.; 2022 [cited 2022Nov20]. Available from: https://rnao.ca/sites/default/files/2022-05/Nursing%20Through%20Crisis%20-%20A%20Comparative%20Analysis%202022.pdf 11. Ontario Nurses' Association Court Challenge to bill 124 begins [Internet]. Ontario Nurses' Association. Ontario Nurses' Association; 2022 [cited 2022Nov20]. Available from:https://www.ona.org/news-posts/20220912-bill-124-court-challenge/#:~:text=Passed%20by%20the%20Ford%20government,for%20a%20three%2Dyear%20period.
12. Tamata AT, Mohammadnezhad M. A systematic review study on the factors affecting shortage of nursing workforce in the Hospitals. Nursing Open. 2022.</t>
  </si>
  <si>
    <t>We’ve all procrastinated before. But what exactly is procrastination? Why do we so desperately want to put off our work? Is there a biological reason that makes us do so? And finally, how can we prevent ourselves from procrastinating? All these questions will be answered, and more!
This video was made by McMaster University students Andy Cui, Becky Liang, Kushal Mavadia, and Arshia Mohammadi-Sanjani in collaboration with the Demystifying Research McMaster Program. 
This video is for educational purposes only. Please contact your healthcare provider for information about your health. 
Copyright McMaster University 2023. 
#procrastination #timemanagement 
References: 
Grunschel, C., Patrzek, J., Klingsieck, K. B., &amp; Fries, S. (2018). “I’ll stop procrastinating now!” Fostering specific processes of self-regulated learning to reduce academic procrastination. Journal of Prevention &amp; Intervention in the Community, 46(2), 143–157. https://doi.org/10.1080/10852352.2016.1198166
Kor, T. (2021, June 19). The Neuroscience Behind Procrastination. Race to a Cure. https://www.racetoacure.org/post/the-neuroscience-behind-procrastination
Schouwenburg, H. C. (1992). Procrastinators and fear of failure: An exploration of reasons for procrastination. European Journal of Personality, 6(3), 225–236. https://doi.org/10.1002/per.2410060305
Slowik, A. (1993). Procrastination: A review of the literature from 1974-1991. 108.</t>
  </si>
  <si>
    <t>Many of us have heard the idea that weightlifting in late childhood and adolescence can prevent youth from reaching their maximum height potential, but is this really true? This video will break down this myth, how it arose, and explain why it is just a myth. Next, this video will provide some background on how our bones actually grow and how growth plates work to make someone taller. Finally, it will aim to offer insight on the benefits of weightlifting for one’s mental and physical health, the potential harms of weightlifting, and best practices for youth aiming to get into weightlifting.
Note: We are not experts, and this video is purely for informational purposes. Before starting any physical activity or workout regimen, please consult your doctor or appropriate health care professional to see if this is right for you.
Introduction: 0:00-0:32
What is strength training?: 0:33-1:08
Origins of the myth and growth plates: 1:09-2:32
Likelihood of injury: 2:33-3:03
Epiphyseal fracture due to lifting heavy weights or playing intense sports: 3:04-3:40
When can a child start strength training?: 3:41-4:05
What factors influence growth?: 4:06-4:58
What does exercise do to growing bones?: 4:59-5:48
Should YOU weightlift?:5:48-6.01
What are the benefits of weightlifting? 6:12-7:40
Why is bone density important (Osteoporosis and sports related injuries)?: 7:41-8:16
Studies on the benefits of weightlifting towards recovery and chances of getting injured: 8:17-8:49
Is lifting the RIGHT FIT for you? Tips and tricks for weightlifting: 8:49-9:35
This video was made by McMaster University students Charles Cai, Vithuyan Sugumar, and Ashley Tsoi in collaboration with the Demystifying Medicine McMaster Program.
Copyright McMaster University 2023.
Due to character constraints the references could not be included in the description. Please see the comment below for all the references.</t>
  </si>
  <si>
    <t>This video addresses the dire issue of improper and uninformed use of dietary supplements. While exploring the current regulation on supplements, common deficiencies, and information on RDA (recommended daily allowance), as well as UL (tolerable upper limit), our video focuses on Vitamin A. It discusses how to maintain a balance between the daily required intake and vitamin A toxicity/deficiency, mentioning the harmful reactions between certain metals and vitamins/minerals when taken together. Overall, this video aims to deliver an informed and safer approach to taking dietary supplements to the general public.
This video was made by McMaster University students Adchaya Sivakaran, Simrat Arri, Kate Rokoss, and Omer Choudhry in collaboration with the Demystifying Research McMaster Program. 
This video is for educational purposes only. Please contact your healthcare provider for more information about your health. 
Copyright McMaster University 2023.
#RDA #UL #supplements
Image References: 
Vitamin A [Internet]. Jamieson Vitamins. [cited 2022 Nov 25]. Available from: https://www.jamiesonvitamins.com/products/vitamin-a
References for information mentioned in video: due to character constraints the references could not be included here. Please see the pinned comment for the full list of references.</t>
  </si>
  <si>
    <t>This video describes oppositional defiant disorder (ODD), conduct disorder (CD), and antisocial personality disorder (APD). With ODD we see there eight symptom criteria. An individual would need to have four of these symptom criteria to be considered for a diagnosis of ODD and there are a couple of other criteria as well. In terms of symptom criteria, four out of eight are required and these are in three categories: anger irritable mood, argumentative defiant behavior, and vindictiveness. When we look at conduct disorder we see there are fifteen symptom criteria and an individual would have to have at least three of these symptoms. There are four categories: aggression to people and animals, destruction of property, lying or stealing, and what the DSM refers to as “serious violations of rules.” A couple of examples here would be truancy or repeatedly staying out overnight without parental permission. Conduct disorder also requires clinically significant impairment, but not clinically significant distress. If an individual is 18 years or older, they can't meet the full criteria for antisocial personality disorder. Conduct disorder and antisocial personality disorder are mutually exclusive. ODD and conduct disorder are not mutually exclusive. An individual can be diagnosed with both ODD and conduct disorder at the same time. When we look at antisocial personality disorder, we see there are seven symptom criteria an individual would have to have at least three. Here we see repeatedly engaging behavior that is grounds for arrest, lying, impulsivity, irritability or aggressiveness, a disregard for the safety of others, irresponsible behavior, and a lack of remorse. For an individual to have APD they have to be at least 18 years or older and evidence of conduct disorder would have to have been present before the age of 15. This is an interesting symptom criterion, because this isn't saying that individual has to have a diagnosis of conduct disorder in order to be diagnosed with antisocial personality order later on, rather this is saying that evidence of symptoms of conduct disorder had to have been present before the age of 15. The last criterion for APD is that the symptoms aren't exclusively observed during the course of schizophrenia or bipolar disorder.
When we look at the relationship between these three disorders, we usually conceptualize O D as the least severe, with conduct disorder being the next most severe, and antisocial personality disorder being the most severe. We know that ODD is a significant risk factor for developing CD, and we also know that CD is a significant predictor of developing APD. There are a few different features of conduct disorder that make it much more likely that we would see an eventual development into antisocial personality disorder. For example, if the subtype of conduct disorder is the childhood onset subtype, which is where one symptom is present before the age of 10, that would increase the risk of developing antisocial personality disorder later on. Also, there is a specifier “with limited prosocial emotions,” that would also increase the risk of developing APD. In terms of the potential progression from ODD to CD to APD, there are a lot of different percentages out there in terms of what percent of individuals with ODD would move on to have CD and what percent of people with CD would move on to have APD. Even though there's some variability in the research in terms of the percentages, in general, the progression of ODD to CD occurs about one third of the time. We can say the same thing when looking at conduct disorder and antisocial personality disorder. About one of every three individuals with conduct disorder will eventually develop antisocial personality disorder. We can calculate that one out of nine presentations of oppositional defiant disorder will eventually go on to develop antisocial personality disorder. That is one-third times one-third. There is speculation in the mental health treatment community and the research community that really these three disorders are simply manifestations of the same underlying disorder that are dependent on someone's age. We don't know this for sure, however, this is just one of the theories that's out there. Understand the relationship between ODD, CD, and APD informs clinical treatment and further research on these disorders is warranted.</t>
  </si>
  <si>
    <t>This video explores the biological basis of HIV and AIDS with a focus on the ways in which PReP and PEP are able to lower the risk of infection and of limiting the spread of the virus in the body, respectively. 
This video was made by McMaster University students Marielle Lubula, Selina Tang, Rushmila Barsha and Radmehr Abdollahi in collaboration with the Demystifying Research McMaster Program.
This video is for educational purposes only. Please contact your healthcare provider for information about your health. 
#HIV, #AIDS, #HIVinfection, #HIVprevention, #PReP, #peppapig 
References: 
1. InformedHealth.org [Internet]. Cologne, Germany: Institute for Quality and Efficiency in Health Care (IQWiG); 2006-. How does the immune system work? [Updated 2020 Apr 23]. Available from: https://www.ncbi.nlm.nih.gov/books/NBK279364/
2. What Are HIV and AIDS? [Internet]. HIV.gov. [cited 2022 Oct 27]. Available from: https://www.hiv.gov/hiv-basics/overview/about-hiv-and-aids/what-are-hiv-and-aids
3. PrEP Effectiveness [Internet]. Cdc.gov. 2022 [cited 2022 Oct 27]. Available from: https://www.cdc.gov/hiv/basics/prep/prep-effectiveness.html
4. Learn About PEP [Internet]. Cdc.gov. 2022 [cited 2022 Oct 27]. Available from: https://www.cdc.gov/hiv/clinicians/prevention/pep.html
5. Iannuzzi S, von Kleist M. Mathematical modelling of the molecular mechanisms of interaction of tenofovir with emtricitabine against HIV. Viruses [Internet]. 2021;13(7):1354. Available from: https://europepmc.org/backend/ptpmcrender.fcgi?accid=PMC8310192&amp;blobtype=pdf</t>
  </si>
  <si>
    <t>This video intends to raise awareness about ovarian cancer to unmask why it is a silent killer. It will look at what ovarian cancer is, the various types, the general disease progression, and general statistics. By addressing the nonspecific and delayed symptoms, in addition to the lack of screening tools, it inspires viewers to become self-advocates who can recognize when ovarian cancer might be present in an individual. Consequently, this will hopefully make earlier diagnosis more common, resulting in early treatment, and a better prognosis. By increasing public awareness, support for women at risk and living with this condition can hopefully increase through research, advocacy, and communal support networks.
This video was made by McMaster University students Harene Buvanesan, Shehla Choudhary, Sanjoli Saini, and Cynthia Wang in collaboration with the Demystifying Medicine McMaster Program. 
A huge thank you to two associates of Ovarian Cancer Canada for your support in the creation of this video.
This video is for educational purposes only. Please speak to your healthcare provider for information on your health.
Copyright McMaster University 2023.  
#ovariancancer 
References:
1. What is Ovarian Cancer | Ovarian Tumors and Cysts [Internet]. American Cancer Society. [cited 2022 Nov 25]. Available from: https://www.cancer.org/cancer/ovarian-cancer/about/what-is-ovarian-cancer.html
2. Ovarian Germ Cell Tumors: What is it, Causes, Symptoms &amp; Treatment [Internet]. Cleveland Clinic. [cited 2022 Nov 25]. Available from: https://my.clevelandclinic.org/health/articles/6186-ovarian-germ-cell-tumors
3. Ovarian Stromal Tumors [Internet]. Moffitt Cancer Center. [cited 2022 Nov 25]. Available from: https://moffitt.org/cancers/ovarian-cancer/types/ovarian-stromal-tumors/
4. What is ovarian cancer? [Internet]. Canadian Cancer Society. [cited 2022 Nov 25]. Available from: https://cancer.ca/en/cancer-information/cancer-types/ovarian/what-is-ovarian-cancer
5. Gynecologic Oncology – Ovarian Cancer [Internet]. Weill Cornell Medicine. [cited 2022 Nov 25]. Available from: https://weillcornell.org/services/obstetrics-and-gynecology/gynecologic-oncology/conditions-we-treat/ovarian-cancer
6. Key Statistics for Ovarian Cancer [Internet]. American Cancer Society. [cited 2022 Nov 25]. Available from: https://www.cancer.org/cancer/ovarian-cancer/about/key-statistics.html
7. Gender Ratio in the World [Internet]. [cited 2022 Nov 25]. Available from: https://statisticstimes.com/demographics/world-sex-ratio.php
8. Ovarian Cancer Statistics [Internet]. Ovarian Cancer Research Alliance. [cited 2022 Nov 25]. Available from: https://ocrahope.org/patients/about-ovarian-cancer/statistics/
9. About Ovarian Cancer - Disease Basics, Prevention, Detection, Treatment, Education Programs [Internet]. Ovarian Cancer Canada. [cited 2022 Nov 25]. Available from: https://ovariancanada.org/About-Ovarian-Cancer
10. Shaaban AM, Rezvani M, Elsayes KM, Baskin HJ, Mourad A, Foster BR, et al. Ovarian malignant germ cell tumors: cellular classification and clinical and imaging features. Radiographics. 2014 Jun;34(3):777–801.
11. Stewart C, Ralyea C, Lockwood S. Ovarian Cancer: An Integrated Review. Semin Oncol Nurs. 2019 Apr;35(2):151–6.
12. Momenimovahed Z, Tiznobaik A, Taheri S, Salehiniya H. Ovarian cancer in the world: epidemiology and risk factors. Int J Womens Health. 2019;11:287–99.
13. Certain symptoms may be early signs of ovarian cancer [Internet]. Harvard Health. 2007 [cited 2022 Nov 25]. Available from: https://www.health.harvard.edu/cancer/certain-symptoms-may-be-early-signs-of-ovarian-cancer
14. Signs and Symptoms of Ovarian Cancer [Internet]. American Cancer Society. [cited 2022 Nov 25]. Available from: https://www.cancer.org/cancer/ovarian-cancer/detection-diagnosis-staging/signs-and-symptoms.html
15. Ovarian cancer - Symptoms and causes [Internet]. Mayo Clinic. [cited 2022 Nov 25]. Available from: https://www.mayoclinic.org/diseases-conditions/ovarian-cancer/symptoms-causes/syc-20375941
16. Penny SM. Ovarian Cancer: An Overview. Radiol Technol. 2020 Jul;91(6):561–75.
17. How to Check for Ovarian Cancer | Ovarian Cancer Screening [Internet]. American Cancer Society. [cited 2022 Nov 25]. Available from: https://www.cancer.org/cancer/ovarian-cancer/detection-diagnosis-staging/detection.html
18. Ovarian cancer - Diagnosis and treatment - Mayo Clinic [Internet]. [cited 2022 Nov 25]. Available from: https://www.mayoclinic.org/diseases-conditions/ovarian-cancer/diagnosis-treatment/drc-20375946
19. Doubeni CA, Doubeni AR, Myers AE. Diagnosis and Management of Ovarian Cancer. Am Fam Physician. 2016 Jun 1;93(11):937–44.
20. What Are the Risk Factors for Ovarian Cancer? [Internet]. Centers for Disease Control and Prevention. 2022 [cited 2022 Nov 25]. Available from: https://www.cdc.gov/cancer/ovarian/basic_info/risk_factors.htm
21. La Vecchia C. Ovarian cancer: epidemiology and risk factors. Eur J Cancer Prev. 2017 Jan;26(1):55–62.</t>
  </si>
  <si>
    <t>A love letter to the undiagnosed, the unmedicated, and the neurodivergent community, “If OCD Were a Person” is a radio drama that reimagines the experience of sexual intrusive thoughts. An intrusive thought, personified as Ian-Rufus Todd, hosts a talk show in which he gaslights and bullies his guest, Pookie O’Young, who is an individual with undiagnosed OCD.
Music:
"Danse Morialta" Kevin MacLeod (incompetech.com)
Licensed under Creative Commons: By Attribution 4.0 License
http://creativecommons.org/licenses/by/4.0/
"Happy Happy Game Show" Kevin MacLeod (incompetech.com)
Licensed under Creative Commons: By Attribution 4.0 License
http://creativecommons.org/licenses/by/4.0/
"Stages of Grief" Kevin MacLeod (incompetech.com)
Licensed under Creative Commons: By Attribution 4.0 License
http://creativecommons.org/licenses/by/4.0/
Sound effects obtained from www.zapsplat.com and www.pixabay.com
This video was made by McMaster University students Madeline Chan, Ariella Boltinsky, Sara Rafiei, and Tanvi Patel in collaboration with the Demystifying Research McMaster Program.
This video is for general and educational purposes only. Please consult your healthcare provider for information on your health. 
Copyright McMaster University 2023. 
References: 
1. Veale D, Roberts A. Obsessive-compulsive disorder. BMJ. 2014;348(apr07 6):g2183-g2183. doi:10.1136/bmj.g2183
2. Steinberg DS, Wetterneck CT. OCD Taboo Thoughts and Stigmatizing Attitudes in Clinicians. Community Ment Health J. 2017;53(3):275-280. doi:10.1007/s10597-016-0055-x
3. Belloch A, del Valle G, Morillo C, Carrió C, Cabedo E. To seek advice or not to seek advice about the problem: the help-seeking dilemma for obsessive-compulsive disorder. Soc Psychiatry Psychiatr Epidemiol. 2008;44(4):257. doi:10.1007/s00127-008-0423-0
4. Simonds LM, Thorpe SJ. Attitudes toward obsessive-compulsive disorders. Soc Psychiatry Psychiatr Epidemiol. 2003;38(6):331-336. doi:10.1007/s00127-003-0637-0
5. Teachman BA, Clerkin EM. Obsessional beliefs and the implicit and explicit morality of intrusive thoughts. Cogn Emot. 2007;21(5):999-1024. doi:10.1080/02699930600985576
6. Abramowitz JS, Franklin ME, Schwartz SA, Furr JM. Symptom presentation and outcome of cognitive-behavioral therapy for obsessive-compulsive disorder. J Consult Clin Psychol. 2003;71(6):1049-1057. doi:10.1037/0022-006X.71.6.1049</t>
  </si>
  <si>
    <t>The placebo and nocebo effects constitute medical phenomena for which there are numerous questions that still need to be answered. This video aims to provide some background regarding both the placebo and nocebo effects, prevailing theories, how the responses are evoked, the ethical implications of each, particularly with respect to informed consent, while debunking misconceptions, providing future questions, as well as delivering a case study. 
Expert collaborators: 
Dr. Moin Khan, McMaster University
Dr. Katja Linher-Melville, McMaster University
This video was made by McMaster University students Aashna Agarwal, Abesha Kuperan, Gurleen Sodhi, and Laura Venier in collaboration with the Demystifying Research McMaster Program. 
Subscribe to the McMaster Demystifying Medicine Youtube channel: https://www.youtube.com/channel/UCEwEYnO7yey-oBzyNu-AauQ 
This video is provided for general and educational information purposes only. Please consult your healthcare provider for more information.
Copyright McMaster University 2022
#DemystifyingMedicine #Placebo #Nocebo 
References:
Austin, D. (2021, October 27). Why do placebos work? Scientists identify key brain pathway. Science. https://www.science.org/content/article/why-do-placebos-work-scientists-identify-key-brain-pathway
Blease, C. R., Bishop, F. L., &amp; Kaptchuk, T. J. (2017). Informed consent and clinical trials: Where is the placebo effect? The BMJ, 356, j463. https://doi.org/10.1136/bmj.j463
Daniali, H., &amp; Flaten, M. A. (2020). Placebo Analgesia, Nocebo Hyperalgesia, and the Cardiovascular System: A Qualitative Systematic Review. Frontiers in Physiology, 11. https://www.frontiersin.org/articles/10.3389/fphys.2020.549807
Jonas, W. B. (2019). The Myth of the Placebo Response. Frontiers in Psychiatry, 10, 577. https://doi.org/10.3389/fpsyt.2019.00577
Klinger, R., Soost, S., Flor, H., &amp; Worm, M. (2007). Classical conditioning and expectancy in placebo hypoalgesia: A randomized controlled study in patients with atopic dermatitis and persons with healthy skin. Pain, 128(1–2), 31–39. https://doi.org/10.1016/j.pain.2006.08.025
Marchant, J. (2016, February 19). Five myths about placebos. Washington Post. https://www.washingtonpost.com/opinions/five-myths-about-placebos/2016/02/19/bff0c30a-d5bf-11e5-b195-2e29a4e13425_story.html
Placebo Effect. (n.d.). NCCIH. Retrieved November 22, 2022, from https://www.nccih.nih.gov/health/placebo-effect
Planès, S., Villier, C., &amp; Mallaret, M. (2016). The nocebo effect of drugs. Pharmacology Research &amp; Perspectives, 4(2), e00208. https://doi.org/10.1002/prp2.208
Shah, P., Thornton, I., Turrin, D., &amp; Hipskind, J. E. (2022). Informed Consent. In StatPearls. StatPearls Publishing. http://www.ncbi.nlm.nih.gov/books/NBK430827/
Stewart-Williams, S., &amp; Podd, J. (2004). The Placebo Effect: Dissolving the Expectancy Versus Conditioning Debate. Psychological Bulletin, 130(2), 324–340. https://doi.org/10.1037/0033-2909.130.2.324
Understanding placebo effects could help us better treat depression. (2022, January 20). Psychiatry - University of Toronto. https://psychiatry.utoronto.ca/news/understanding-placebo-effects-could-help-us-better-treat-depression
Image Reference:
Wager, T. D., &amp; Atlas, L. Y. (2015). The neuroscience of placebo effects: Connecting context, learning and health. Nature Reviews. Neuroscience, 16(7), 403–418. https://doi.org/10.1038/nrn3976
Icon Attributions:
https://storyset.com/health - Health illustrations by Storyset
https://www.flaticon.com/free-icons/dream" title="dream icons - Dream icons created by Freepik - Flaticon
https://www.flaticon.com/free-icons/process" title="process icons" - Process icons created by Freepik - Flaticon
https://storyset.com/document" - Document illustrations by Storyset
https://www.flaticon.com/free-icons/future" title="Future icons" - Future icons created by Uniconlabs - Flaticon
https://www.flaticon.com/free-icons/symptoms" title="symptoms icons" - Symptoms icons created by Flat Icons - Flaticon
https://www.flaticon.com/free-icons/medical-doctor" title="medical doctor icons" - Medical doctor icons created by Freepik - Flaticon</t>
  </si>
  <si>
    <t>TikTok’s unique algorithm has led it to become one of the fastest-growing apps and most addictive social media platforms. TikTok addictions can be classified as behavioural addictions, however, they are not recognized by the DSM-5. Like substance addictions, behavioural addictions heavily involve the brain's reward system which releases dopamine when a stimulus brings us pleasure. This pathway ultimately causes us to seek continuous pleasure and in the case of TikTok addictions, that pleasure is found in watching TikTok videos. In this video, we aim to convey what behavioural addictions are, why TikTok is addictive, and some coping strategies for TikTok addictions, primarily for an audience who thinks they may be addicted to TikTok.
This video will cover the following topics: 
- Introduction: 0:00 - 0:34
- What are Behavioural Addictions?: 0:34 - 1:18
- The Psychology Behind TikTok Addictions?: 1:18 - 2:25
- How Can it be Treated?: 2:25 - 2:55
- Conclusion: 2:55 - 3:12
This video was made by McMaster University students Alison Slade, Maram Jaber, Tisha Parikh, and Khushi Shah, in collaboration with the Demystifying Research McMaster Program. 
This video is for educational purposes only. Please reach out to your healthcare provider for information about your health. 
Copyright McMaster University 2023. 
#tiktok #behaviouraladdictions #dopamine 
References: 
Franken, I. H., Booij, J., &amp; van den Brink, W. (2005). The role of dopamine in human addiction: from reward to motivated attention. European journal of pharmacology, 526(1-3), 199–206. https://doi.org/10.1016/j.ejphar.2005.09.025
Grant, J. E., Potenza, M. N., Weinstein, A., &amp; Gorelick, D. A. (2010). Introduction to behavioural addictions. The American journal of drug and alcohol abuse, 36(5), 233–241. https://doi.org/10.3109/00952990.2010.491884
Greenfield D. N. (2018). Treatment Considerations in Internet and Video Game Addiction:  A Qualitative Discussion. Child and adolescent psychiatric clinics of North America, 27(2), 327–344. https://doi.org/10.1016/j.chc.2017.11.007
Hartney, E. (2021, November 14). Cognitive behavioral therapy for addiction. Verywell Mind. https://www.verywellmind.com/cognitive-behavioral-therapy-for-addiction-21953
Koetsier, J. (2022, October 12). Digital Crack cocaine: The science behind TikTok's success. Forbes. https://www.forbes.com/sites/johnkoetsier/2020/01/18/digital-crack-cocaine-
the-science-behind-tiktoks-success/?sh=944035078beb
Lopez, S. (2021, February 14). TikTok is a dopamine factory. The Gauntlet. 
https://thegauntlet.ca/2021/02/14/tiktok-is-a-dopamine-factory/
Sun, Y., &amp; Zhang, Y. (2021). A review of theories and models applied in studies of social media addiction and implications for future research. Addictive behaviors, 114, 106699. https://doi.org/10.1016/j.addbeh.2020.106699
What medications are used in addiction treatment? Mission Harbor Behavioral Health. (n.d.). https://sbtreatment.com/medications-treat-addiction/</t>
  </si>
  <si>
    <t>Over the last 150 years, there has been a global decline in the average age of menarche–the first occurrence of a menstrual period. For instance, in the 1840’s, the average age of menarche in Western countries was 16 and by the 2000s, the average reached 12.5. This secular trend has resulted in the age of menarche approaching its biological limit and has been linked to poor health outcomes like breast cancer, diabetes, heart disease and mental illnesses. In this video, we aim to investigate what factors may have led to this downwards trend using biological, environmental and social perspectives.
This video will cover the following topics: 
- Intro to Menarche: 0:00 - 0:42
- Why this is a Problem: 00:42 - 1:24
- Biological Factors: 1:24 - 2:14
- Environmental Factors: 2:14 - 3:23
- Social Factors: 3:23 - 3:47
- Conclusion: 3:47 - 4:25
This video was made by McMaster University students Khushi Shah, Maram Jaber, Tisha Parikh, and Alison Slade, in collaboration with the Demystifying Research McMaster Program. 
This video is for general and educational purposes. Please contact your healthcare provider for information about your health. 
Copyright McMaster University 2023. 
#menarche #period #menstruation
References
Ainy, A., Mehrabi, Y., &amp; Azizi, F. (2006). Comparison of menarche age between two generations of women (Tehran Lipid and Glucose Study). Journal of Inflammatory Diseases, 10(2), 36-40. http://journal.qums.ac.ir/article-1-150-en.html
Anderson, S. E., Dallal, G. E., &amp; Must, A. (2003). Relative weight and race influence average age at menarche: results from two nationally representative surveys of US girls studied 25 years apart. Pediatrics, 111(4), 844-850. https://doi.org/10.1542/peds.111.4.844
Canelón, S. P., &amp; Boland, M. R. (2020). A Systematic Literature Review of Factors Affecting the Timing of Menarche: The Potential for Climate Change to Impact Women’s Health. International Journal of Environmental Research and Public Health, 17(5), 1703. https://doi.org/10.3390/ijerph17051703
Chumlea, W. C., Schubert, C. M., Roche, A. F., Kulin, H. E., Lee, P. A., Himes, J. H., &amp; Sun, S. S. (2003). Age at menarche and racial comparisons in US girls. Pediatrics, 111(1), 110-113. https://doi.org/10.1542/peds.111.1.110
Dougherty, M. J. (1998, June 29). Why are we getting taller as a species? Scientific American. Retrieved November 7, 2022, from https://www.scientificamerican.com/article/why-are-we-getting-taller/ 
Dvornyk, V. (2012). Genetics of age at menarche: a systematic review. Human Reproduction Update, 18(2), 198-210. https://doi.org/10.1093/humupd/dmr050
Flaws, J. A., Sharara, F. I., Silbergeld, E. K., Hirshfield, A. N. (2000). 50 - Environmental exposures and women's reproductive health. In M. B. Goldman &amp; M. C. Hatch (Eds.),
Women and health (pp. 625 - 633), Academic Press. https://doi.org/10.1016/B978-012288145-9/50058-9.
Herman-Giddens, M. E., Slora, E. J., Wasserman, R. C., Bourdony, C. J., Bhapkar, M. V., Koch, G. G., &amp; Hasemeier, C. M. (1997). Secondary sexual characteristics and menses in young girls seen in office practice: a study from the Pediatric Research in Office Settings network. Pediatrics, 99(4), 505-512. https://doi.org/10.1542/peds.99.4.505
Kalmpourtzidou, A., Eilander, A., &amp; Talsma, E. F. (2020). Global Vegetable Intake and Supply Compared to Recommendations: A Systematic Review. Nutrients, 12(6), 1558. https://doi.org/10.3390/nu12061558
Karapanou, O., &amp; Papadimitriou, A. (2010). Determinants of menarche. Reproductive Biology and Endocrinology, 8(1), 115. https://doi.org/10.1186/1477-7827-8-115
Nicolucci, A., &amp; Maffeis, C. (2022). The adolescent with obesity: What perspectives for treatment? Italian Journal of Pediatrics, 48(1), 9. https://doi.org/10.1186/s13052-022-01205-w
Ramezani Tehrani, F., Mirmiran, P., Gholami, R., Moslehi, N., &amp; Azizi, F. (2014). Factors influencing menarcheal age: results from the cohort of tehran lipid and glucose study. International Journal of Endocrinology and Metabolism, 12(3), e16130.</t>
  </si>
  <si>
    <t>This YouTube video will investigate the pathophysiology and current guidelines for diagnosis and management of heart failure. We will explore the purpose and use of biomarkers BNP and NT-proBNP in the diagnosis of heart failure in cardiovascular disease patients. An expert in this field–cardiologist Dr. Gregory Curnew– discusses his personal insight on the diagnosis of heart failure, including the implementation of BNP and NT-proBNP biomarkers in his practice. With this video, we aim to increase awareness of advancements in diagnostic criteria of heart failure. 
This video was created by McMaster University students Jasleen Gill, Leili Hadayeghi, and Sunny Singh in collaboration with the Demystifying Research McMaster Program.  
This video is for educational purposes only. Please speak with your healthcare provider for information on your health. 
Copyright McMaster University 2023. 
#heartfailure #diagnosis #BNP #NTproBNP#pathophysiology #publicfunding #expert
References: 
Angiogram (cardiac catheterization). University of Ottawa Heart Institute. (n.d.). https://www.ottawaheart.ca/test-procedure/angiogram-cardiac-catheterization 
Cardiac MRI. University of Ottawa Heart Institute. (n.d.). https://www.ottawaheart.ca/test-procedure/cardiac-mri 
Chest X-rays. Mayo Clinic. (n.d.). https://www.mayoclinic.org/tests-procedures/chest-x-rays/about/pac-20393494 
Echocardiogram: Types and what they show. Cleveland Clinic. (n.d.). Retrieved November 25, 2022, from https://my.clevelandclinic.org/health/diagnostics/16947-echocardiogram 
Ezekowitz, J. A., O'Meara, E., McDonald, M. A., Abrams, H., Chan, M., Ducharme, A., Giannetti, N., Grzeslo, A., Hamilton, P. G., Heckman, G. A., Howlett, J. G., Koshman, S. L., Lepage, S., McKelvie, R. S., Moe, G. W., Rajda, M., Swiggum, E., Virani, S. A., Zieroth, S., … Sussex, B. (2017, September 6). 2017 comprehensive update of the Canadian Cardiovascular Society Guidelines for the management of heart failure. Canadian Journal of Cardiology. https://www.onlinecjc.ca/article/S0828-282X(17)30973-X/fulltext 
Heart failure. Heart and Stroke Foundation of Canada. (n.d). https://www.heartandstroke.ca/heart-disease/conditions/heart-failure 
Mayo Foundation for Medical Education and Research. (2022, March 19). Electrocardiogram (ECG or EKG). Mayo Clinic. https://www.mayoclinic.org/tests-procedures/ekg/about/pac-20384983 
Mayo Foundation for Medical Education and Research. (2021, June 3). Stress test. Mayo Clinic. Retrieved November 25, 2022, from https://www.mayoclinic.org/tests-procedures/stress-test/about/pac-20385234 
OHIP - bulletins - health care professionals - MOHLTC - Ontario. Ministry of Health. (2021, November 21). https://www.health.gov.on.ca/en/pro/programs/ohip/bulletins/ 
Pocket guides. Canadian Cardiovascular Society. (2022, July 15). https://ccs.ca/pocket-guides/ 
Use of B-type natriuretic peptide (BNP) and N-terminal probnp (NT-probnp) as diagnostic tests in adults with suspected heart failure: A Health Technology Assessment (n.d.). Ontario health technology assessment series. Retrieved November 25, 2022, from https://pubmed.ncbi.nlm.nih.gov/34055110/ 
Use of B-type natriuretic peptide (BNP) and N-terminal probnp (NT ... (n.d.). https://www.ontarioheartdoctors.ca/wp-content/uploads/2021/02/OAC-Letter-Natriuretic-Peptide-BNP-or-NT-proBNP-Testing-Feb.-9-2021.pdf 
U.S. National Library of Medicine. (n.d.). Home - PMC - NCBI. National Center for Biotechnology Information. https://www.ncbi.nlm.nih.gov/pmc/ 
Weber, M., &amp; Hamm, C. (2006, June). Role of B-type natriuretic peptide (BNP) and NT-probnp in clinical routine. Heart (British Cardiac Society). https://www.ncbi.nlm.nih.gov/pmc/articles/PMC1860679/</t>
  </si>
  <si>
    <t>In recent years, society has seen many frightening diseases: COVID-19, Ebola, and rabies, to name a few. What you might not know is that all of these diseases have one thing in common: they are zoonotic. In this video, we demystify zoonotic disease as a concept by explaining what they are, how they develop and transmit between animals and humans, and why they have been increasing in prevalence in recent years.
This video was made by McMaster students Andy Zhu, Jasmine Sodhi, Arina Mojavery, and Sara Ukropina in collaboration with the Demystifying Research McMaster program.
Copyright McMaster University 2023. 
This video is for general and educational purposes only. Please to your healthcare provider for information about your health. 
#Zoonotic  #zoonoses  #COVID-19
References:
Bezerra-Santos, M., Mendoza-Roldan, J.A., Thompson, R.C.A., Dantas-Torres, F., Otranto, D. (2021). Illegal Wildlife Trade: A Gateway to Zoonotic Infectious Diseases. Trends in Parasitology, 37(3); 181-184. 
Brownstein, J.S., Holdord, T.R., Fish, D. (2005). Effect of Climate Change on Lyme Disease Risk in North America. EcoHealth, 2; 38-46. 
Greenlee, J. E. (2022, March 7). Rabies. Merck Manuals Consumer Version; Merck Manuals. https://www.merckmanuals.com/en-ca/home/brain,-spinal-cord,-and-nerve-disorders/brain-infections/rabies
Major, D. (2022, October 23). Thousands call on government to reconsider ban on dogs from countries at risk of canine rabies | CBC News. CBCnews. Retrieved November 10, 2022, from https://www.cbc.ca/news/politics/dog-import-ban-petition-parliament-1.6625072 
Napolitano Ferreira, M., Elliott, W., Golden Kroner, R., Kinnaird, M.F., Prist, P.R., Valdujo, P., Vale, M.M. (2021). Drivers and causes of zoonotic diseases: An overview. Parks, 27; 15-24. 
Rahman, T., Sobur, A., Islam, S., Ievy, S., Hossain, J., El Zowalaty, M.E., Rahman, T., Ashour, H.M. (2020). Zoonotic Diseases: Etiology, Impact, and Control. Microorganisms, 8(9); 1405. 
Slingenbergh, J., Gilbert, M., De Balogh, K., Wint, W. (2004). Ecological sources of zoonotic diseases. Rev. sci. Tech. Off. int. Epiz, 23(2); 467-484. 
Virus. (n.d). Scitable: By Nature Education. Retrieved November 3, 2022, from https://www.nature.com/scitable/definition/virus-308/
World Health Organization. (2022, May 19). Monkeypox. World Health Organization. Retrieved November 3, 2022, from https://www.who.int/news-room/fact-sheets/detail/monkeypox</t>
  </si>
  <si>
    <t>This video will discuss mental illness as a whole, in order to destigmatize the topic and to teach the public how to show compassion towards who may be suffering. It will begin by explaining what mental illness is, and how it can be “invisible,”  followed by statistics showing how prominent mental illness is. It will then go through some generalized examples of what you may see in public, while explaining what could be going on in the person's head, or what could have happened earlier on in their day/life to contribute to how they are acting. The video will conclude by giving tips on how to show compassion to those around us, how to support those struggling with mental illness, and how to approach life with a “non-judgement” approach.
This video was made by McMaster University students Alexa Di Pede, Isabella Honeyborne, Shavez Khan, Ryan Demik in collaboration with the Demystifying Research McMaster Program. 
This video is provided for general and educational information only. Please consult your healthcare provider for more information about your health. Copyright McMaster University 2023.  
#mentalhealth #mentalillness #stopthestigma 
References:
[1] Mental illness - Symptoms and causes. Mayo Clinic. Available from: https://www.mayoclinic.org/diseases-c...
[2] psychiatry.org - What is Mental Illness?. Available from: https://www.psychiatry.org/patients-f...
[3] Understanding Mental Illness. CMHA Toronto. Available from: https://toronto.cmha.ca/understanding...
[4] Addiction. CAMH. Available from: https://www.camh.ca/en/health-info/me...
[5] The invisibility of mental illness. Available from: https://www.kevinmd.com/2022/03/the-i...
Music:
[1] Music by: Corporate Soft by LesFMhttps://lesfm.net/positive-background..., Music Promoted byhttp://www.chosic.com/free-music/all/, Creative Commons CC BY 3.0 https://creativecommons.org/licenses/...</t>
  </si>
  <si>
    <t>In this video, we explore Superbugs through an exciting interview with our expert Dr. Cheryl Main. Superbugs, or antibiotic-resistant bacteria, are bacteria that have gained the ability to defeat the drugs designed to kill them. The video specifically looks at a specific superbug called Methicillin-resistant Staphylococcus aureus (MRSA). In this video, Dr. Main educates us on what MRSA is, how a bacteria can turn into a superbug, why specifically MRSA is important, treatment options, and current research on fighting MRSA.
00:00-01:11 - Introduction
01:11-01:33 - Meet the Expert
01:33-03:10 - What is MRSA?
03:10-04:40 - How Superbugs are Formed
04:40-05:32 - Why is MRSA important?
05:32-06:45 - Treatments
06:45-08:03 - Expert Research
08:03-08:42 - Conclusion
This video was made by McMaster University students Elmira Noohpisheh, Mikayla Robinson, Ken Yu, and Rojina Sadeghi-Javid in collaboration with the Demystifying Research McMaster Program.
We would like to thank Dr. Cheryl Main, Medical Microbiologist and Doctor of infectious disease at Hamilton General Hospital and Associate chair of Education for the Department of Pathology and Molecular Medicine at McMaster University for interviewing for this video and reviewing its content.
This video is for educational purposes only. Please speak with your healthcare provider for information about your health. 
Copyright McMaster University 2023. 
#superbugs #MRSA  #Staphylococcusaureus #antibiotics #antibioticresistance
Paradise by Onycs https://soundcloud.com/onycsmusic 
Creative Commons — Attribution 3.0 Unported — CC BY 3.0
Free Download / Stream: http://bit.ly/3tVpCm6 
Music promoted by Audio Library https://youtu.be/G92hS8eUVaU
References 
Wein, H. (Ed.). (2019, October 28). Stop the spread of Superbugs. National Institutes of Health. 
Retrieved December 6, 2022, from https://newsinhealth.nih.gov/2014/02/stop-spread-superbugs
Loeb, Mark &amp; Main, Cheryl &amp; Eady, Angela &amp; Walker-Dilks, Cindy. (2003). Antimicrobial drugs for treating methicillin-resistant Staphylococcus aureus colonization. Cochrane database of systematic reviews (Online). 4. CD003340. 10.1002/14651858.CD003340. 
Tang, Patrick &amp; Worster, Andrew &amp; Srigley, Jocelyn &amp; Main, Cheryl. (2011). Examination of staphylococcal stethoscope contamination in the emergency department (pilot) study (EXSSCITED pilot study). CJEM. 13. 239-44. 10.2310/8000.2011.110242. 
Martin, Leslie &amp; Harris, Miriam &amp; Brooks, Annie &amp; Main, Cheryl &amp; Mertz, Dominik. (2015). Management and outcomes in patients with Staphylococcus aureus bacteremia after implementation of mandatory infectious diseases consult: A before/after study. BMC Infectious Diseases. 15. 10.1186/s12879-015-1296-y. 
Romero-Palacios, Alberto &amp; Petruccelli, Danielle &amp; Main, Cheryl &amp; Winemaker, Mitch &amp; Beer, Justin &amp; Mertz, Dominik. (2019). Screening for and decolonization of Staphylococcus aureus carriers before total joint replacement is associated with lower S aureus prosthetic joint infection rates. American Journal of Infection Control. 48. 10.1016/j.ajic.2019.09.022.</t>
  </si>
  <si>
    <t>#parenting #psychology #happyfamily #parentingtips 
In this video, we're sharing 10 easy parenting tips that will help you create a happy home. From setting boundaries to using positive reinforcements, these tips will help you raise children that are happy and ready for anything!
If you're looking for ways to create a happy home, then be sure to check out this video! These tips are easy to apply and will have a positive impact on your family's happiness and relationship!
-------
Chapters:
0:00 Intro 
0:23 Create a routine
0:42 Praise effort, not just achievements 
1:02 Use positive reinforcement
1:23 Set limits and boundaries
1:44 Listen to your child 
2:00 Be consistent 
2:18 Model good behavior
2:35 Take care of yourself
2:56 Allow for mistakes 
3:13 Spend quality time together
3:33 Outro</t>
  </si>
  <si>
    <t>#parenting 
There are four widely researched styles of parenting:
.Authorative 
.Permissive 
.Authoritarian 
.Neglectful</t>
  </si>
  <si>
    <t>An ADHD Simulation for Class</t>
  </si>
  <si>
    <t>Function First Coaching is a leading micro-credentialing organization on a mission to change the face of healthcare and wellness by empowering service providers, professionals, and leaders with a unique Coach Approach that increases patients' clinical outcomes and overall satisfaction. 
The Dive Into a Coach Approach™ four step journey entails over 50-hours of transformative professional development content that is accredited by the International Coaching Federation (ICF).
In this video, through the story of Helen and Sam, discover what is the Coach Approach in Healthcare and the impact of using this approach for both the healthcare practitioner and the patient  / client.
For more information, visit our website:
https://www.functionfirstcoaching.com/group-training/</t>
  </si>
  <si>
    <t>This  channel release videos on  psychology and psychological disorders and other Master of Social Work topics. It is handled by MSW, MPhil graduate with PG in Forensic Psychology. 
The information in the video is for educational purpose only.</t>
  </si>
  <si>
    <t>There are many ways an eating disorder can affect a person and their loved ones.</t>
  </si>
  <si>
    <t>Can situations bring symptoms? Yes, adjustment disorder speaks on how w/ examples, self-disclosure, and interventions!</t>
  </si>
  <si>
    <t>This is a re-upload of my recent interview with Dr. Heather Laird due to some YouTube transcoding issues on the original. Please visit the original to comment and 'Like'!
https://www.youtube.com/watch?v=WNDEoCjLAEM</t>
  </si>
  <si>
    <t>@interencething 
Easy step to take screen shot on your iPhone!
Press volume up and On/Off key together..
Showing as an example using Google website.
Used:
_xD83D__xDCF8_Apple Iphone 13 pro-4K 30fps
_xD83D__xDCF2_Apple iPad 5th gen
_xD83D__xDCF2_Inshot app-video editor
_xD83D__xDCF2_Phonto app-thumbnail
_xD83D__xDCF2_YT: YouTube studio app
Inshot App:
Music: The Universe Needs You
Musician: Sapajou
Site: https://www.youtube.com/watch?v=uLziLkjKD6E
Music: Zurna
Musician: Sapajou
Site: https://soundcloud.com/sapajoubeats/sapajou-zurna-1
Music: Fire
Musician: Shades</t>
  </si>
  <si>
    <t>Many people are convinced they need a turbinate reduction with their septoplasty. But truth is, it is completely unnecessary. Do not let your surgeon touch them!!! Empty nose syndrome is real and it’s awful and unforgiving. It will ruin you.</t>
  </si>
  <si>
    <t>I had surgery two years ago and ended up with this horrible condition. Made this for informational purposes to inform what can happen if you go threw with the procedure of turbinate reduction.</t>
  </si>
  <si>
    <t>In this week’s Sunday Sitdown, Academy Award-winning actor Jessica Chastain joins Willie Geist to talk about her Tony-nominated role in “A Doll’s House.” Chastain recalls finding her passion for theater in high school. “I would like skip school to read Shakespeare in my car. I mean that’s not something someone should be doing in high school,” Chastain jokes</t>
  </si>
  <si>
    <t>Watch Ben Platt and Micaela Diamond perform "This Is Not Over Yet" live on The Today Show.</t>
  </si>
  <si>
    <t>Kateri School’s Kindergarten class is in its 2nd year of a Pilot Project on PBL (Project Based Learning). Find out what it’s all about and what the students love about being outside in their Forest Kindergarten!</t>
  </si>
  <si>
    <t>Medical. Mindful. Modern. 
Health + Wellness Reporter Paige Kornblue takes us inside Boca Raton's first and only luxury medical spa to introduce Board-Certified and Fellowship Trained Facial Plastic Surgeon Dr. Melyssa Hancock, the M Spa aestheticians, technicians and staff and explain what M Spa is all about. 
More information in the Health + Wellness section of Today's Paige (the blog) at www.PaigeKornblue.com
You can also learn more from Dr. Hancock and the M Spa team on Today's Paige, the Podcast, Episode 21!</t>
  </si>
  <si>
    <t>Megyn Kelly on the "corrupt" leadership of the FBI based on Durham report findings.
LIKE &amp; SUBSCRIBE for new videos everyday: https://bit.ly/3Aw93yw
Watch full clips of The Megyn Kelly Show here: https://bit.ly/3xFXNxI
Sign up for American News Minute – My Weekly Email Conversation with You: https://www.megynkelly.com
Find the full audio show wherever you get your podcasts:
Apple — https://podcasts.apple.com/us/podcast/the-megyn-kelly-show/id1532976305
Spotify — https://open.spotify.com/show/0awxEJH88Xur0GHXuteBLw?si=0EcxxHSLQhO2uYmpUN13KQ&amp;dl_branch=1
Follow The Megyn Kelly Show on all social platforms:
Twitter — https://twitter.com/MegynKellyShow
Instagram — https://www.instagram.com/megynkellyshow/
Facebook — https://www.facebook.com/MegynKellyShow
Connect with me on social media:
Twitter — https://twitter.com/megynkelly
Instagram — https://www.instagram.com/megynkelly/
Facebook — https://www.facebook.com/MegynKellyShow</t>
  </si>
  <si>
    <t>If you or a loved one have been diagnosed with cancer, you may have heard about Keytruda, a breakthrough immunotherapy treatment. 
In this video, we explore how Keytruda works and its effectiveness in treating various types of cancer, including melanoma, lung cancer, and bladder cancer. 
We also discuss potential side effects and compare Keytruda to other cancer treatments. 
Whether you're a patient, caregiver, or simply interested in the latest advancements in cancer treatment, this video will provide valuable information about Keytruda and its role in fighting cancer.</t>
  </si>
  <si>
    <t>Watch TODAY Show favorites, celebrity interviews, show exclusives, food, recipes, lifestyle tips and more on TODAY All Day, a streaming network from TODAY.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
#TODAY #TODAYAllDay #Entertainment</t>
  </si>
  <si>
    <t>Get ahead on the latest news by streaming the most important national and global stories on CBS News Mornings.
#news #livenews #breakingnews
CBS News Streaming Network is the premier 24/7 anchored streaming news service from CBS News and Stations, available free to everyone with access to the Internet. The CBS News Streaming Network is your destination for breaking news, live events and original reporting locally, nationally and around the globe. Launched in November 2014 as CBSN, the CBS News Streaming Network is available live in 91 countries and on 30 digital platforms and apps, as well as on CBSNews.com and Paramount+.
Subscribe to the CBS News YouTube channel: http://youtube.com/cbsnews
Watch CBS News: http://cbsn.ws/1PlLpZ7c
Download the CBS News app: http://cbsn.ws/1Xb1WC8
Follow CBS News on Instagram: https://www.instagram.com/cbsnews/
Like CBS News on Facebook: http://facebook.com/cbsnews
Follow CBS News on Twitter: http://twitter.com/cbsnews
Subscribe to our newsletters: http://cbsn.ws/1RqHw7T
Try Paramount+ free: https://bit.ly/2OiW1kZ
For video licensing inquiries, contact: licensing@veritone.com</t>
  </si>
  <si>
    <t>Walt and Aline Zerrenner have found a range of coping mechanisms to deal with her memory loss. Join them as they tackle a typical day.
More from The New York Times Video: 
Subscribe: http://bit.ly/U8Ys7n
Watch all of our videos here: http://nytimes.com/video
Facebook: https://www.facebook.com/nytvideo
Twitter: https://twitter.com/nytvideo
----------
Whether it's reporting on conflicts abroad and political divisions at home, or covering the latest style trends and scientific developments, New York Times video journalists provide a revealing and unforgettable view of the world. It's all the news that's fit to watch.</t>
  </si>
  <si>
    <t>@JonasBrothers  #Superfan #HaleyLuRichardson explains how she came to be a fan of the band, and how @JoeJonasVEVO  asked her to be in the music video for their song #Wings. #TODAYShow #JonasBrother #CitiConcertSeries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t>
  </si>
  <si>
    <t>The first full trailer is out for Season 2 of the food dramedy series “The Bear.” New episodes start streaming June 22 on Hulu.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
» Stream TODAY All Day: https://www.today.com/allday
About: TODAY All Day is a 24/7 streaming channel bringing you the top stories in news and pop culture, celebrity interviews, cooking, and more. All in one place.
#hulu #thebear #firstlook</t>
  </si>
  <si>
    <t>Actor Taylor Lautner and his wife, Taylor Lautner, join TODAY and discuss their new podcast called “The Squeeze” that focuses on mental health, relationships and more. The Lautners also share how their family and friends avoid confusion with the two of them having the same first name. “We’ve kind of got ‘Boy Tay’/’Girl Tay’ going on,” Girl Tay says.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
» Stream TODAY All Day: https://www.today.com/allday
About: TODAY All Day is a 24/7 streaming channel bringing you the top stories in news and pop culture, celebrity interviews, cooking, and more. All in one place.
#podcasts #tiktok #celebrity</t>
  </si>
  <si>
    <t>Memorial Weekend, the unofficial kickoff to summer, is fast approaching — and AAA says the roads and skies will be busier than ever. From saving on gas prices and flights to beating the summer rush and scouting deals, NBC's Vicky Nguyen shares tips for planning ahead.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
» Stream TODAY All Day: https://www.today.com/allday
About: TODAY All Day is a 24/7 streaming channel bringing you the top stories in news and pop culture, celebrity interviews, cooking, and more. All in one place.
#mdw #vacation #travel</t>
  </si>
  <si>
    <t>In an interview with NBC News correspondent #JacobSoboroff, @Dolly Parton said her new #WorldOnFire song is about the lack of humanity in politics today: “I just really think that often they worry more about the party than they do about the people.” #todayshow #acmawards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t>
  </si>
  <si>
    <t>#MarthaStewart is not just our queen, but also the newest model gracing the cover of @SportsIllustrated's #swimsuit issue! We love to see it! #SportsIllustrated #SportsIllustratedSwimsuit #TODAYShow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t>
  </si>
  <si>
    <t>Business mogul and reality star Kim Kardashian joins TODAY live in Rockefeller Center for the opening of her Skims pop-up shop. She talks about how the brand has exceeded her expectations and previews the new episodes of the series “The Kardashians,” saying this season was the most “emotional and frustrating internally with family.”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
» Stream TODAY All Day: https://www.today.com/allday
About: TODAY All Day is a 24/7 streaming channel bringing you the top stories in news and pop culture, celebrity interviews, cooking, and more. All in one place.
#kardashians #skims #celebrity</t>
  </si>
  <si>
    <t>John Cena will be making a splash in theaters this summer playing a merman in the new #BarbieMovie, and he says his casting was a "happy accident" after talking with friend and star of the movie #MargotRobbie! #JohnCena #NeverGiveUp #Barbie #TODAYShow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t>
  </si>
  <si>
    <t>There is a growing movement for people to stop saying “sorry” so often — especially women who tend to apologize more than men. TODAY’s Jenna Bush Hager reports for TODAY.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
» Stream TODAY All Day: https://www.today.com/allday
About: TODAY All Day is a 24/7 streaming channel bringing you the top stories in news and pop culture, celebrity interviews, cooking, and more. All in one place.
#trending #debate #sorry</t>
  </si>
  <si>
    <t>For anyone who wanted to celebrate their big day like a Bridgerton bride, Allure Bridal and “Queen Charlotte” costume designer Lyn Paolo are releasing a line of gowns inspired by the Netflix series. The collection drops in December.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
» Stream TODAY All Day: https://www.today.com/allday
About: TODAY All Day is a 24/7 streaming channel bringing you the top stories in news and pop culture, celebrity interviews, cooking, and more. All in one place.
#wedding #bridgerton #bride</t>
  </si>
  <si>
    <t>#AlRoker called in this morning to give an update after his surgery: “It’s Monday and I’m home from the hospital, it’s just another day!” Wishing you a quick recovery, Al! We love you! _xD83E__xDDE1_ #TODAYShow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t>
  </si>
  <si>
    <t>Real estate broker Stefani Berkin answers viewer questions when it comes to buying and selling homes, including how much you might pay the realtors, what kind of credit score you need if you're buying, wether you should sell your current home before buying a new one and more.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
» Stream TODAY All Day: https://www.today.com/allday
About: TODAY All Day is a 24/7 streaming channel bringing you the top stories in news and pop culture, celebrity interviews, cooking, and more. All in one place.
#realestate #economy #money</t>
  </si>
  <si>
    <t>TODAY’s Dylan Dryer is on vacation with her best friend since childhood, Janine, down in Lake Norman, North Carolina. See some of the fun and food they shared! (Sponsored by Vrbo)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
» Stream TODAY All Day: https://www.today.com/allday
About: TODAY All Day is a 24/7 streaming channel bringing you the top stories in news and pop culture, celebrity interviews, cooking, and more. All in one place.
#travel #vacation #vrbo</t>
  </si>
  <si>
    <t>TODAY's Hoda Kotb took home a Webby Award for her inspiring “Making Space” podcast episode with Viola Davis. Watch her five-word acceptance speech!
» Subscribe to TODAY Food: https://bit.ly/3QJnSph
About: TODAY brings you the latest food trends, easy recipes and healthy meal ideas to help you cook smarter.
Connect with TODAY Online!
Visit TODAY FOOD’s Website: https://www.today.com/food
Find TODAY FOOD on Facebook: https://www.facebook.com/todayfood/ 
Get TODAY Food in your inbox: https://link.today.com/join/5ci/food-signup
Follow TODAY on Instagram: https://www.instagram.com/todayfood/?hl=en
Follow TODAY on Twitter: https://twitter.com/todayfood
#webby #hodakotb #todayshow</t>
  </si>
  <si>
    <t>TODAY’s Dylan Dreyer travels to Lake Norman, North Carolina, and meets Vrbo travel expert Melanie Fish to learn tips for planning summer getaways and which cities are the top destinations this season. (Sponsored by Vrbo)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
» Stream TODAY All Day: https://www.today.com/allday
About: TODAY All Day is a 24/7 streaming channel bringing you the top stories in news and pop culture, celebrity interviews, cooking, and more. All in one place.
#travel #summer #vrbo</t>
  </si>
  <si>
    <t>It turns out, @DollyParton is just like the rest of us: she even falls asleep with her makeup on. ❤️_xD83D__xDE02_ #todayshow #jacobsoboroff #dollyparton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t>
  </si>
  <si>
    <t>In a new video posted on Ed Sheeran’s Instagram account, the UK singer is seen with country star Luke Combs learning how to shotgun a beer.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
» Stream TODAY All Day: https://www.today.com/allday
About: TODAY All Day is a 24/7 streaming channel bringing you the top stories in news and pop culture, celebrity interviews, cooking, and more. All in one place.
#music #instagram #celebrity</t>
  </si>
  <si>
    <t>The beloved furry friend Paddington Bear took home the BAFTA TV Memorable Moment Award for the sweet sketch with Queen Elizabeth II.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Instagram: http://on.today.com/InstaTODAY
» Stream TODAY All Day: https://www.today.com/allday
About: TODAY All Day is a 24/7 streaming channel bringing you the top stories in news and pop culture, celebrity interviews, cooking, and more. All in one place.
#paddington #queenelizabeth #bafta</t>
  </si>
  <si>
    <t>Conduct Disorders are mental and behavioural problems in young people and the most common reason for a child to be referred to Child and Adolescent Mental Health Services. (CAMHS)
This film explains how to recognise and help a child who shows the symptoms of conduct disorder. You can watch it at home on your computer or download it to play at events or seminars. 
Nip in the Bud® was set up to encourage awareness about mental health disorders in young children. For more information, the accompanying comprehensive Fact Sheets and additional resources visit us at https://nipinthebud.org/
Please Like this film, subscribe and follow us if you would like to see more of our films on children's mental health and wellbeing - we'd really appreciate it and we think you will too.
For more information you can also watch more films in our Conduct Disorder in young children Playlist:
https://www.youtube.com/playlist?list=PLS65xMu-topWbjoDrGyK5N7XizCGfGaIY
These films range from how teachers and carers can help support children who may be living with conduct disorders to hearing from families' first-hand experiences. 
Perhaps you're a parent whose child lives with ODD? This parent talks about her experience of her daughter's ODD, which also occurs with ADHD: 
https://www.youtube.com/playlist?list=PLS65xMu-topUtEYFvxQ0co2TrxJ-C1AeB
Here are a wealth of our other films for anyone interesting in children's mental health here:
Young children's mental health tips for Parents &amp; Carers Playlist:
https://www.youtube.com/playlist?list=PLS65xMu-topXHqCqGCHl3dd0nJ5D8kboE
These films range from short films with tips on how to help children look after their mental health to insights into tips for teachers in the classroom if their students are experiencing symptoms of mental illness, neurodiverse or neurodevelopmental issues, or how to handle disclosures from children to anxiety about covid or going back to school. 
Mental Health Tips for Teachers of young children Playlist
https://www.youtube.com/playlist?list=PLS65xMu-topUH3FxJmIlA0F6cu-F6KC1G
Please  Like this film and subscribe if you would like to see more of our films on children's mental health and wellbeing - we'd really appreciate it and we think you will too.
Learn more about Children's Mental Health on our website: 
Children's Mental Health https://nipinthebud.org/
ADHD https://nipinthebud.org/adhd-in-children/
Anxiety https://nipinthebud.org/anxiety-in-children/
Autism Spectrum Condition https://nipinthebud.org/autism-in-children/
Conduct Disorder/ODD https://nipinthebud.org/conduct-disorders-in-children/
Depression https://nipinthebud.org/depression-in-children/
OCD https://nipinthebud.org/ocd-in-children/
PTSD https://nipinthebud.org/ptsd-in-children/
Find us on social media: 
Facebook https://www.facebook.com/NipintheBudFilm/
Instagram https://www.instagram.com/nipinthebudfilm/
Twitter https://twitter.com/nipinthebudfilm
LinkedIn https://www.linkedin.com/company/nip-in-the-bud/</t>
  </si>
  <si>
    <t>PlayBoard's OUR Generation team is delighted to present our new animation. Produced by Ardmore, the animation has been created to showcase PlayBoard’s work as a part of the wider OUR Generation project and is a part of documenting the legacy of our work over the past three years. 
In the animation, the viewer follows Archie Bear as he explains how important play is for children and adults, and how it can help build resilience and bridge divisions. It tells the story of how PlayBoard was founded to promote play at a time of conflict in Northern Ireland and how the OUR Generation programme has sought to address the impact of the conflict through play. 
For information on PlayBoard's Space to Be programme, delivered as part of the OUR Generation project go to www.playboard.org/resources/our-generation 
OUR Generation is supported by the EU's PEACE IV programme, managed by SEUPB. https://ourgeneration-cyp.com</t>
  </si>
  <si>
    <t>ADHD CLASSROOM STRATEGIES FOR TEACHERS: 
Hello everyone I’m Cynthia Ruth. This video explains instructional strategies that have proven to be successful in educating children with ADHD. However, it should be emphasized again that these techniques are also highly useful for all children. Also, don’t miss my bonus tip at the end of this video. So, let’s get right to it.
Attention-deficit/hyperactivity disorder (ADHD) is characterized by problems with attention, impulse control, and hyperactivity. It usually develops in childhood, but may not be diagnosed until adolescence or adulthood.
Approximately 9% of children in the United States between the ages of 13 and 18 have ADHD, according to the National Institute of Mental Health (NIMH). It is four times more likely to be diagnosed in boys than in girls.1
The struggles that children with ADHD face, such as difficulty paying attention, may become apparent once they start school. As such, parents and teachers will need to work together to help kids learn to cope with their ADHD symptoms.
Teachers need to build a classroom environment where positive interactions are common and consequences are minimized. Well-defined classroom rules can prevent many behavioral issues. Plus, when students are involved in making the rules, they are more likely to obey them and understand why they have been put into place. Once the rules have been developed and taught, they should be applied consistently. 
The position where an ADD or ADHD student sits in the classroom makes a huge difference to helping the student stay on task. Children with ADHD struggle with adjusting to the structured environment of a classroom because they are easily distracted by other children or by nearby activities in the classroom. As a result, many children with ADHD need accommodations that reduce distractions in the classroom environment and help them to stay on task and learn. 
Certain accommodations within the physical and learning environments of the classroom can benefit children with ADHD. 
Reference: 
https://www2.ed.gov/rschstat/research/pubs/adhd/adhd-teaching-2006.pdf
https://www.verywellmind.com/help-for-students-with-adhd-20538
https://www.investopedia.com/terms/v/venn-diagram.asp#:~:text=Key%20Takeaways%201%20A%20Venn%20diagram%20uses%20circles,illustrations%20in%20business%20and%20in%20many%20academic%20fields.
https://www.understood.org/articles/en/5-simple-strategies-for-note-taking
file:///C:/Users/Owner/Desktop/research%207-22-21/adhd-teaching-research%207-20-21.pdf</t>
  </si>
  <si>
    <t>*START: An #ADHD Short Film*
*ABOUT ADD:* All Day Dreaming _xD83D__xDFE1_ is a member-only community of talented #adhd  _xD83E__xDDE0_  #creatives looking for increased focus, better productivity, and reduced burnout. Become a member and get member-only benefits including daily virtual #coworking sessions and weekly Q&amp;As with experts at https://alldaydreaming.org/
*FOLLOW ADD:*
https://alldaydreaming.substack.com/
https://twitter.com/AllDayDreaming
https://www.tiktok.com/@alldaydreamingorg
https://www.instagram.com/alldaydreamingorg
#adhdtest #adhdtools #adhdwomen #adhdmusic</t>
  </si>
  <si>
    <t>The effects of an eating disorder on a relationship play out over an intense dinner.
This film is a combination of Aashish and Kaylee's separate personal experiences in additional elements from other personal stories which have been shared with us. 
Our goal is to spread awareness about eating disorders and we feel our film is a new take and perspective into the daily lives of someone experiencing an eating disorder. As you can see, the film is finished!! We are so excited to share it with others! In order to get the most eyes on the film we are going to submit it to numerous film festivals. By donating you will be directly aiding in our ability to attend and submit to festivals. Currently, our festival fees are around $300. We'd like to submit to more but have already exceeded our budget and are needing further funding. 
https://www.gofundme.com/f/ykvmw-feeding-tube-short-film
Producer: Kaylee Johnson
Co-Producer: Aashish Thakur 
Directed &amp; Written by: Kaylee Johnson &amp; Aashish Thakur 
Cast:
Cyrus  -  Aashish Thakur
Lilah  -  Holly Anne Jones
Jen  -  Becki Hayes
Michael  -  John Broyles
Justin  -  Liam Larriviere
Young Cyrus  -  Zaynn Arora
Cyrus’ Mom  -  Alonna Gibson
Cyrus’ Dad -  Anil Sankaramanchi
Head Chef -  Paul Mosemen
Mathew  -  Abin Antony
Professor Kern  -  Steven Oppenheim
Background Cook #1  -  Hugo Campos
Background Cook #2  -  Ashley Mortellaro 
Crew:
1st Assistant Director  - Camille Layen
Director of Photography  -  Shreyansh Tiwari
Production Coordinator  -  Gianna Galante
Production Designer  -  Chloe Selvey
Editor  -  Ella Glasscock
Composer  -  Noah Salem
Foley Recordist  -  Avery James
Sound Designer  -  Avery James
Post-Prod. Sound Mixer  -  Jakin Cordova
VFX Artist  -  Yajat Shirpurkar
Gaffer  -  Galen Smithhisler
Key Grip  -  Caroline Plumb
Grip  -  Linden Dodson
Assistant Camera  -  Kylie Green
Assistant Camera -  Yajat Shirpurkar
Camera Utility  -  Axel Torres
Audio Mixer  -  Beau Cormican
Boom Operator  -  Jakin Cordova
Script Supervisor  -  Camille Layen
Production Assistant  -  Nolan Walley
Production Assistant  -  Mary Katherine Madden
BTS Photographer  -  Elliot Layen
Special Thanks
Bistecca Italian 
Steak House
John and Judy Gay Public Library
Barbara Johnson
Jakin Cordova
Allison Memrick
Erik Johnson
Debbie McGee
Anton Waser
Courtney Clauss
Caroline Weedon
Randhir Thakur
Amber Duhon
Madhav Gharmalker
Jackson Bihun
Austin Kilby
Ketan Rajput
Govind Gharmalker
Website: https://kayleejohnson03.wixsite.com/mysite
Instagram: @feedingtube.shortfilm @kaylee.johnson.film
IMDb: https://www.imdb.com/title/tt21330332/?ref_=fn_al_tt_1</t>
  </si>
  <si>
    <t>When Academy-Award winning filmmaker Davis Guggenheim set out to make Still, a film about Michael J. Fox, he imagined he’d be making a hybrid documentary/80s movie. What he discovered along the way, however, was something deeper: his subject is far more than an iconic mega-star — Michael is an inspiration. After decades of living with the degenerative and debilitating effects of Parkinson’s disease, Michael J. Fox reveals his personal philosophy: “With gratitude, optimism is sustainable.” Katie’s conversation with Michael and Davis is funny and revealing, and traces the highs and lows of creating a film about an incurable optimist trying to overcome an incurable disease. 
Subscribe to my channel: https://www.youtube.com/user/KatieCouric
Follow me on Instagram: https://www.instagram.com/katiecouric/
Subscribe to my podcast:  ApplePodcasts.com/KatieCouric
Follow me on Facebook: https://www.facebook.com/KatieCouric
Follow me on Twitter: https://twitter.com/katiecouric</t>
  </si>
  <si>
    <t>Visit us (http://www.khanacademy.org/science/healthcare-and-medicine) for health and medicine content or (http://www.khanacademy.org/test-prep/mcat) for MCAT related content. These videos do not provide medical advice and are for informational purposes only. The videos are not intended to be a substitute for professional medical advice, diagnosis or treatment. Always seek the advice of a qualified health provider with any questions you may have regarding a medical condition. Never disregard professional medical advice or delay in seeking it because of something you have read or seen in any Khan Academy video. Created by Emma Giles.
Watch the next lesson: https://www.khanacademy.org/test-prep/nclex-rn/rn-mental-health/neurodevelopmental-disorders-rn/v/what-is-cerebral-palsy-and-what-causes-it?utm_source=YT&amp;utm_medium=Desc&amp;utm_campaign=Nclex-rn
Missed the previous lesson? https://www.khanacademy.org/test-prep/nclex-rn/rn-mental-health/neurodevelopmental-disorders-rn/v/intro-to-neurodevelopment-milestones?utm_source=YT&amp;utm_medium=Desc&amp;utm_campaign=Nclex-rn
NCLEX-RN on Khan Academy: A collection of questions from content covered on the NCLEX-RN. These questions are available under a Creative Commons Attribution-NonCommercial-ShareAlike 3.0 United States License (available at http://creativecommons.org/licenses/by-nc-sa/3.0/us/).
About Khan Academy: Khan Academy offers practice exercises, instructional videos, and a personalized learning dashboard that empower learners to study at their own pace in and outside of the classroom. We tackle math, science, computer programming, history, art history, economics, and more. Our math missions guide learners from kindergarten to calculus using state-of-the-art, adaptive technology that identifies strengths and learning gaps. We've also partnered with institutions like NASA, The Museum of Modern Art, The California Academy of Sciences, and MIT to offer specialized content.
For free. For everyone. Forever. #YouCanLearnAnything
Subscribe to Khan Academy’s NCLEX-RN channel: https://www.youtube.com/channel/UCDx5cTeADCvKWgF9x_Qjz3g?sub_confirmation=1
Subscribe to Khan Academy: https://www.youtube.com/subscription_center?add_user=khanacademy</t>
  </si>
  <si>
    <t>Watch time: 57:00 seconds 
When your child is diagnosed with Autism often parents and families can feel devastated, fearful of the unknown journey that lies ahead. In this short clip, Usman gives what he considers the most precious piece of advice for fathers (and any parent or carer) in life together with a child living with additional needs.
To watch the full film, where we talk to Usman and 2 other dads who have an active and engaged role in looking after their child with additional needs - here: https://youtu.be/NmrSiOn1rgY
In this film, Damien, Anil and Usman open up about the challenges they have faced, the reality of the day-to-day, things they have learned along the way and where they have turned to look for support.
To watch more films about children and their parents' experience of Autism or find out more from evidence-based experts who work in this field see more in our Playlist here: https://www.youtube.com/playlist?list=PLS65xMu-topXJH4PEF2lICZErPntaTlXJ 
If you need more information we also have more films about conditions &amp; experiences ( such as Anxiety, ADHD, Autism, Conduct Disorder, Depression, OCD, Self-Harm, Eating Disorders and PTSD) which all have accompanying comprehensive Fact Sheets and additional resources visit us at https://nipinthebud.org/
Please Like this film, subscribe and follow us if you would like to see more of our films on children's mental health and well-being - we'd really appreciate it and we think you will too.
To learn more about Children's Mental Health on our website: 
Children's Mental Health: https://nipinthebud.org/
ADHD: https://nipinthebud.org/adhd-in-child...
Anxiety: https://nipinthebud.org/anxiety-in-ch...
Autism Spectrum Condition: https://nipinthebud.org/autism-in-chi...
Conduct Disorder/ODD: https://nipinthebud.org/conduct-disor...
Depression: https://nipinthebud.org/depression-in...
OCD: https://nipinthebud.org/ocd-in-children/
PTSD: https://nipinthebud.org/ptsd-in-child...
Self Harm: https://nipinthebud.org/films-teacher...
Eating Disorders: https://nipinthebud.org/films-teacher...
Emotional Wellbeing | https://nipinthebud.org/films-parents...
Navigating how to get support for your child / ECHP /Early Intervention: https://nipinthebud.org/films-parents...
Find us on social media: 
Facebook https://www.facebook.com/NipintheBudF...
Instagram https://www.instagram.com/nipinthebud...
Twitter https://twitter.com/nipinthebudfilm
LinkedIn https://www.linkedin.com/company/nip-...</t>
  </si>
  <si>
    <t>Part 3 of 4: Watch time: 07:46 minutes 
It is advisable to visit a GP as soon as possible.  In this film the GP Dr Julia Thomas gives comprehensive guidance on the sort of symptoms parents might notice. She recommends that parents keep notes and bring any information such as reports to share with the GP Practice.
Our friend Alis Rocca brings with her over 18 years as a teacher, senior leader, Head Teacher, and Education Consultant, seamlessly blended with her passion for physical and mental health and well-being, connected to personal and organisational leadership development. 
In this series of 4 films Alis and the Nip in the Bud team talk to a variety of experts to help explain how you can be part of your child’s journey towards better support and care from your local community - schools, your GP or local authority
If you need more information we also have more films about conditions &amp; experiences ( such as Anxiety, ADHD, Autism, Conduct Disorder, Depression, OCD, Self-Harm, Eating Disorders and PTSD) which all have accompanying comprehensive Fact Sheets and additional resources visit us at https://nipinthebud.org/
Please Like this film, subscribe and follow us if you would like to see more of our films on children's mental health and well-being - we'd really appreciate it and we think you will too.
Learn more about Children's Mental Health on our website: 
Children's Mental Health https://nipinthebud.org/
ADHD | https://nipinthebud.org/films-teachers-category/adhd/
Anxiety | https://nipinthebud.org/films-teachers-category/anxiety/
Autism Spectrum Condition | https://nipinthebud.org/films-teachers-category/autism/
Conduct Disorder/ODD | https://nipinthebud.org/films-teachers-category/conduct-disorders-odd/
Depression | https://nipinthebud.org/films-teachers-category/depression/
OCD | https://nipinthebud.org/films-teachers-category/ocd/
PTSD | https://nipinthebud.org/ptsd-in-children/
Eating Disorders | https://nipinthebud.org/films-parents-category/eating-disorders/
Self-Harm | https://nipinthebud.org/films-parents-category/self-harm/
Emotional Wellbeing | https://nipinthebud.org/films-parents-category/emotional-wellbeing/
You can also find us on social media: 
Facebook https://www.facebook.com/NipintheBudFilm/
Instagram https://www.instagram.com/nipinthebudfilm/
Twitter https://twitter.com/nipinthebudfilm
LinkedIn https://www.linkedin.com/company/nip-in-the-bud/</t>
  </si>
  <si>
    <t>This video was originally launched in 2015
Sometimes referred to as ‘dyspraxia’ or ‘clumsiness’, this condition is more properly called Developmental Coordination Disorder (DCD).
Movement skills are a fundamental aspect of human behavior, enabling us to perform everyday tasks, to express ourselves and to maintain our health and well-being. However, some children lack the movement skills they need to cope with the everyday demands of home and school, despite normal intellectual, sensory and neurological development.
Anna Barnett is a Professor in Psychology at Oxford Brookes researching perceptualmotor development, with a special interest in both DCD and handwriting. Her work focuses on the diagnosis and description of DCD, its impact on health and well-being and the development of tools to assist health and education professionals to identify and help children with movement and handwriting difficulties. 
To find out more please visit - https://www.brookes.ac.uk/Study/Subject-areas/Social-sciences-geography-anthropology-psychology/Psychology</t>
  </si>
  <si>
    <t>Part 2 of 4: Watch time: 4:43 minutes  |  Parents may want to seek outside help starting with speaking to the child’s teacher. Schools have specialists in their team who deal with the physical and emotional welfare of their pupils. The SENCo Rachel Adams-Constantine describes the role of the Special Educational Needs Co-Ordinator.
Our friend Alis Rocca brings with her over 18 years as a teacher, senior leader, Head Teacher, and Education Consultant, seamlessly blended with her passion for physical and mental health and well-being, connected to personal and organisational leadership development. 
00:00 - Alis introduces the Senco role in schools
00:44 - Concerns about your child's development?
01:15 - Rachel, &amp; her role as a Senco
01:34 - Why the parent is Key to their child's success
01:51 - What signs parents pick up on
02:29 - Don't delay talking about it
02:45 - Go with your gut instinct
03:00 - It's natural to be anxious
03:16 - What help is available in my Borough?
03:46 - What the schools help might be...
04:16 - What is "The Local Offer"?
In this series of 4 films Alis and the Nip in the Bud team talk to a variety of experts to help explain how you can be part of your child’s journey towards better support and care from your local community - schools, your GP or local authority.
If you need more information we also have more films about conditions &amp; experiences ( such as Anxiety, ADHD, Autism, Conduct Disorder, Depression, OCD, Self-Harm, Eating Disorders and PTSD) which all have accompanying comprehensive Fact Sheets and additional resources visit us at https://nipinthebud.org/
Please Like this film, subscribe and follow us if you would like to see more of our films on children's mental health and well-being - we'd really appreciate it and we think you will too.
Learn more about Children's Mental Health on our website: 
Children's Mental Health https://nipinthebud.org/
ADHD | https://nipinthebud.org/films-teachers-category/adhd/
Anxiety | https://nipinthebud.org/films-teachers-category/anxiety/
Autism Spectrum Condition | https://nipinthebud.org/films-teachers-category/autism/
Conduct Disorder/ODD | https://nipinthebud.org/films-teachers-category/conduct-disorders-odd/
Depression | https://nipinthebud.org/films-teachers-category/depression/
OCD | https://nipinthebud.org/films-teachers-category/ocd/
PTSD | https://nipinthebud.org/ptsd-in-children/
Eating Disorders | https://nipinthebud.org/films-parents-category/eating-disorders/
Self-Harm | https://nipinthebud.org/films-parents-category/self-harm/
Emotional Wellbeing | https://nipinthebud.org/films-parents-category/emotional-wellbeing/
You can also find us on social media: 
Facebook https://www.facebook.com/NipintheBudFilm/
Instagram https://www.instagram.com/nipinthebudfilm/
Twitter https://twitter.com/nipinthebudfilm
LinkedIn https://www.linkedin.com/company/nip-in-the-bud/</t>
  </si>
  <si>
    <t>#ProfMTHANGADARWIN ,
What is    Conduct Disorder?,
What is    Oppositional Defiant Disorder?  ,
What are the Difference between Conduct Disorder and Oppositional Defiant Disorder?  ,
#ProfMTHANGADARWIN
TOPICS 
PSYCHOLOGY
1. INTRODUCTION TO PSYCHOLOGY 
https://www.youtube.com/playlist?list=PLX5QIUdjuxZfPyaW87QAJyDJVsW02acmG
2. BIOLOGICAL BASIS OF BEHAVIOR 
https://www.youtube.com/playlist?list=PLX5QIUdjuxZdw24ei-L8VA0n27cSt9zPM
3. SENSE &amp; SENSATION 
https://www.youtube.com/playlist?list=PLX5QIUdjuxZfh103eqkjrfx4xAt9mxVJ3
4. COGNITIVE PROCESSES &amp; ATTENTION
https://www.youtube.com/playlist?list=PLX5QIUdjuxZfrIMpn33arT8rl6sbGmBr5
5. PERCEPTION
https://www.youtube.com/playlist?list=PLX5QIUdjuxZcRYhe3yQpHjXXQsYX7v4N8
6. LEARNING 
https://www.youtube.com/playlist?list=PLX5QIUdjuxZcFFcSQFhwJpi8dHsrs41Ks
7. MEMORY AND FORGETTING 
https://www.youtube.com/playlist?list=PLX5QIUdjuxZec28tiHYeQSUuVANNR_wxW
8. THINKING
https://www.youtube.com/playlist?list=PLX5QIUdjuxZeUCk348o2V0liyz_Z5D6K7
9. INTELLIGENCE AND APTITUDE 
https://www.youtube.com/playlist?list=PLX5QIUdjuxZddXk-nwXitdmXg1uks2wmm
10.  INDIVIDUAL DIFFERENCES
https://www.youtube.com/playlist?list=PLX5QIUdjuxZc70fuYFc64d2SaAeuGqZib
11.  MOTIVATION
https://www.youtube.com/playlist?list=PLX5QIUdjuxZdzlBTPuifS2RAsB6WqTeR8
12.  EMOTION 
https://www.youtube.com/playlist?list=PLX5QIUdjuxZctTtzUu1vrGFemy_WwkGXU
13.  STRESS 
https://www.youtube.com/playlist?list=PLX5QIUdjuxZejgyd3f1JszPryQ4UrQVwu
14.  PERSONALITY
https://www.youtube.com/playlist?list=PLX5QIUdjuxZc2B4cpjME5hvpfVQUW5bwI
15.  ATTITUDES
https://www.youtube.com/playlist?list=PLX5QIUdjuxZcBd78CQy40x0w62_AYQA2-
16.  DEVELOPMENTAL PSYCHOLOGY 
https://www.youtube.com/playlist?list=PLX5QIUdjuxZfpj7oopMla0zsLNTwWNbEQ
17.   MENTAL HYGIENE AND MENTAL HEALTH
https://www.youtube.com/playlist?list=PLX5QIUdjuxZc971sUn8FzANpZ0h83A6Q0
18.  PSYCHOLOGICAL ASSESSMENT &amp; TESTS 
https://www.youtube.com/playlist?list=PLX5QIUdjuxZeAtfSKyzG0gbrETjluH5uO
19. APPLICATION OF SOFT SKILLS IN  NURSING 
https://www.youtube.com/playlist?list=PLX5QIUdjuxZcry4-7uuaQgSArEGCaN7o1
20. SELF EMPOWERMENT IN NURSING
https://www.youtube.com/playlist?list=PLX5QIUdjuxZdpxANzyVsYmv7QGliZMM1b
SOCIOLOGY 
1. INTRODUCTION TO SOCIOLOGY 
https://www.youtube.com/playlist?list=PLX5QIUdjuxZdkm8FU6vp_5kx7b6PvxZ-u
2. INDIVIDUAL &amp; SOCIETY  
https://www.youtube.com/playlist?list=PLX5QIUdjuxZfaxNrd52zommvMSq1B85mr
3. CULTURE 
https://www.youtube.com/playlist?list=PLX5QIUdjuxZf1Ry8D8qCbAJyP9XZOfBeA
4. SOCIAL GROUPS 
https://www.youtube.com/playlist?list=PLX5QIUdjuxZcXNBM4RkH0770AUuFmQvnm
5. SOCIAL PROCESSES  
https://www.youtube.com/playlist?list=PLX5QIUdjuxZegOrv9fq614ZuijNa1mG8I
6. POPULATION  
https://www.youtube.com/playlist?list=PLX5QIUdjuxZfxxlDl7051NQKzeWHwGo3p
7. FAMILY AND MARRIAGE 
https://www.youtube.com/playlist?list=PLX5QIUdjuxZd7Vc4ypPzUeIxVOR179P42
8. SOCIAL STRATIFICATION 
https://www.youtube.com/playlist?list=PLX5QIUdjuxZe8fCmFGojB4B71MNZ10bzD
9. TYPES OF COMMUNITIES IN INDIA 
https://www.youtube.com/playlist?list=PLX5QIUdjuxZeQtyU1ygMAd9zF3SfeLuaH
10.  SOCIAL CHANGE 
https://www.youtube.com/playlist?list=PLX5QIUdjuxZcxxKiv_6GTh2zJi6LzMpKr
11.  SOCIAL ORGANIZATION AND SOCIAL SYSTEM 
https://www.youtube.com/playlist?list=PLX5QIUdjuxZdsRbWyTfI-SLlb_96U0ZZ_
12.  SOCIAL CONTROL 
https://www.youtube.com/playlist?list=PLX5QIUdjuxZd9AUQUBAe2oWDhcP0Uzid4
13.  SOCIAL PROBLEMS  
https://www.youtube.com/playlist?list=PLX5QIUdjuxZeIJROagji-UTZvZWJdh0mD
14. CLINICAL SOCIOLOGY
https://www.youtube.com/playlist?list=PLX5QIUdjuxZfQyAT5_x7hPz43lO51QAIq
NUTRITION FACTS
1. SEAFOOD - NUTRITION FACTS AND HEALTH BENEFITS
https://www.youtube.com/playlist?list=PLX5QIUdjuxZee2E1APKBzbg3U8NfEyZvR
2. FRUITS - NUTRIENT VALUES AND HEALTH BENEFITS
https://www.youtube.com/playlist?list=PLX5QIUdjuxZcFKoX7FXDHEB72AtmA7y8q
3. NUTS - NUTRITION FACTS HEALTH BENEFITS
https://www.youtube.com/playlist?list=PLX5QIUdjuxZedbx_H3F1NXM-weCDj3pPX
4. VEGETABLE - NUTRITION FACTS AND HEALTH BENEFITS.
https://www.youtube.com/playlist?list=PLX5QIUdjuxZf84sKSpmRHV7KDZzNaGk5R
5. HEALTH BENEFITS AND NUTRIENTS FACTS
https://youtube.com/playlist?list=PLX5QIUdjuxZfwdQWcb_yyI8--AO72VyUv
BODY FITNESS EXERCISE - Topics
https://www.youtube.com/playlist?list=PLX5QIUdjuxZc8tOr5ZIsHrXqaeiW66gna
RELAXING MUSIC | HEALING EFFECT
https://www.youtube.com/playlist?list=PLX5QIUdjuxZdgIxK-ssWQoT_8Y8b6BMhY
MENTAL HEALTH NURSING – Topic
https://www.youtube.com/playlist?list=PLX5QIUdjuxZcbGFP8tVdXrIXmN005KZ_q
ENVIRONMENTAL STUDIES - Topics – Speech 
https://www.youtube.com/playlist?list=PLX5QIUdjuxZf94tDpE8L9g4yrOyQ-On5R
INTERNATIONAL DAYS - Topics
 https://www.youtube.com/playlist?list=PLX5QIUdjuxZfgcpYUokhmRK8cvIgnb_lS 
NURSING EDUCATION - Topics
https://youtube.com/playlist?list=PLX5QIUdjuxZe_iNZ4JQlYs8i-a7_3aMtW
#ProfMTHANGADARWIN</t>
  </si>
  <si>
    <t>Charlotte’s daughter began showing signs that were very similar to OCD and autism while in primary school. Because the symptoms seemed so varied, it was difficult for Charlotte to find out what was going on with her child. After talking to another parent, Charlotte came across a support group online for parents of children with PANS and PANDAS and the descriptions of the symptoms seemed to fit. Eventually, her daughter received a diagnosis for PANDAS, which meant she could begin receiving treatment before the symptoms became too entrenched.
If you would like to find out more about OCD find more films here: https://www.youtube.com/playlist?list=PLS65xMu-topXyp_F-grbDJ0iLDcrsIVyO
If you need more information we also have more films about conditions &amp; experiences ( such as Anxiety, ADHD, Autism, Conduct Disorder, Depression, OCD, Self-Harm, Eating Disorders and PTSD) which all have accompanying comprehensive Fact Sheets and additional resources visit us at https://nipinthebud.org/
Please Like this film, subscribe and follow us if you would like to see more of our films on children's mental health and well-being - we'd really appreciate it and we think you will too.
Learn more about Children's Mental Health on our website: 
Children's Mental Health https://nipinthebud.org/
ADHD | https://nipinthebud.org/films-teachers-category/adhd/
Anxiety | https://nipinthebud.org/films-teachers-category/anxiety/
Autism Spectrum Condition | https://nipinthebud.org/films-teachers-category/autism/
Conduct Disorder/ODD | https://nipinthebud.org/films-teachers-category/conduct-disorders-odd/
Depression | https://nipinthebud.org/films-teachers-category/depression/
OCD | https://nipinthebud.org/films-teachers-category/ocd/
PTSD | https://nipinthebud.org/ptsd-in-children/
Eating Disorders | https://nipinthebud.org/films-parents-category/eating-disorders/
Self-Harm | https://nipinthebud.org/films-parents-category/self-harm/
Emotional Wellbeing | https://nipinthebud.org/films-parents-category/emotional-wellbeing/
Find us on social media: 
Facebook https://www.facebook.com/NipintheBudFilm/
Instagram https://www.instagram.com/nipinthebudfilm/
Twitter https://twitter.com/nipinthebudfilm
LinkedIn https://www.linkedin.com/company/nip-in-the-bud/</t>
  </si>
  <si>
    <t>Watch time: 4:18 mins
Are you a dad getting to grips with parenting a child with additional needs?
Here, we talk to three dads who have an active and engaged role in looking after their child with additional needs. In this film, Damien, Anil and Usman open up about the challenges they have faced, the reality of the day-to-day, things they have learned along the way and where they have turned to look for support. 
To watch more films about children and their parents' experience of Autism or find out more from evidence-based experts who work in this field see more in our Playlist here: https://www.youtube.com/playlist?list=PLS65xMu-topXJH4PEF2lICZErPntaTlXJ 
If you need more information we also have more films about conditions &amp; experiences ( such as Anxiety, ADHD, Autism, Conduct Disorder, Depression, OCD, Self-Harm, Eating Disorders and PTSD) which all have accompanying comprehensive Fact Sheets and additional resources visit us at https://nipinthebud.org/
Please Like this film, subscribe and follow us if you would like to see more of our films on children's mental health and well-being - we'd really appreciate it and we think you will too.
To learn more about Children's Mental Health on our website: 
Children's Mental Health: https://nipinthebud.org/
ADHD: https://nipinthebud.org/adhd-in-child...
Anxiety: https://nipinthebud.org/anxiety-in-ch...
Autism Spectrum Condition: https://nipinthebud.org/autism-in-chi...
Conduct Disorder/ODD: https://nipinthebud.org/conduct-disor...
Depression: https://nipinthebud.org/depression-in...
OCD: https://nipinthebud.org/ocd-in-children/
PTSD: https://nipinthebud.org/ptsd-in-child...
Self Harm: https://nipinthebud.org/films-teacher...
Eating Disorders: https://nipinthebud.org/films-teacher...
Emotional Wellbeing | https://nipinthebud.org/films-parents...
Navigating how to get support for your child / ECHP /Early Intervention: https://nipinthebud.org/films-parents...
Find us on social media: 
Facebook https://www.facebook.com/NipintheBudF...
Instagram https://www.instagram.com/nipinthebud...
Twitter https://twitter.com/nipinthebudfilm
LinkedIn https://www.linkedin.com/company/nip-...</t>
  </si>
  <si>
    <t>Watch time: 07:48 minutes  
Part 4 of 4: 
If the discussion between parents, the school and the GP establishes that the child has special needs, this film explains how the parents, SENCO and Teacher might discuss how to apply for an Educational Health and Care Plan (EHCP) and what evidence can be provided to be eligible for this funding. You will hear information from an Educational Psychologist and a SENCO (Special Educational Needs Co-ordinator)
Our friend Alis, Rocca, talks to Sara Bierer, an educational psychologist and Rachel Adams-Constantine, a Special Educational Needs Co-Ordinator, to explain the lengthy process and hopefully demystify the process, for parents and families.
00:00 - Still need more Help? What's next?
00:32 - What is an EHCP? Education Health and Care Plan 101
00:49 - Who gets an EHCP &amp; Why?
01:24 - What does an EHCP do for my child?
01:37 - Parental Preferences
01:50 - Who pays for an EHCP?
02:03 - What to do to get your child on an EHCP.
02:26 - Rachel, a SENCo, explains how an EHCP works
03:15 - The EHCP as a Legal Document
03:36 - Who Can apply for an EHCP 
03:44 - Does the EHCP application take long? 
03:57 - How is the decision made to grant an EHCP assessment?
04:46 - Next steps if I do get an EHCP?
05:09 - What if I don't get the EHCP?
05:26 - Can I improve my chances of an EHCP?
05:53 - Teaching support for an EHCP and you.
06:28 - EHCP success from a teacher,
07:04 - Other supports for Parents
07:39 - More support from Nip in the Bud
Our friend Alis Rocca brings with her over 18 years as a teacher, senior leader, Head Teacher, and Education Consultant, seamlessly blended with her passion for physical and mental health and well-being, connected to personal and organisational leadership development. 
In this series of 4 films Alis and the Nip in the Bud team talk to a variety of experts to help explain how you can be part of your child’s journey towards better support and care from your local community - schools, your GP or local authority
If you need more information we also have more films about conditions &amp; experiences ( such as Anxiety, ADHD, Autism, Conduct Disorder, Depression, OCD, Self-Harm, Eating Disorders and PTSD) which all have accompanying comprehensive Fact Sheets and additional resources visit us at https://nipinthebud.org/
Please Like this film, subscribe and follow us if you would like to see more of our films on children's mental health and well-being - we'd really appreciate it and we think you will too.
Learn more about Children's Mental Health on our website: 
Children's Mental Health https://nipinthebud.org/
ADHD | https://nipinthebud.org/films-teachers-category/adhd/
Anxiety | https://nipinthebud.org/films-teachers-category/anxiety/
Autism Spectrum Condition | https://nipinthebud.org/films-teachers-category/autism/
Conduct Disorder/ODD | https://nipinthebud.org/films-teachers-category/conduct-disorders-odd/
Depression | https://nipinthebud.org/films-teachers-category/depression/
OCD | https://nipinthebud.org/films-teachers-category/ocd/
PTSD | https://nipinthebud.org/ptsd-in-children/
Eating Disorders | https://nipinthebud.org/films-parents-category/eating-disorders/
Self-Harm | https://nipinthebud.org/films-parents-category/self-harm/
Emotional Wellbeing | https://nipinthebud.org/films-parents-category/emotional-wellbeing/
You can also find us on social media: 
Facebook https://www.facebook.com/NipintheBudFilm/
Instagram https://www.instagram.com/nipinthebudfilm/
Twitter https://twitter.com/nipinthebudfilm
LinkedIn https://www.linkedin.com/company/nip-in-the-bud/</t>
  </si>
  <si>
    <t>Each child is unique, and some have trouble following instructions more than others. How do we help a child with Oppositional Defiant Disorder (ODD)? I have some great tips for you based on my experience fostering children with ODD and it will surely help you. Stay tuned!
Watch and Enjoy!
Nicholeen Peck
Teaching Self-Government
Key Moments in this Episode
========================
00:00 Intro
00:32 Oppositional Defiant Disorder (ODD)
01:28 Self-Government
02:21 4 Basic Skills
03:26 Power Struggles
04:50 Consistency
06:00 What's next?
Resources
========================
Get our toolkit here:
https://teachselfgov.com/toolkit
Learn more about us here:
https://teachingselfgovernment.com/about
Check out our upcoming events here:
https://teachingselfgovernment.com/events
Like us on Facebook!
https://www.facebook.com/teachingselfgovernment
Follow us on Twitter!
https://twitter.com/TeachingSelfGov
About Nicholeen Peck
========================
Despite your best efforts at raising children, is your family dysfunctional? Do your children set the rules and have control of your home instead of you? Are you looking for parenting skills that will help you create a united, happy family?
Then meet Nicholeen Peck, one of the world’s most effective parenting experts. Whether you want to fix child behavioral issues, create more unity in the home, or simply strengthen your family relationships, her proven system — Teaching Self-Government — can help you turn chaos into calm.
"People are starving for help to save their families," says Nicholeen.
Since 1999, her seminars, workshops, one-on-one training sessions, parenting videos and books have helped thousands of families worldwide regain peace, be happy and maintain unity in their home. The secret? Learning how to use effective family systems based on parenting that’s deliberate and pro-active (instead of reactive). It all starts with the principles of self-government. If you’re a family of faith, you’ll especially love how your faith and values can be woven into her parenting system.
In 2009, Nicholeen and her husband starred in the BBC reality TV show, “The World’s Strictest Parents” (watch here: http://bit.do/StrictestParents). She became an overnight sensation by turning around two out-of-control teenagers from England after just one week — without shouting, threats or manipulation. Her amazing success comes from the positive parenting techniques of using calmness, effective communication and principles of self-government. 
Nicholeen Peck’s Accomplishments
========================
* Author of “Parenting: A House United,” “Popular Parenting Methods: Are They Really Working?,” “Roles: The Secret to Family, Business, and Social Success” and many other books and magazine articles.
* President of The Worldwide Organization for Women (WOW).
* Nicholeen regularly speaks at the United Nations and other congresses around the world as an advocate for strengthening families and motherhood.
* In 2009 her family was featured on the BBC reality show, “The World’s Strictest Parents. 
* Trained as a foster parent for Utah Youth Village.
* Has parented many troubled foster children.
* Successfully raised (and raising) four children of her own. 
Testimonials
========================
“Her loving parenting techniques work with ALL children.”
Kristi, www.thankfulme.blogspot.com
“Thank you for your insights and solutions. They have helped my family so much.”
Michelle
“My husband and I have started implementing some of your techniques, and our house has been so different!”
Julianne
“I feel that my children respect me more. I will be eternally grateful for what I have learned from Nicholeen Peck.”
Michelle Baker
“If you want to forge the strongest family bonds possible, to repair damaged relationships, and redeem a child that seems completely lost, then this program IS for you.”
Sandra
========================
Video by Nate Woodbury
BeTheHeroStudios.com
http://YouTube.com/c/NateWoodbury
#TeachingSelfGovernment
#Homeschool
#Family</t>
  </si>
  <si>
    <t>Watch time 08:06 minutes
Timestamps:
00:00 Celina reflects on symptoms that were missed early on of ADHD
00:54 What happened to make Celina think there was something more going on
01:27 Bullying that triggered her daughter's "unravelling"
01:47 Celina talks about how challenging her daughter's ODD is.
02:08 At first my daughter's ODD felt like living with a drunk person
02:38 The tipping point 
03:01 Celina's grief about her daughter's experience
03:34 Post diagnosis of ODD &amp; ADHD for Celina &amp; her daughter
04:40 The reality of living with ADHD &amp; ODD
05:18 Compassion &amp; Kindness with ODD &amp; ADHD
05:52 Conversation, negotiation, control &amp; ODD
06:17 Support and finding your network is crucial when living with ODD
07:21 Reminding people - my daughter isn't her condition
Celina’s daughter has ADHD. But Celina describes how ADHD feeds Oppositional Defiant Disorder (ODD) and it is the ODD that affects her daughter the most. ODD is the most common Conduct Disorder in children 10 years and under. 
Celina explains the challenges of her daughter’s behaviour which present both at school and at home. They explore ways for her to remain at school and for them to have a settled home life.
Conduct Disorders are the most common mental and behavioural problem in children and young people. (7% in boys and 3% in girls)
For more information, the accompanying comprehensive Fact Sheets and additional resources visit us at https://nipinthebud.org/
Please  Like this film and subscribe if you would like to see more of our films on children's mental health and wellbeing - we'd really appreciate it and we think you will too.
Learn more about Children's Mental Health on our website: 
Children's Mental Health https://nipinthebud.org/
ADHD https://nipinthebud.org/adhd-in-children/
Anxiety https://nipinthebud.org/anxiety-in-children/
Autism Spectrum Condition https://nipinthebud.org/autism-in-children/
Conduct Disorder/ODD https://nipinthebud.org/conduct-disorders-in-children/
Depression https://nipinthebud.org/depression-in-children/
OCD https://nipinthebud.org/ocd-in-children/
PTSD https://nipinthebud.org/ptsd-in-children/
Find us on social media: 
Facebook https://www.facebook.com/NipintheBudFilm/
Instagram https://www.instagram.com/nipinthebudfilm/
Twitter https://twitter.com/nipinthebudfilm
LinkedIn https://www.linkedin.com/company/nip-in-the-bud/</t>
  </si>
  <si>
    <t>Part 1 of 4: Watch time: 6:00 minutes  |  Does my child need help? Parents and carers are the key to Early Intervention.  How can they initiate conversations with a child who may need help? When should they consider sharing concerns with the school or with a GP? Clinical psychologist Dr Bettina Hohnen explains.
As a Parent or Carer, how can you help if you think your child may be struggling emotionally, or may need support or medical intervention?  
00:00 - Alis: First steps in Early Intervention
01:05 - How to create a healthy culture at home
01:29 - Putting aside "Special Time"
02:01 - Good communication &amp; Building Trust
02:26 - What resources are available to parents?
02:51 - Resources for you and your child?
03:21 - When you need more outside help
03:42 - Teachers - how can they help?
04:10 - Sharing what's going on at home
04:22 - Why keeping a diary or journal helps
04:45 - The context of a child's struggle 
05:26 - Trust your instincts as a parent
05:42 - Be kind to yourself too
05:57 - What's next in this series
The first step is for a Parent to make time to have conversations with the child, to talk, to listen and to build trust in a stress-free setting. Clinical psychologist Dr Bettina Hohnen gives examples of how to develop good communication and to involve the school and a GP.
Our friend Alis Rocca brings with her over 18 years as a teacher, senior leader, Head Teacher, and Education Consultant, seamlessly blended with her passion for physical and mental health and well-being, connected to personal and organisational leadership development.  
In this series of 4 films Alis and the Nip in the Bud team talk to a variety of experts to help explain how you can be part of your child’s journey towards better support and care from your local community - schools, your GP or local authority. 
Watch Nip in the Bud’s series of four short films to find out more - See Part 2 here: https://youtu.be/cGfGBAX7nw0
If you need more information we also have more films about conditions &amp; experiences ( such as Anxiety, ADHD, Autism, Conduct Disorder, Depression, OCD, Self-Harm, Eating Disorders and PTSD) which all have accompanying comprehensive Fact Sheets and additional resources visit us at https://nipinthebud.org/
Please Like this film, subscribe and follow us if you would like to see more of our films on children's mental health and well-being - we'd really appreciate it and we think you will too.
Learn more about Children's Mental Health on our website: 
Children's Mental Health https://nipinthebud.org/
ADHD | https://nipinthebud.org/films-teachers-category/adhd/
Anxiety | https://nipinthebud.org/films-teachers-category/anxiety/
Autism Spectrum Condition | https://nipinthebud.org/films-teachers-category/autism/
Conduct Disorder/ODD | https://nipinthebud.org/films-teachers-category/conduct-disorders-odd/
Depression | https://nipinthebud.org/films-teachers-category/depression/
OCD | https://nipinthebud.org/films-teachers-category/ocd/
PTSD | https://nipinthebud.org/ptsd-in-children/
Eating Disorders | https://nipinthebud.org/films-parents-category/eating-disorders/
Self-Harm | https://nipinthebud.org/films-parents-category/self-harm/
Emotional Wellbeing | https://nipinthebud.org/films-parents-category/emotional-wellbeing/
You can also find us on social media: 
Facebook https://www.facebook.com/NipintheBudFilm/
Instagram https://www.instagram.com/nipinthebudfilm/
Twitter https://twitter.com/nipinthebudfilm
LinkedIn https://www.linkedin.com/company/nip-in-the-bud/</t>
  </si>
  <si>
    <t>Conduct Disorders are mental and behavioural problems in young people and the most common reason for a child to be referred to Child and Adolescent Mental Health Services. (CAMHS)
This film explains how to recognise and help a child who shows the symptoms of conduct disorder. You can watch it at home on your computer or play at events or seminars.
For more information, the accompanying comprehensive Fact Sheets and additional resources visit us at https://nipinthebud.org/
Please Like this film, subscribe and follow us if you would like to see more of our films on children's mental health and wellbeing - we'd really appreciate it and we think you will too.
Nip in the Bud® was set up to encourage awareness about mental health disorders in young children. For more information, you can also watch more films in our Conduct Disorder in young children Playlist: https://www.youtube.com/playlist?list=PLS65xMu-topWbjoDrGyK5N7XizCGfGaIY
These films range from how teachers and carers can help support children who may be living with conduct disorders to hearing from families' first-hand experiences. 
Perhaps you're a parent whose child lives with ODD? This parent talks about her experience of her daughter's ODD, which also occurs with ADHD: 
https://www.youtube.com/playlist?list=PLS65xMu-topUtEYFvxQ0co2TrxJ-C1AeB
Here are a wealth of our other films for anyone interesting in children's mental health here:
Young children's mental health tips for Parents &amp; Carers Playlist:
https://www.youtube.com/playlist?list=PLS65xMu-topXHqCqGCHl3dd0nJ5D8kboE
These films range from short films with tips on how to help children look after their mental health to insights into tips for teachers in the classroom if their students are experiencing symptoms of mental illness, neurodiverse or neurodevelopmental issues, or how to handle disclosures from children to anxiety about covid or going back to school. 
Mental Health tips for Teachers of young children Playlist
https://www.youtube.com/playlist?list=PLS65xMu-topUH3FxJmIlA0F6cu-F6KC1G
Please  Like this film and subscribe if you would like to see more of our films on children's mental health and wellbeing - we'd really appreciate it and we think you will too.
Learn more about Children's Mental Health on our website: 
Children's Mental Health https://nipinthebud.org/
ADHD https://nipinthebud.org/adhd-in-children/
Anxiety https://nipinthebud.org/anxiety-in-children/
Autism Spectrum Condition https://nipinthebud.org/autism-in-children/
Conduct Disorder/ODD https://nipinthebud.org/conduct-disorders-in-children/
Depression https://nipinthebud.org/depression-in-children/
OCD https://nipinthebud.org/ocd-in-children/
PTSD https://nipinthebud.org/ptsd-in-children/
Find us on social media: 
Facebook https://www.facebook.com/NipintheBudFilm/
Instagram https://www.instagram.com/nipinthebudfilm/
Twitter https://twitter.com/nipinthebudfilm
LinkedIn https://www.linkedin.com/company/nip-in-the-bud/</t>
  </si>
  <si>
    <t>Watch time: 9:24 minutes
Autism Spectrum Condition (ASC) is not a mental health disorder.  It’s a developmental condition that affects how people see the world and how they communicate and interact. Autistic people will often, but certainly not always, experience some mental health challenges. 
Timestamps:
00:00 What we know about Autism now
00:33 Key characteristics of Autism
00:58 Restricted &amp; repetitive behaviours
01:26 Hyper and hypo-sensitivity
02:00 Autism &amp; co-existing conditions
02:22 Risk factors with Autism
02:56 Why early intervention is critical
03:20 Better understandings of the Autism
03:57 Children with ADHD &amp; Autism
04:33 Identifying co-existing or co-occurring conditions
05:01 Is it anxiety or repetitive Autism behaviours?
05:45 Why it isn't always easy to identify Autism or ADHD
06:39 Disturbed behaviours vs a frustration of communication 
07:29 Teachers and strategies for children with Autism
08:23 Understanding triggers with co-existing conditions 
Autism Spectrum Condition (ASC) is not a mental health disorder.  It’s a developmental condition that affects how people see the world and how they communicate and interact. Autistic people will often, but certainly not always, experience some mental health challenges. 
It is estimated that around 70% of people with autism have one mental health condition (such as anxiety, ADHD, depression or OCD) and around 40% of the 70% will have more than one. Some of these mental health conditions begin in childhood and are sometimes referred to as co-occurring or co-existing conditions. Early intervention can be extremely effective at limiting the effects of these co-existing mental health conditions.
Watch our film below, which features an interview with Professor Emily Simonoff, Professor of Child and Adolescent Psychiatry at King’s College London, to find out more about autism and co-existing mental health conditions. You can find a factsheet on autism here.
To understand more about Autism and co-occurrences, watch our 9-minute film and download our fact sheet. For information on how to access help and support, go to the Nip in the Bud ‘Where to go for help page’. https://nipinthebud.org/where-to-go-for-help/
Please Like and subscribe if you would like to see more of our films on children's mental health and wellbeing - we'd really appreciate it and we think you will too.
Nip in the Bud® was set up to encourage awareness about mental health disorders in young children. For more information, the accompanying comprehensive Fact Sheets and additional resources visit us at https://nipinthebud.org/
Please Like this film, subscribe and follow us if you would like to see more of our films on children's mental health and wellbeing - we'd really appreciate it and we think you will too.
Perhaps you're a parent whose child lives with ADHD? We have more films for you in our Attention Deficit Hyperactivity Disorder (ADHD) in young children Playlist
https://www.youtube.com/playlist?list=PLS65xMu-topWUNMKuoqh1Dnu3_ShM0BEy
These films range from how teachers and carers can help support children who may be experiencing ADHD to hearing from families' first-hand experiences.
We also have a range of films about children who experience life on the Autism Spectrum, to find out more why not explore the playlist on the subject: https://www.youtube.com/playlist?list=PLS65xMu-topXJH4PEF2lICZErPntaTlXJ
If you're a teacher or someone who works with young children you can find more information and inspiration here:
Mental Health Tips for Teachers of young children Playlist
https://www.youtube.com/playlist?list=PLS65xMu-topUH3FxJmIlA0F6cu-F6KC1G
Our films range from tips for teachers in the classroom can use if their students are experiencing symptoms of mental illness, neurodiverse or neurodevelopmental issues, to handling disclosures from children, anxiety about covid or going back to school. We also have short films with tips on how to help children look after their mental health.
Learn more about Children's Mental Health on our website: 
Children's Mental Health https://nipinthebud.org/
ADHD https://nipinthebud.org/adhd-in-children/
Anxiety https://nipinthebud.org/anxiety-in-children/
Autism Spectrum Condition https://nipinthebud.org/autism-in-children/
Conduct Disorder/ODD https://nipinthebud.org/conduct-disorders-in-children/
Depression https://nipinthebud.org/depression-in-children/
OCD https://nipinthebud.org/ocd-in-children/
PTSD https://nipinthebud.org/ptsd-in-children/
Self Harm https://nipinthebud.org/self-harm/
Find us on social media: 
Facebook https://www.facebook.com/NipintheBudFilm/
Instagram https://www.instagram.com/nipinthebudfilm/
Twitter https://twitter.com/nipinthebudfilm
LinkedIn https://www.linkedin.com/company/nip-in-the-bud/</t>
  </si>
  <si>
    <t>Watch time: 3:34 minutes
Debbie belongs to ADHD Babes, a support group for Black women and Black non-binary people of African-Caribbean descent with ADHD. In this very personal 4-minute video Debbie talks about the challenges she faced getting an ADHD diagnosis, and describes her views and experiences of living with ADHD.
Chapters:
00:00 - Intro
00:19 - Let's talk about ADHD in a Nigerian household
00:32 - Black women, masking &amp; ADHD
00:58 - Feeling different from my peers
01:07 - Early Intervention of ADHD
01:19 - I didn't work the same way
01:33 - Working harder than neurotypical people
01:41 - Negative self-talk
01:54 - Getting in trouble
02:10 - Excess Energy
02:30 - ADHD, Signs in young children
03:04 - How terminology impacts me
03:15 - We're just Wired Differently
Perhaps you're a parent whose child lives with ADHD? If you'd like to find out about ADHD from the medical experts we work with watch more here: https://bit.ly/3ZgmjTK
If you're a Teacher or someone who works with young children you can find more information and inspiration here: https://bit.ly/40jZoZd
Our film "Let's Connect" is all bout how to help children identify barriers to learning and what an inclusive classroom feels like: https://bit.ly/3LRyqUi
Our films range from tips for teachers in the classroom can use if their students are experiencing symptoms of mental illness, neurodiverse or neurodevelopmental issues, to handling disclosures from children, anxiety about covid or going back to school. We also have short films with tips on how to help children look after their mental health.
Please show us some love &amp; Like this film and keep in touch if you would like to see more of our films on children's mental health and well-being - we'd really appreciate it and we think you will too. 
You can also sign up for our regular (but not too regular) e-mail updates: https://nipinthebud.org/join-our-mailing-list/
or visit our website here:
Children's Mental Health https://nipinthebud.org/
Learn more about Children's Mental Health on our website: 
ADHD https://nipinthebud.org/adhd-in-child...
Anxiety https://nipinthebud.org/anxiety-in-ch...
Autism Spectrum Condition https://nipinthebud.org/autism-in-chi...
Conduct Disorder/ODD https://nipinthebud.org/conduct-disor...
Depression https://nipinthebud.org/depression-in...
OCD https://nipinthebud.org/ocd-in-children/
PTSD https://nipinthebud.org/ptsd-in-child...
Find us on social media: 
Facebook https://www.facebook.com/NipintheBudF...
Instagram https://www.instagram.com/nipinthebud...
Twitter https://twitter.com/nipinthebudfilm
LinkedIn https://www.linkedin.com/company/nip-...</t>
  </si>
  <si>
    <t>Watch time: 08.35
Susannah became bulimic while still at primary school. She was a very active child and excelled in sports and dance. In this film, she shares her experience of coping with bulimia, talks about what helped her, and is passionate about the need for early diagnosis and treatment.
To find out more about Bulimia or other Eating disorders you can find added resources at our website: 
https://nipinthebud.org/films-parents-category/eating-disorders/ 
or check out our other films about Eating Disorders here on YouTube: https://www.youtube.com/playlist?list=PLS65xMu-topVh92535HFZchGT9nGCPy-8
For more information on how to access help and support, go to the Nip in the Bud ‘Where to go for help page’. https://nipinthebud.org/where-to-go-f...
Please Like and subscribe if you would like to see more of our films on children's mental health and well-being - we'd really appreciate it and we think you will too.
Nip in the Bud® was set up to encourage awareness about mental health disorders in young children. For more information, the accompanying comprehensive Fact Sheets and additional resources visit us at https://nipinthebud.org/
Perhaps you're a parent whose child is experiencing anxiety? We have more films for you in our Anxiety in young children Playlist
https://www.youtube.com/playlist?list...
These films range from how teachers and carers can help support children who may be experiencing Anxiety to hearing from families and children's first-hand experiences.
If you're a teacher or someone who works with young children you can find more information and inspiration here:
Mental Health Tips for Teachers of young children Playlist
https://www.youtube.com/playlist?list...
Our films range from tips for teachers in the classroom can use if their students are experiencing symptoms of mental illness, neurodiverse or neurodevelopmental issues, to handling disclosures from children, anxiety about covid or going back to school. We also have short films with tips on how to help children look after their mental health.
Learn more about Children's Mental Health on our website: 
Children's Mental Health https://nipinthebud.org/
ADHD https://nipinthebud.org/adhd-in-child...
Anxiety https://nipinthebud.org/anxiety-in-ch...
Autism Spectrum Condition https://nipinthebud.org/autism-in-chi...
Conduct Disorder/ODD https://nipinthebud.org/conduct-disor...
Depression https://nipinthebud.org/depression-in...
OCD https://nipinthebud.org/ocd-in-children/
PTSD https://nipinthebud.org/ptsd-in-child...
Self Harm https://nipinthebud.org/self-harm/
Find us on social media: 
Facebook https://www.facebook.com/NipintheBudF...
Instagram https://www.instagram.com/nipinthebud...
Twitter https://twitter.com/nipinthebudfilm
LinkedIn https://www.linkedin.com/company/nip-...</t>
  </si>
  <si>
    <t>Watch time 10.10 minutes
00:00 - Introduction to Trauma in children
00:21 - Grenfell Tower, the call that alerted teams to the catastrophe
00:32 - Shaheed: feeling helpless as the fire burns
00:43 - Shaheed: the impact those moments had on him 
01:10 - Randa: what living near Grenfell Tower means every day 
01:32 - Dr Sian Williams - what exactly will the film covers
02:06 - Is Trauma the same for all children?
02:26 - Triggering a Traumatic response in children
02:29 - Violence, Loss, Accidents or illness; Abuse; Neglect, Refugee experience and war
02:52 - Rebecca tells us about what traumatized her as a child
03:03 - Leading to anxiety, depression and self-harm
03:12 - Revisiting the end of the world
03:19 - Over-thinking &amp; revisiting the trauma
03:32 - Initial stages after a traumatic event
03:57 - Intrusive memories
04:12 - Shaheed's triggers connected to the trauma
04:34 - PTSD &amp; Trauma: Symptoms
04:57 - Complex PTSD: Symptoms
05:22 - How does the brain react? 
05:48 - Why does someone feel like they're back in the moment of trauma?
06:07 - Replaying the trauma
06:15 - How trauma affects the body
06:27 - Fight, flight, freeze, faint or submit
06:41 - The Window of Tolerance
07:17 - How can we aid a child's recovery from Trauma
07:35 - Make the child feel safe
07:47 - Build connection
07:56 - Safety in numbers
08:11 - Why Group therapy helps
08:29 - Why Agency matters
08:42 - Help children Stay hopeful
08:49 - Banish stigma and get support
09:06 - Sharing what works and why
09:52 - A little extra support
In this 10-minute film we hear from young people who witnessed the Grenfell tragedy about their experience of trauma. Our experts Dr Sian Williams and Dr David Trickey explain how the traumatic experience can affect the brain and the body. Sounds, sights or smells can remind them of the trauma. Read and download the Trauma and Children factsheet written by Dr David Trickey: https://nipinthebud.org/fact-sheet/trauma/
Our films are made in collaboration with leading paediatric psychologists and psychiatrists using evidence-based techniques to help support families and children who may be experiencing issues with their mental health.
Nip in the Bud® was set up to encourage awareness about mental health disorders and neurodiverse experiences in children. Nip in the Bud strongly believes that intervening early empowers families, teachers and support staff, and ensures far better outcomes for children, allowing them to bloom.
Our films range from tips for parents and carers at home to teachers in the classroom.
Learn more  on our website: 
Children's Mental Health https://nipinthebud.org/
ADHD https://nipinthebud.org/adhd-in-children/
Anxiety https://nipinthebud.org/anxiety-in-children/
Autism Spectrum Condition https://nipinthebud.org/autism-in-children/
Conduct Disorder/ODD https://nipinthebud.org/conduct-disorders-in-children/
Depression https://nipinthebud.org/depression-in-children/
OCD https://nipinthebud.org/ocd-in-children/
PTSD https://nipinthebud.org/ptsd-in-children/
Find us on social media: 
Facebook https://www.facebook.com/NipintheBudFilm/
Instagram https://www.instagram.com/nipinthebudfilm/
Twitter https://twitter.com/nipinthebudfilm
LinkedIn https://www.linkedin.com/company/nip-in-the-bud/</t>
  </si>
  <si>
    <t>Watch time: 1.00 minute
Are you a dad getting to grips with parenting a child with additional needs? Anil talks to the team at Nip in the Bud about his experience of caring for a child with Autism.
To watch the full film, where we to Anil and 2 other dads  who have an active and engaged role in looking after their child with additional needs - see this link: https://youtu.be/NmrSiOn1rgY
In this film, Damien, Anil and Usman open up about the challenges they have faced, the reality of the day-to-day, things they have learned along the way and where they have turned to look for support.
To watch more films about children and their parents' experience of Autism or find out more from evidence-based experts who work in this field see more in our Playlist here: https://www.youtube.com/playlist?list=PLS65xMu-topXJH4PEF2lICZErPntaTlXJ 
If you need more information we also have more films about conditions &amp; experiences ( such as Anxiety, ADHD, Autism, Conduct Disorder, Depression, OCD, Self-Harm, Eating Disorders and PTSD) which all have accompanying comprehensive Fact Sheets and additional resources visit us at https://nipinthebud.org/
Please Like this film, subscribe and follow us if you would like to see more of our films on children's mental health and well-being - we'd really appreciate it and we think you will too.
To learn more about Children's Mental Health on our website: 
Children's Mental Health: https://nipinthebud.org/
ADHD: https://nipinthebud.org/adhd-in-child...
Anxiety: https://nipinthebud.org/anxiety-in-ch...
Autism Spectrum Condition: https://nipinthebud.org/autism-in-chi...
Conduct Disorder/ODD: https://nipinthebud.org/conduct-disor...
Depression: https://nipinthebud.org/depression-in...
OCD: https://nipinthebud.org/ocd-in-children/
PTSD: https://nipinthebud.org/ptsd-in-child...
Self Harm: https://nipinthebud.org/films-teacher...
Eating Disorders: https://nipinthebud.org/films-teacher...
Emotional Wellbeing | https://nipinthebud.org/films-parents...
Navigating how to get support for your child / ECHP /Early Intervention: https://nipinthebud.org/films-parents...
Find us on social media: 
Facebook https://www.facebook.com/NipintheBudF...
Instagram https://www.instagram.com/nipinthebud...
Twitter https://twitter.com/nipinthebudfilm
LinkedIn https://www.linkedin.com/company/nip-...</t>
  </si>
  <si>
    <t>Watch time: 06.25 minutes
Eating disorders are more commonly associated with girls. Boys who develop these problems are often misdiagnosed.
Here, Jenny Langley, author of ‘Boys Get Anorexia Too’ talks about her experience when her son developed an eating disorder.
To understand more about Eating disorders watch our 6 and a half-minute film and download our fact sheet. We also have a wonderful film "Understanding Eating Disorders" if you'd like to find out more about how Eating disorders work and how to support or recognise if a child might be developing an eating disorder: https://youtu.be/DatYiiSxxUE
For more information on how to access help and support, go to the Nip in the Bud web page ‘Where to go for help page’. https://nipinthebud.org/where-to-go-for-help/
Please Like and subscribe if you would like to see more of our films on children's mental health and wellbeing - we'd really appreciate it and we think you will too.
Nip in the Bud® was set up to encourage awareness about mental health disorders in young children. For more information, the accompanying comprehensive Fact Sheets and additional resources visit us at https://nipinthebud.org/
Perhaps you're a parent whose child is experiencing anxiety? We have more films for you in our Anxiety in young children Playlist
https://www.youtube.com/playlist?list=PLS65xMu-topWH_QiLb-602y5rdtoqF1eX
These films range from how teachers and carers can help support children who may be experiencing Anxiety to hearing from families and children's first-hand experiences.
If you're a teacher or someone who works with young children you can find more information and inspiration here:
Mental Health Tips for Teachers of young children Playlist
https://www.youtube.com/playlist?list=PLS65xMu-topUH3FxJmIlA0F6cu-F6KC1G
Our films range from tips for teachers in the classroom can use if their students are experiencing symptoms of mental illness, neurodiverse or neurodevelopmental issues, to handling disclosures from children, anxiety about covid or going back to school. We also have short films with tips on how to help children look after their mental health.
Learn more about Children's Mental Health on our website: 
Children's Mental Health https://nipinthebud.org/
ADHD https://nipinthebud.org/adhd-in-children/
Anxiety https://nipinthebud.org/anxiety-in-children/
Autism Spectrum Condition https://nipinthebud.org/autism-in-children/
Conduct Disorder/ODD https://nipinthebud.org/conduct-disorders-in-children/
Depression https://nipinthebud.org/depression-in-children/
OCD https://nipinthebud.org/ocd-in-children/
PTSD https://nipinthebud.org/ptsd-in-children/
Self Harm https://nipinthebud.org/self-harm/
Find us on social media: 
Facebook https://www.facebook.com/NipintheBudFilm/
Instagram https://www.instagram.com/nipinthebudfilm/
Twitter https://twitter.com/nipinthebudfilm
LinkedIn https://www.linkedin.com/company/nip-in-the-bud/</t>
  </si>
  <si>
    <t>Watch time: 02.50 minutes
Content and trigger warning: 
This is a personal account from one of our contributors to Nip in the Bud's film about Self-Harm. This information is not medical advice. It is generic and does not take into account your personal circumstances, physical wellbeing, mental status or mental requirements. 
If you need to take a break and come back later to watch with a friend please do.
One of our wonderful contributors, Emily, who we hear more from in our longer film "Understanding Self Harm" (https://vimeo.com/590270971 you can watch via the link ) talks, in this clip, about how she feels about her journey through self-harm to recovery and what she would say to her 13-year-old self.
Timestamps:
00:12 Emily's drive for perfection
00:23 Not realising what she was doing to herself
00:30 Emily's awful internal experience
00:35 Pressure to 'do well'.
00:40 No right to feel this sad
00:50 Still awake at 3.00am in the morning
00:55 An awful feeling of physical pain
00:58 Wanting to release this pain
01:03 The feelings of guilt
01:07 Leading to self-harm
01:16 Hiding a secret to protect others' feelings
01:26 What Emily's brain was telling her
01:36 Did self-harm help?
01:43 A bully inside your head
01:47 Someone to talk to
01:52 Exploring judgements and diffusing their power
02:01 On your own
02:05 What Emily would say to her 13-year-old self.
Content and trigger warning: 
Do not use this information to treat or diagnose your own or another person’s medical condition and never ignore medical advice or delay seeking it because of something in this information. Any medical questions should be referred to a qualified healthcare professional. 
If in doubt, please always seek medical advice. We provide support links on our ‘Where to go for help page’. https://nipinthebud.org/where-to-go-for-help/
Self-harm is when you hurt yourself as a way of dealing with very difficult feelings, painful memories or overwhelming situations and experiences. It can be an extreme coping mechanism people turn to when they feel they have no other option.
Self-harm affects more people than you might think. It is estimated that between 10% - 20% of all people self-harm at some point during their lifetime. It is hard to gather exact figures due to the stigma surrounding self-harm, and because people try to hide their wounds, scars and bruises.
The average age of the first incident of self-harm is around 12/13, though the rate of self-harm among younger children (aged 9-12) in the UK has increased in the last ten years.
To understand more about self-harm, watch our 8-minute film and download our fact sheet.
For information on how to access help and support, go to the Nip in the Bud ‘Where to go for help page’. https://nipinthebud.org/where-to-go-for-help/
Please Like and subscribe if you would like to see more of our films on children's mental health and wellbeing - we'd really appreciate it and we think you will too.
Perhaps you're a parent whose child is experiencing Depression? 
We have more films for you in our Depression in young children Playlist:
https://www.youtube.com/playlist?list=PLS65xMu-topWQEuDSADJIJMpbdVTh70pp
These films range from how teachers and carers can help support children who may be experiencing Depression, to hearing from families' first-hand experiences.
We also explore tips for carers of young children and teachers in our playlists below:
Young children's mental health tips for Parents &amp; Carers Playlist
https://www.youtube.com/playlist?list=PLS65xMu-topXHqCqGCHl3dd0nJ5D8kboE
These films range from short films with tips on how to help children look after their mental health to insights into tips for teachers in the classroom if their students are experiencing symptoms of mental illness, neurodiverse or neurodevelopmental issues, or how to handle disclosures from children to anxiety about covid or going back to school. 
Mental Health Tips for Teachers of young children Playlist
https://www.youtube.com/playlist?list=PLS65xMu-topUH3FxJmIlA0F6cu-F6KC1G
Please  Like this film and subscribe if you would like to see more of our films on children's mental health and wellbeing - we'd really appreciate it and we think you will too.
Learn more about Children's Mental Health on our website: 
Children's Mental Health https://nipinthebud.org/
ADHD https://nipinthebud.org/adhd-in-children/
Anxiety https://nipinthebud.org/anxiety-in-children/
Autism Spectrum Condition https://nipinthebud.org/autism-in-children/
Conduct Disorder/ODD https://nipinthebud.org/conduct-disorders-in-children/
Depression https://nipinthebud.org/depression-in-children/
OCD https://nipinthebud.org/ocd-in-children/
PTSD https://nipinthebud.org/ptsd-in-children/
Find us on social media: 
Facebook https://www.facebook.com/NipintheBudFilm/
Instagram https://www.instagram.com/nipinthebudfilm/
Twitter https://twitter.com/nipinthebudfilm
LinkedIn https://www.linkedin.com/company/nip-in-the-bud/</t>
  </si>
  <si>
    <t>YouTube Capture amamentação mamando leite materno</t>
  </si>
  <si>
    <t>#M.A. psychology exam paper M.A. second semester cognitive psychology exam paper cognitive psychology exam paper #exam paper 2016 #psychology exam paper in hindi # psychology exam paper in English # cognitive psychology exam paper in English #cognitive psychology exam paper in hindi # old papers psychology #M.A second semester psychology old papers</t>
  </si>
  <si>
    <t>mental health psychology psychological disorder health wellness msw social work illness class 11 class 12 learning viralvideo simplevideo studypsychology lecture teaching psychologyvideo CBSE NCERT Education easyvideo</t>
  </si>
  <si>
    <t>tlsonline csir net life science question paper solved csir net life science books csir net life science classes csir net life science crash course csir net life science developmental biology csir net life science previous year solved question papers zoology botany biochemistry ecology evolution csir net life science biochemistry best coaching csir net life science biochemistry pyq best online coaching for csir net life science crash course and revision part b points</t>
  </si>
  <si>
    <t>Autism Awareness Special Education</t>
  </si>
  <si>
    <t>parenting special needs resources support navigating medical system education advocacy community parents children patient navigators parenting a child with developmental delays parenting a child with a disability special needs parenting advice managing medical appointments for special needs children special needs parent community advocating for special needs children special needs education resources support for parents of special needs children</t>
  </si>
  <si>
    <t>health mental illness sadness disorder sad psychotherapy what is major depressive disorder mental health symptoms how to cure depression what is depression depressed mental depression brain treatment psychology major depressive disorder science anxiety clinical depression major depression lonely stress</t>
  </si>
  <si>
    <t>Anxiety Anxiety disorder types types of anxiety disorder generalized anxiety disorder panic disorder panic attacks specific phobias agoraphobia social anxiety separation anxiety therapy medications what is anxiety Anxiety attack psych hub treatment of anxiety symptoms of anxiety what to do about anxiety stress mental health fear worry heartbeat shortness of breath sweating treambling GAD CBT SSRIS heights flying snake spiders blood infections social phobia</t>
  </si>
  <si>
    <t>blood test fasting blood test blood tests results explained kidney disease nephrologist kidney health doctor kidney doctor nutrition kidney diet diabetes diabetic low sodium diet diabetes diet recipe video kidney failure kidney disease cure back pain symptoms kidney disease symptoms heart medication Heart disease stroke smoking quit smoking los weight diet and exercise high potassium hypertension blood tests blood test results cancer blood test</t>
  </si>
  <si>
    <t>Tmau Tmau symptoms smell stink GOD Faith Jesus Jesus Christ Trust love hope Tmau My story</t>
  </si>
  <si>
    <t>rodents rodent mouse droppings rat droppings rodent control rodent droppings how to remove rodent droppings how to clean rat droppings rodent remediation rodent cleaning rodent dropping removal droppings orkin canada Rat Control</t>
  </si>
  <si>
    <t>Tantric Yoga Yoga practice Kundalini awakening Spiritual connection Mind body and soul Meditation Breathwork Pranayama Asanas Chanting Mantras Inner energy Higher consciousness Health and wellness Stress reduction Mental health Yoga philosophy Holistic approach Yoga for beginners Yoga for advanced practitioners Ancient practice Self-discovery Inner peace Joy Fulfillment Energy flow Balance Flexibility Strength Well-being</t>
  </si>
  <si>
    <t>Los Angeles Bariatric Surgeon General Surgeon Abdominal Wall Hernia Adrenal Gland Gallbladder Problems Intestinal Tract Conditions Obesity Treatment Spleen Conditions Stomach and Esophagus Conditions Gastrointestinal Surgery Anti Reflux Surgery</t>
  </si>
  <si>
    <t>breathing techniques mindfulness meditation relaxation stress relief anxiety relief wellness health tips diaphragmatic breathing equal breathing box breathing breathwork yoga mental health physical health immune system self-care deep breathing calming techniques lung function heart health natural remedies holistic health focus concentration peak performance life hacks personal growth productivity self-improvement</t>
  </si>
  <si>
    <t>Breast milk Breastfeeding Breast milk storage Breast milk storage guidelines Liquid gold Safe breast milk storage Storing breast milk Breast milk containers Breast milk storage bags Sterilizing breast milk containers Frozen breast milk Thawing breast milk Fresh breast milk Hand washing Breast milk pumping Breast milk supply Breast milk nutrition Baby feeding Infant nutrition Milk quality Milk safety Milk freshness Baby care</t>
  </si>
  <si>
    <t>Amniotic Fluid Embolism Pregnancy complications Childbirth Maternal health Obstetrics Medical emergency Women's health Labor and delivery Maternal mortality AFE High-risk pregnancy Health awareness Medical education Critical care Emergency medicine Neonatal health Allergic reactions Blood transfusion Cardiac arrest Seizures Asthma Anxiety Panic attacks Medication safety Risk factors Prevention Health education Healthcare training</t>
  </si>
  <si>
    <t>Beer belly Belly fat Weight loss Fitness Health Nutrition Exercise Healthy lifestyle Body transformation Workout Cardio Strength training Abs Healthy eating Diet Calorie counting Portion control Meal planning Stress management Sleep Mindfulness Personal trainer Registered dietitian Motivation Inspiration Progress tracking Before and after Men's health Women's health Self-improvement</t>
  </si>
  <si>
    <t>lichen planus chronic inflammatory skin condition autoimmune disease skin disorder mucous membranes nails scalp itchy skin papules plaques oral lichen planus white patches painful sores nail involvement hair loss scarring diagnosis skin biopsy dermatologist treatment options corticosteroids immunosuppressive medications phototherapy retinoids immune response modifiers management self-care triggers flare-ups support groups coping strategies quality of life.</t>
  </si>
  <si>
    <t>honey and lemon skincare natural skincare DIY skincare home remedies for skincare beauty tips beauty hacks glowing skin clear skin acne treatment anti-aging moisturizing exfoliating brightening skin toning honey face mask lemon face mask honey scrub lemon scrub honey toner lemon toner skincare routine beauty secrets skincare benefits skincare ingredients vitamin C skincare antibacterial skincare acne-prone skin natural ingredients healthy skin</t>
  </si>
  <si>
    <t>Hair removal Waxing Shaving Skin care Beauty Personal grooming Body hair Bikini area Leg hair Armpit hair Razor burn Ingrown hairs Exfoliation Sensitive skin Spa Salon Beauty tips Self-care DIY beauty Men's grooming Women's grooming Hygiene Self-confidence Body positivity Summer beauty Confidence boosters Skincare routine Hair care Hair maintenance Beauty secrets</t>
  </si>
  <si>
    <t>Lower belly fat weight loss fitness health exercise cardio strength training healthy eating nutrition metabolism fat burning body positivity self-improvement self-care wellness mindfulness stress reduction sleep workout routine ab exercises core strength HIIT body transformation motivation persistence patience goal setting inspiration lifestyle healthy habits</t>
  </si>
  <si>
    <t>Intestinal lymphoma Cancer Lymphatic system Gastrointestinal tract Small intestine Digestive disorders Symptoms Diagnosis Biopsy Treatment Chemotherapy Radiation therapy Surgery Health Support system Recovery Surviving cancer Health awareness Medical information Patient support Cancer care Oncology Tumor Rare disease Abdominal pain Weight loss Nausea Vomiting Fatigue Emotional support</t>
  </si>
  <si>
    <t>air pollution lung cancer pollution and health air quality respiratory diseases environmental health toxic air lung health air pollution effects lung cancer risk particulate matter air pollution research outdoor air pollution cancer prevention environmental awareness clean air reducing pollution lung cancer prevention pollution-related diseases air pollution solutions air pollution facts pollution control measures lung cancer statistics</t>
  </si>
  <si>
    <t>Deodorants Antiperspirants Underarm odor Sweat control Body odor Personal hygiene Skincare Aluminum-free Natural deodorants Chemical-free Sweat protection Fragrance Armpits Deodorant vs Antiperspirant Perspiration Sweat glands Sweat prevention Body care Antiperspirant spray Deodorant stick Antiperspirant roll-on Aluminum-based Antiperspirant cream Natural ingredients Tea tree oil Witch hazel Sage Sweat management Health and wellness</t>
  </si>
  <si>
    <t>phlegm mucus cough congestion cold flu allergies respiratory health breathing hydration steam nasal spray medication health wellness natural remedies home remedies self-care medical advice expert tips coughing throat clearing chest congestion stuffy nose sinus pressure respiratory infections common cold flu season immune system fatigue</t>
  </si>
  <si>
    <t>free floating anxiety anxiety mental health mental wellness understanding anxiety anxiety symptoms anxiety management coping with anxiety anxiety support mental well-being anxiety help anxiety tips anxiety relief overcoming anxiety stress management anxiety causes anxiety triggers anxiety treatment anxiety strategies anxiety coping techniques anxiety self-help anxiety recovery mental health support anxiety resources anxiety therapy</t>
  </si>
  <si>
    <t>how to prepare for bank exam study plan for Beginners study plan for working aspirant to do list for Rbi assistant exam how to prepare for Rbi exam banking Exam Preparation strategy bank job exam</t>
  </si>
  <si>
    <t>National Child Labour Project Abolition of Child Labour in India Abolition of Forced Labour in India Article-23 of Indian Constitution Article-24 of Indian Constitution Pencil Portal for Child Labour Eradication in India Measures of Government of India to abolish child labour Constitutional responsibility of Indian government to prohibit child labour and forced labour Right to Education as fundamental right and child labour child labour and Upsc Indian government schemes</t>
  </si>
  <si>
    <t>nta net nta ugc net ugc net ugc net jrf lets crack nta ugc net net jrf 2023 jrf 2023 dr lokesh meena net jrf june 2023 ugc net 2023 research ugc net research aptitude ugc net ugc net research aptitude research aptitude paper 1 research aptitude ugc net june 2023 nta ugc net 2023 types of research research aptitude for ugc net nta ugc net research aptitude ugc net research aptitude pyq ugc net research aptitude mcq research by dr. lokesh meena</t>
  </si>
  <si>
    <t>nta net education paper 2 education paper 2 mocktest ugc net education paper 2 mock test net education paper 2 ugc net education paper 2 pdf nta ugc net paper 2 education educators plus educator plus education plus ugc net education ugc net education paper 2 assistant professor education uphesc education education paper 2 ugc net education paper 2022 education paper 2023 uphesc advt no uphesc advt no 51 exam date uphesc advt no 51</t>
  </si>
  <si>
    <t>EASY TRICK EASY TRICK TO LEARN FUNCTIONS OF BLOOD ANATOMY AND PHYSIOLOGY CIRCULATORY SYSTEM the circulatory System anatomy blood function of blood nursing nursing classes online nursing class norcet bsc nursing gnm paramedical nursing video for nursing students</t>
  </si>
  <si>
    <t>anxiety disorder anxiety disorder in hindi anxiety disorder symptoms anxiety disorder treatment anxiety disorders psychology anxiety disorder treatment in hindi anxiety disorder symptoms in hindi Anxiety disorder Anxiety Disorder</t>
  </si>
  <si>
    <t>pineal gland pineal gland in hindi function of pineal gland in hindi function of pineal gland in endocrine system function of pineal gland class 10 function of pineal gland in reproduction function of pineal gland endocrine function of pineal gland role of pineal gland role of pineal gland in reproduction endocrine system endocrine system anatomy and physiology endocrine system pineal gland endocrine system class 10 icse endocrine system class 11</t>
  </si>
  <si>
    <t>Knowledge facts Information fact Know about world fact World fact Know about world facts General knowledge General knowledge video Informatie video</t>
  </si>
  <si>
    <t>Head injury in hindi Head injury hindi lecture Head injury nursing in hindi Head injury types in hindi head injury lecture video head injury youtube video head injury symptoms in hindi head injury recovery in hindi head injury GCS Scale Glasgow coma scale brain injury in hindi brain injury patient treatment brain injury hindi lecture head injury pathology in hindi head injury cause in hindi head injury pdf lecture in hindi</t>
  </si>
  <si>
    <t>Notes Of Second Third And Fourth Five year Plan in Community health nursing II in Hindi.</t>
  </si>
  <si>
    <t>#medicine #forstudents #children #pediatrics #peculiarities</t>
  </si>
  <si>
    <t>guillain barre syndrome osmosis guillain barre syndrome in hindi guillain barre syndrome lecture guillain barre syndrome patient guillain barre syndrome treatment in hindi guillain barre syndrome and covid 19 guillain barre syndrome best hospital in india</t>
  </si>
  <si>
    <t>Surgery in burn injury in hindi reconstructive and cosmetic surgery in burn injury plastic surgery in hindi burn injury surgery in hindi burn injury surgery lecture in hindi reconstructive surgery in hindi skin grafting in burn injury hindi Flap surgery in hindi tissue expansion surgery in hindi flap surgery types in hindi local flap free flap skin grafting types in hindi</t>
  </si>
  <si>
    <t>epilepsy in hindi epilepsy in hindi lecture seizures tonic clonic seizures seizures in children seizures in newborns seizures video seizures nursing seizures explained seizure in hindi seizure in hindi meaning seizure treatment in hindi seizure video in hindi</t>
  </si>
  <si>
    <t>Notes Of Dissociative Disorder in Mental Health Nursing (Psychiatric) in Hindi.</t>
  </si>
  <si>
    <t>Actual Output Actual Output ACTUAL OUTPUT what is actual output examples EXAMPLE example urdu hindi simple easy define meaning definition mean explain</t>
  </si>
  <si>
    <t>Weighted Moving Average Calculation Procedure Weighted Moving Average excel easy Urdu Hindi</t>
  </si>
  <si>
    <t>civil engineering gate civil engineering gate civil engineering lectures unacademy unacademy civil engineering unacademy gate academy gate mechanical engineering gate civil preparation strategy gate 2024 gate 2023 gate academy civil mechanical gate civil engineering syllabus gate mechanical gate civil gate preparation gate strategy for civil gate tips for civil</t>
  </si>
  <si>
    <t>time-lapse timelapse time lapse watercolor sketchbook painting process watercolor painting process</t>
  </si>
  <si>
    <t>newborn screening nbs genome sequencing ELSI ethics genetics pediatric raredisease precisionmedicine</t>
  </si>
  <si>
    <t>Rulex Analytics technology Machine Learning</t>
  </si>
  <si>
    <t>Exzellenzcluster Hearing4all HNO-Klinik Medizinische Hochschule Hannover Deutsches Hörzentrum Hannover DHZ Hören Hörsystem Cochlea-Implantat</t>
  </si>
  <si>
    <t>Recovery alcohol free living alcohol use disorder emotional sobriety gray area drinking post acute withdrawal syndrome quit drinking sober curious sober podcast</t>
  </si>
  <si>
    <t>gambling addiction stop gambling how to stop gambling tips to stop gambling quit gambling self improvement tips self improvement journey gambling addict gambling addiction help stop gambling addiction how to stop gambling addiction how to quit gambling gambling help how to stop gambling and end your addiction self improvement compulsive gambling how to overcome gambling addiction overcoming addiction online gambling addiction gambling problems</t>
  </si>
  <si>
    <t>substance abuse mental health treatment therapy motivational interviewing motivational enhancement therapy</t>
  </si>
  <si>
    <t>healthcare hospital social work medical social work social work social work students</t>
  </si>
  <si>
    <t>social work hospital social work medical social work socialworkstudent social work students healthcare social work healthcare</t>
  </si>
  <si>
    <t>Biopsychosocial Template Therapist Therapy Carepatron</t>
  </si>
  <si>
    <t>NCE NCE Exam NCE Help NCE Help Me NCE Help MeNCE NCE Human Growth NCE Human Growth and Development NCE Practice NCE Practice Questions NCE Prep NCE Prep Test NCE Review NCE Review Questions NCE Study NCE Study Guide NCE Study Review NCE Test National Counselor Exam unf#ck your nce cpce</t>
  </si>
  <si>
    <t>addiction beat addiction addiction treatment how to beat addiction addictions addiction recovery how to overcome addiction stop addiction quit addiction types of addiction truth of addiction causes of addiction overcome addiction what is an addiction drug addiction drug addiction treatment heroin addiction treatment alcohol treatment holistic addiction treatment</t>
  </si>
  <si>
    <t>Dawn Elise Snipes Cheap CEUs unlimited ceus hpcsa crcc lcsw ceus lcdc ceus lmft ceus lmhc ceus ce broker addiction ceus LADC CEU MAC CEU counseling techniques counseling skills yt:cc=on donnelly snipes doc snipes counselor education mental illness allceus all ceus cognitive behavioral certificate programs counselor certification online course counseling live ceus live webinars counselling masterclass self help nce ce4less</t>
  </si>
  <si>
    <t>BigBrain BigBrain Project Neuroscience Neuroimaging</t>
  </si>
  <si>
    <t>Dawn Elise Snipes Cheap CEUs NCMHCE unlimited ceus hpcsa crcc lcsw ceus lcdc ceus lmft ceus lmhc ceus ce broker addiction ceus LADC CEU MAC CEU counseling techniques counseling skills online counseling yt:cc=on donnelly snipes doc snipes counselor education mental illness allceus all ceus cognitive behavioral certificate programs counselor certification online course</t>
  </si>
  <si>
    <t>wellness by farah psychology psychology lectures psychology lessons freud theory in urdu freud theory in hindi freud personality theory freud psycho dynamic theory what is sigmund freud theory? psychoanalytic theory stages what are the five stages of personality development? summary of psychoanalytic theory psychoanalytic stages what is the basic idea of psychoanalytic theory? sigmumd freud theory in urdu sigmund freud psychoanalytic theory</t>
  </si>
  <si>
    <t>Phd admission 2023 Sop Sop for phd admission sample Statement of purpose all about phd admission 2023 how to write a perfect statement of purpose how to write sop iit phd admission 2023 phd admission notification 2023 sop sop example sops statement of purpose statement of purpose for masters</t>
  </si>
  <si>
    <t>class 10 chemistry class 10 science class 10 chemistry class 10 class 10 chemistry chapter 1 chemical reactions and equations class 10 class 10 cbse chemical reactions and equations class 10 ncert class 10 chemistry revision class 10 chemistry full revision class 10 chemistry chapter 1 notes cbse class 10 chemical reactions and equations class 10 one shot class 10th chemistry full syllabus chemistry class 10 class 10 science chapter 1</t>
  </si>
  <si>
    <t>@everestcoachinginstitue learning #learning education @learning @everestcoachinginstitutephagwara learn easy everest coaching institute basics #basicstoadvanced One shot Class 12 Economics Introduction to Macroeconomics Introduction to Macroeconomics I One shot I Class 12 Economics</t>
  </si>
  <si>
    <t>delhi sultanate iltutmish ghauri kutub ud din aibak iqta and khalisa administration under delhi sultanate medieval indian history lodhi edushine ias history optional for upsc modern indian history balban ala uddin khilji muhammed bin tughlaq firoz shah tughlaq</t>
  </si>
  <si>
    <t>aspirations and goals of a society constitution: why and how? political science NCERT 11TH UPSC KHAN SADDAM SADDAM UPSC SADDAM IAS</t>
  </si>
  <si>
    <t>travel writing Afghanistan adventure travel travel books</t>
  </si>
  <si>
    <t>vapor pressure raoults law raoult's law mcat raoult's law class 12 in hindi raoult's law as a special case of henry's law raoult's law class 12 chemistry raoult's law for non violatile solute raoult's law class 12 mole fraction chemistry chemical engineering learncheme screencasts vle engineering ideal solution vapour pressure vapor pressure depression vapor pressure of solution raoults law chemistry material and energy balances solutions of volatile liquids</t>
  </si>
  <si>
    <t>cuet physics cuet physics preparation 2023 cuet physics questions cuet 2023 physics preparation cuet physics preparation cuet physics domain cuet physics pyq cuet physics domain preparation cuet science domain cuet questions physics complete physics physics domain cuet exam 2023 cuet physics previous year question cuet physics mcq for cuet cuet previous year question cuet physics most important questions cbse 2023-24 cbse 2024 ncert magnet brains</t>
  </si>
  <si>
    <t>trigonometric functions exercise 3.2 concept overview part 2 class 11 maths chapter 3 2023-24 class 11th maths ncert trigonometric functions chapter 3 relations and functions exercise 3.2 concept overview class 11 maths chapter 3 concept overview 2024 class 11 maths chapter 3 exercise 3.2 trigonometric functions class 11 trigonometric function class 11 class 11 math function exercise 3.2 magnet brains cbse 2023-24 cbse 2024 ncert exercise 3.2 class 11</t>
  </si>
  <si>
    <t>excretion in human beings life processes class 10 biology chapter 5 class 10 life processes excretion in human beings life processes class 10 excretion in human beings class 10 life processes class 10 science biology excretory system in human human excretory system life process class 10 excretory system organs excretion in humans excretion class 10 what is life process class 10 biology excretion in human beings live magnet brains 2023-24</t>
  </si>
  <si>
    <t>cbse sample paper solution 2024 cbse sample paper class 12 informatics practices informatics practices class 12 ip class 12 sample paper solution informatics practices cbse sample paper 2023 24 class 12 solutions class 12 informatics practices class 12 ip sample paper class 12 ip informatics practices sample paper informatics practices class 12 cbse cbse board exam 2023-24 class 12 informatics practices magnet brains sample paper solutions magnet brains 2023-24</t>
  </si>
  <si>
    <t>magnet brains basic english vs advanced english learn english basic english english speaking practice advanced english english speaking basic vs advanced english advanced english speaking english lesson english lessons english different ways to use english words &amp; phrases english vocabulary vocabulary vocab speak english english vocabulary tricks vocabulary tricks how to speak english spoken english english speaking course cbse 2023-24 cbse 2024</t>
  </si>
  <si>
    <t>humanistic - existential therapy class 12 psychology chapter 5 cognitive therapy therapeutic approaches therapeutic approaches class 12 therapeutic approaches class 12 psychology therapeutic approaches in psychology class 12 psychology chapter 5 therapeutic approaches in hindi class 12 psychology in hindi humanistic - existential therapy class 12 psychology class 12 chapter 5 psychology ch 5 class 12 magnet brains</t>
  </si>
  <si>
    <t>therapeutic relationship class 12 psychology chapter 5 therapeutic approaches therapeutic approaches class 12 psychology therapeutic approaches class 12 ch 5 class 12 psychology ch 5 ncert psychology therapeutic relationship class 12 psychology in hindi nature &amp; process of psychotherapy psychology class 12th ch 5 psychology class 12th chapter 5 ncert psychology psychology class 12 chapter 5 psychology ch 5 class 12 magnet brains</t>
  </si>
  <si>
    <t>cognitive therapy therapeutic approaches class 12 psychology chapter 5 therapeutic approaches class 12 therapeutic approaches class 12 psychology therapeutic approaches in psychology psychodynamic therapy class 12 psychology chapter 5 therapeutic approaches in hindi class 12 psychology in hindi cognitive therapy class 12 psychology class 12 chapter 5 psychology ch 5 class 12 magnet brains</t>
  </si>
  <si>
    <t>healthcare practice management practice management system medical practice policies</t>
  </si>
  <si>
    <t>CMV cytomegalovirus vaccine trials vaccine research FVR - Finnish Vaccine Research</t>
  </si>
  <si>
    <t>special education cambodia q&amp;a questions about special education special needs special needs cambodia autism cambodia adhd cambodia sophaneth heng</t>
  </si>
  <si>
    <t>theories on narcissism NPD perspectives on narcissim Narcissistic personality disorder Narcissim Clincial Narcissism Narcissist Narcissists</t>
  </si>
  <si>
    <t>An absessed tooth can lead to endocarditis!! dental abscess tooth abscess tooth infection dental abscess treatment what is a tooth abscess abscessed tooth treatment infected tooth abscess dental abscess tooth extraction dental abscess removed infected tooth with abscess dental abscess cheek swelling dental abscess home remedy what is a dental abscess infected tooth pain relief infected tooth abscess drained Knowledgemadnoob knowledge madnoob</t>
  </si>
  <si>
    <t>pelvic pain painful sex pelvic rehabilitation vaginal pain what is vulvodynia pain during sex interstitial cystitis vulvodynia help how to treat vaginal pain why do i have vaginal pain how to treat vulvodynia why sex hurts pelvic pain during sex why is sex painful how to reduce pain during sex Knowledgemadnoob knowledge madnoob</t>
  </si>
  <si>
    <t>3 Possible Signs of stroke How to identify?? health (industry) stroke treatment transient ischemic attack stroke prevention ischemic stroke hemorrhagic stroke blood clot heart disease stroke symptoms medicine (field of study) disease (cause of death) how is stroke diagnosed what is the treatment for stroke stroke warning signs</t>
  </si>
  <si>
    <t>FORTNITE breakfast club dance Molly Ringwald gamer stream xbox emote scene mixer ' mixer streamer</t>
  </si>
  <si>
    <t>Hot Towel At Home Care Self Love Hot towel treatment Essential Oils Barber Techniques Barber Skills Self care Matt Southerland How to DIY Barber Hot Towel At Home Care Self Love Hot towel treatment Essential Oils Barber Techniques Barber Skills Self care Matt Southerland How to DIY Barber Hot Towel At Home Care Self Love Hot towel treatment Essential Oils Barber Techniques Barber Skills Self care Matt Southerland How to DIY Barber</t>
  </si>
  <si>
    <t>House Cleaning Service Maid Service Move in/out Cleaning Apartment Cleaning Deep Cleaning</t>
  </si>
  <si>
    <t>how to get over a breakup how to deal with a breakup how long does it take to get over a breakup how to move on after breakup how long does it take to get over someone how to get through a breakup how to move on from a breakup how to heal from a breakup how long to get over a breakup how to overcome breakup how to get over a relationship breakup breakup recovery moving on after a breakup healing after a breakup dealing with a breakup surviving a breakup</t>
  </si>
  <si>
    <t>how to jump clap how to dance dance tutorial barre none dance company dance basics jazz jazz dance moves jazz basics kick ball change</t>
  </si>
  <si>
    <t>essential business skills for success business skills for success how to be the best leader how to motivate employees business skills entrepreneur skills business development skills how to motivate your team how to become a good leader business acumen skills how to motivate employees as a manager business management skills how to be a good team leader how to motivate a team at workplace executive skills teamwork in business</t>
  </si>
  <si>
    <t>public speaking tips how to speak confidently in public how to prepare and speak in public how to overcome speech anxiety speaking tips how to speak in public speaking techniques how to give a speech how to build confidence in speaking tips for speeches how to talk confidently fear of public speaking public speaking anxiety tips best public speaking tips how to overcome stress speech tips for public speaking</t>
  </si>
  <si>
    <t>how to have good manners good manners how to have better manners how to shake hands and introduce yourself how to have good etiquette how to get good manners how to make a good first impression how to introduce others how to have perfect manners how to have proper manners importance of good manners how to have good manners and etiquette ways to have good manners basics and importance of good manners how to start a conversation</t>
  </si>
  <si>
    <t>how to take care of your feet how to prevent foot blisters how to prevent blisters on feet how to take care of feet how to cure nail fungus how to prevent athlete's foot how to cure fingernail fungus fast how to treat toenail fungus how to get rid of toenail fungus with bleach feet care foot care blister treatment foot blister treatment foot health total foot care complete foot care how to take care of your feet and nails</t>
  </si>
  <si>
    <t>how to enjoy winter things to do in winter winter things to do best winter activities fun things to do in winter how to make snow angels indoor winter activities how to have a snowball fight snowman activity how to make a snowman snowball throw game how to turn your house into a winter wonderland making angels in the snow how to turn your yard into a winter wonderland making a snow angel winter activities winter hacks</t>
  </si>
  <si>
    <t>Aged Parents How to Care for Aged Parents Care for Aged Parents Elderly care tips for adult children Essential caregiving skills for elderly parents elderly care How to take care of aging parents at home Managing stress while caring for elderly parents medication on time periodical checkups comfort for aged parents proper sanitation howcast grandparents physical and emotional support for aging parents support network for caregiving for elderly parents</t>
  </si>
  <si>
    <t>how to have a natural skincare routine natural skincare natural skincare routine what is cocoa butter good for best natural skincare what is shea butter good for natural skin lightening all natural skincare organic products for skin natural skin care for oily skin best natural skin care products natural glowing skin organic remedies for lip problems how to have a clear skin naturally natural skin care routine for glowing skin</t>
  </si>
  <si>
    <t>have yourself a merry little christmas merry christmas how to have a merry christmas how to tell if santa came while you were sleeping happy christmas merry xmas how to prevent common christmas disasters happy christmas eve how to throw a christmas party best christmas merry christmas funny how to succesfully pull off a mistletoe kiss best merry christmas how to host your first christmas dinner christmas wishes</t>
  </si>
  <si>
    <t>how to do physical therapy exercises for the knees therapy exercises for the knees physical therapy exercises for the knees knee exercises knee strengthening exercises knee pain exercises stretches for knee pain knee pain relief exercises physiotherapy exercise for knee pain knee strengthening exercises at home physical therapy exercises for knee pain knee physical therapy exercises knee strengthening physical therapy for knee pain physio exercises for knee</t>
  </si>
  <si>
    <t>how to have good manners good manners how to have better manners how to shake hands and introduce yourself how to have good etiquette how to get good manners how to make a good first impression how to introduce others how to be agood friend how to have perfect manners how to have proper manners how to make new friends</t>
  </si>
  <si>
    <t>how to play chess like a grandmaster learn chess how to play chess how to play chess for beginners how do you play chess how to learn chess learn how to play chess how to win at chess rules of chess for beginners how to use rybka learn how to play chess for beginners learn chess the right way best way to learn chess how to use chess notation chess lessons how to use zappa how to play chess game</t>
  </si>
  <si>
    <t>Health (Industry) Medicine (Field of Study) Disease (Cause of Death) Osmosis Pathology (Medical Specialty) what is nursing (field of study) Nursing school (organization) bulimia bulimia nervosa eating disorders mental health disorders mental health mental disorders eating over-eating binge eating purging</t>
  </si>
  <si>
    <t>Microbiology Koch's Postulates Limitations of Koch's Postulates Molecular Koch's Postulates alu_ism</t>
  </si>
  <si>
    <t>autism autism simulation sensory overload sensory overload simulation sensory overload visuals autism sensory overload autism meltdown autism meltdown simulation classroom autism autism sensory overload simulation</t>
  </si>
  <si>
    <t>malaria what is malaria notes on malaria symptoms of malaria management of malaria</t>
  </si>
  <si>
    <t>trachea functions of trachea bronchi bronchioles alveoli respiratory system alveoli sac blood capillaries lungs gnm 1st year bsc nursing nursing notes</t>
  </si>
  <si>
    <t>Pharmacy B.Pharm. D.Pharm. Pharmacist Exit exams MCQs Entrance Jobs in Pharma</t>
  </si>
  <si>
    <t>Eye Structure of eye Anatomy of eye Eye Explained in hindi Visual pathway Interior structure of eye Optic nerve Optic chiasma Optic tract Optic radiations Visual cortex Visual area</t>
  </si>
  <si>
    <t>Eye Physiology of eye Physiology of vision Physiology of sight Eye Physiology Refraction of light rays Changing the size of pupil Changing power of lense Accommodation Accommodation of eye Pupil constriction Pupil dilation Convergence Jibi Sebastian</t>
  </si>
  <si>
    <t>Inner ear Structure of ear Anatomy of ear Structure of inner ear Labyrinth Bony labyrinth Membraneous labyrinth Spiral organ Organ of corti Vestibule Cochlea Semi circular canals</t>
  </si>
  <si>
    <t>Eye Structure of eye Interior structure of the eye Eyes Anatomy of eyes Anatomy of eye Aqueous humour Aqueous fluid Vitreous body Vitreous chamber</t>
  </si>
  <si>
    <t>Sense organs Sense of smell Sense of taste Sense of smell and taste Sense of taste and smell Physiology of smell Physiology of taste Physiology of taste and smell Nose and nasal cavity Nasal cavity Tongue and taste buds Taste buds Papillae</t>
  </si>
  <si>
    <t>Sense organs Ear Physiology of hearing Physiology of balance Hearing and balance Physiology of hearing and balance Physiology of hearing and balance Explained in hindi Hearing and balance Explained in hindi</t>
  </si>
  <si>
    <t>esic nursing exam esic nursing classes aiims norcet nursing live classes aiims norcet classes nursing officer bhu nursing bhu nursing online classes jipmer exam jipmer exam online nursing online courses nursing courses online nursing school nursing online classes rajasthan nursing bsc nursing rajasthan bsc nursing rajasthan cho nursing staff nurse vacancy rajasthan anm vacancy crpf nursing staff classes nursing officer classes nursing classes videos</t>
  </si>
  <si>
    <t>Nurses OT Staff Nurses Central Government Nursing Jobs Health Care Centers such as ESIC NRHM NUHM NHM AIIMS CRPF UPSC SSC SSSC NSG LIC DSSSB BCCL Govt Nursing Schools Indian Army Military Hospital Railway Hospitals Indian Railways RRB RRC TSPSC HPPSC TNPSC RPSC etc.. We will also prepare you for the Railway Jobs in various States such as AP UP Bhopal. There are lot of fields B.Sc Nursing M.Sc Nursing #NORCET_EMI_Course #Sure_selection_EMI_Course (AIIMS) #NOCET21</t>
  </si>
  <si>
    <t>Terminology of Psychiatric nursing Important terms of MHN Terminology learn with jenny Psychiatric Nursing terms</t>
  </si>
  <si>
    <t>Object-Oriented Programming OOP Principles Code Reusability Encapsulation Inheritance Polymorphism Abstraction Modularity Best Programming Practices Programming Paradigm Efficient Code Maintainable Code OOP Concepts OOP for Beginners OOP for Experienced Programmers Real-World Examples Software Development Programming Tips Programming Education Computer Science Exception handling Saleem Bhatti Logical Guru OOP C++ Coding Lecture 3 Lecture 3 OOP</t>
  </si>
  <si>
    <t>Hydrocephalus Kya hote hai microcephalus kya hote hai hydrocephalus types cause signs and symptoms and treatment all about hydrocephalus all about microcephalus bpt mpt physiotherapy students hydrocephalus in physiotherapy 3rd year subject hydrocephalus human development growth and community based rehabilitation physiotherapy youtubevideo doctors physiotherapy lecture physio students medical nursing hydrocephalus process nursing lecture mbbs neet</t>
  </si>
  <si>
    <t>intellectual disability intelectual disability mental retardation down syndrome mental disability intellectual disability IQ assessment</t>
  </si>
  <si>
    <t>Mental Status Examination Mental State Examination MSE Psychiatry Examination Psychiatry Interview</t>
  </si>
  <si>
    <t>#psychology #mentalhealthawareness #mentalillness #specialeducaters #parents #parenting #personwithdisability #depression #teachers</t>
  </si>
  <si>
    <t>Consciousness Language what is the language of consciousness universal awareness</t>
  </si>
  <si>
    <t>psychotherapy psychology major depressive disorder symptoms how to cure depression treatment anxiety brain stress depression sadness health clinical depression what is depression mental health disorder mental major depression science depressed what is major depressive disorder lonely mental illness sad</t>
  </si>
  <si>
    <t>medicine medical education medical school meded nursing high yield step1 schizophrenia psychosis schizophrenia pathophysiology schizophrenia first rank symptoms second rank symptoms schizophrenia management types of antipsychotics schizophrenia hallucinations management of schizophrenia catatonic schizophrenia paranoid schizophrenia hebephrenic schizophrenia residual schizophrenia Schneider first rank symptoms</t>
  </si>
  <si>
    <t>add adhd attention deficit hyperactivity disorder jessica mccabe how to essential 360 google cardboard virtual reality dog cat emotional support animal service dog terretorio de zaguates adhd tips therapy anxiety depression hiking drew lynch 360 video esa essential phone therapy dog disability google cardboard vr ways help brains degrees</t>
  </si>
  <si>
    <t>difference between starch and sugar in hindi starch and sugar starch Kaya hota hai learning lessons</t>
  </si>
  <si>
    <t>#health services in school #school health services in hindi school health services in india health facilities in school #health services in physical education #health services in school and #helth services kya hai #what is school #what is health #what is services</t>
  </si>
  <si>
    <t>pharmily pharmilyvideos abdurrehmanfarooqui</t>
  </si>
  <si>
    <t>Anju ka Jahan Hindi Subchorionic hemorrhage ये subchorionic hemorrhage क्या होता है क्या होता है subchorionic hemorrhage in pregnancy Subchorionic hematoma Subchorionic hemorrhage क्या होता है Subchorionic hemorrhage in pregnancy Subchorionic hematoma in pregnancy</t>
  </si>
  <si>
    <t>Medical lovin Hindi Medical store video Buprenorphine(2.0 Mg) + Naloxone(0.5 Mg) addnok tablet kis kaam aati hai addnok tablet side effects in hindi addnok goli ke side effects addnok n full details buprenorphine and naloxone sublingual tablets usp in hindi buprenorphine tablets in hindi Medical student how to take addnok n tablet</t>
  </si>
  <si>
    <t>Medical lovin Hindi Medical store video Buprenorphine injection Burprenorphine injection use in hindi buprenorphine injection full details Pharmacy Pharmacy wala MBBS bsc nursing clinical pharmacy clinic shop injection most common use injection buprenorphine injection kis kaam aata hai</t>
  </si>
  <si>
    <t>Gestational sac Malayalam Weeks of gestational sac Empty gestational sac When gestational sac is formed? Size of gestational sac</t>
  </si>
  <si>
    <t>Youtube Kids Smile and Learn videos for kids educational dyslexia parents virtual reality empathy learning difficulties inclusive education educational resources. 360° 360 videos</t>
  </si>
  <si>
    <t>The National Autistic Society National Autistic Society NAS Autism living with autism autistic Asperger Syndrome Asperger's England United Kingdom charity not for profit virtual reality VR 360 video</t>
  </si>
  <si>
    <t>Autism simulation extrasensory input school project</t>
  </si>
  <si>
    <t>spinal cord anatomy spinal cord injury spinal cord excercise spinal cord pain spinal cord neuroanatomy spinal cord lesions spinal cord class 10 spinal cord class 12 spinal cord pain relief excercises spinal cord diagram spinal cord mnemonics spinal cord injury levels mnemonic ascending tracts of spinal cord mnemonic</t>
  </si>
  <si>
    <t>life insurance myths life insurance insurance whole life insurance debunking life insurance myths life insurance misconceptions term life insurance life insurance myths debunked insurance myths and facts life insurance policy auto insurance common life insurance myths 3 life insurance myths common insurance myths home insurance insurance myths car insurance business insurance insurance agent best life insurance health insurance</t>
  </si>
  <si>
    <t>Dr Varudhini Kankipati mental health mental health expert reacts mental health advice mental health tips mental illness counselling psychologist winding up winding down winding up and winding down varudhini kankipati silly monks evening routine for winding down toys go winding down winding down with bluey time is winding up wind down winding baby winding help winding a watch wind down meaning winding techniques wind up</t>
  </si>
  <si>
    <t>Hypothalamus Hypothalamic nuclei mnemonic memory memory palace Biology neurology neuroscience medicine medical videos medschool neuro science learning visual mnemonic remember neuro learn neuro simple neuro biochemistry Step 1 nbme mcat exam prep anatomy physiology test prep final exam High yeild Best way to learn neuro</t>
  </si>
  <si>
    <t>networking tips career opportunities career advisor career advice networking how to network with people how to network networking skills business networking personal development strategic networking brian tracy network career coach job search career tips networking on linkedin networking with people job seeker networking events advice for early career early career tips career development early career advice career planning salary salary negotiation</t>
  </si>
  <si>
    <t>dr varudhini kankipati dr varudhini kankipati mental health dr varudhini kankipati depression mental health awareness depression what is depression clinical depression major depression persistent depressive disorder mental health depression symptoms signs of depression depression causes major depressive disorder depressive disorder depression motivation dysthymia treatment depression disease mental illness medicine mental illness test mental health month</t>
  </si>
  <si>
    <t>schizoaffective schizophrenia mental health</t>
  </si>
  <si>
    <t>depression major depressive disorder mood mood disorders psychiatry psychology</t>
  </si>
  <si>
    <t>Susan Harrington Maison Vie Therapy and Counseling Mother's Day Invisible Workload Invisible Labor Mom Ways to help mom</t>
  </si>
  <si>
    <t>gabriella milgrom general contractor tips a guide to hiring the best contractor 5 rules for hiring a contractor questions to ask a contractor before hiring home renovation how to find a good general contractor home renovation tips choose contractor contractor tips how to find a contractor healthy boundaries project expectations The One Thing Homeowners Must Do Before Hiring a General Contractor! home improvement interior design general contractor contractor</t>
  </si>
  <si>
    <t>skinclinic skinspecialist scars scarrevision scarimprovement microneedling scarcamouflage rfmicroneedling focusdual lynton skinimprovement skinconfidence hampshire uk alton medicalmicroneedling medical</t>
  </si>
  <si>
    <t>weight loss diet health calorie deficit energy balance nutrition</t>
  </si>
  <si>
    <t>Character GM Game Master Gamemastery Gamemastery Guide Pathfinder Pathfinder 2e Roleplaying TTRPG pathfinder 2e pathfinder 2e apg pathfinder 2e new features pathfinder second edition review Session 0 Social Contract player backstory dnd New adventure setting up before first session session zero how to run a session 0 d&amp;d session 0</t>
  </si>
  <si>
    <t>wordpress training seo training</t>
  </si>
  <si>
    <t>Coping Skills Advice Mental Health Therapist Healthcare Life Hacks Wellness Health Mental Illness Psychology Gaslighting Abuse Trauma PTSD Recovery Therapy Psychotherapy Self Care Growth Growth Mindset Love Depression Anxiety Mental Health Awareness Mindfulness Self Love Meditation Motivation Healing Gratitude Happiness Support Awareness Help Wisdom Womens Health Attachment Hope Eating Disorder Stress Addict LGBTQ Psychiatry Self Help Suicide OCD Parenting Yoga Nature</t>
  </si>
  <si>
    <t>bipolar bipolar cyclothymia bipolar disorder hypomania cyclothymia disorder mental health depression bipolar diagnosis bipolar test bipolar 2 manic episodes</t>
  </si>
  <si>
    <t>sleep doctor sleep expert mental health mental wellbeing mental wellness depression anxiety health wellness sleep health self care health care psychiatry integrative medicine integrative psychiatry holistic medicine getting help mental illness</t>
  </si>
  <si>
    <t>Addictions Recovery drugs treatment outpatient ACS appliedcareservices therapy addiction recovery coping skills for recovery addiction minnesota treatmentcenter cravings triggers social media disorder help support group 10 coping skills for addiction and recovery acs</t>
  </si>
  <si>
    <t>jordna peterson dr jordan peterson fsba full spectrum aba collin streetman aba therapy aba therapists aba autism aba tampa aba miami applied behavior analysis agoraphobia fear of elevators</t>
  </si>
  <si>
    <t>dissociative identity disorder did multiplicityandme documentary interview alters meet the alters meet my alters multiple personality multiple personalities science real mental health mental illness youtube diagnosis personalities alter ego glass split movie dissociadid caught on camera virtual reality 360 video vr dissociative identities psychology wellbeing mind anxiety depression ptsd cptsd simulation asmr sanders sides schizophrenia psychosis switch simulator</t>
  </si>
  <si>
    <t>autism mental health autistic autism signs what is autism autism spectrum signs of autism the party 360 video autism vr autism virtual reality autism test autism kids aspergers autism documentary 360 autism 360 autism video what is autism like spectrum autism simulator autism simulation autism experience autism pov what autism feels like autism simulation video sensory overload sensory overload simulation guardian visual perception autism autismo</t>
  </si>
  <si>
    <t>kati morton kati morton bpd kati morton bpd relationships bpd relationships bpd parent borderline personality disorder borderline personality disorder parent borderline personality disorder narcissistic parents bpd mother bpd mother in law bpd father bpd dad borderline personality disorder mother bpd mom how to deal with bpd partner how to deal with bpd mother bpd relationship bpd relationship advice bpd relationship recovery bpd relationship tips bpd</t>
  </si>
  <si>
    <t>z-codes other conditions that may be a focus of clinical attention aaron norton nbfe national board of forensic evaluators clinical mental health counseling DSM-5 diagnosis diagnoses mental health evaluation assessment</t>
  </si>
  <si>
    <t>kati morton kati morton therapist narcissist narcissism narcissistic abuse narcissistic personality disorder am i a narcissist am i a narcissistic woman am i a narcissistic person how to tell if you're a narcissist narcissism traits narcissist traits narcissistic traits narcissism signs signs of narcissist narcissism spectrum signs of narcissism narcissism characteristics narcissist characteristics what is a narcissistic person what is a narcissists</t>
  </si>
  <si>
    <t>my mom is a big liar my mom is a control freak relationship with mom relationship with mother relationship with mother in law how to improve your relationship with your parents toxic mother toxic mother in law narcissistic mom narcissistic mother kati morton kati morton parents bad relation with mom toxic mom toxic parents narcissistic parents boundaries with parents boundaries with mom codependent mother codependent mother daughter codependent parents</t>
  </si>
  <si>
    <t>how to make friends how to make friendships easy way to make friends how to make new friends how to build friendships feeling alone motivation feeling alone where to make new friends where to make friends where to make friends as an adult how to make friends as an adult how to make friends online how to make friends in college how do I make friends how do I make new friends how do I make new friends in my 30s how to find new friends places to meet new friends</t>
  </si>
  <si>
    <t>being taken advantage of at work being taken advantage of imbalanced friendship being taken advantage of in relationship friend who is a user friends who use you friends who use you for money friends who use you emotionally friends who use you a therapist friends who only use you people who take advantage of your kindness kati morton kati unfiltered taken advantage of taken advantage of at work selfish friends selfish friend is my friend selfish</t>
  </si>
  <si>
    <t>kati morton narcissist Narcissistic personality disorder narcissism Narcissistic parents vanity self-love self-admiration self-adulation self-absorption self-obsession conceit self-conceit self-centredness self-regard egotism egoism egocentricity egomania Katie morton mental illness psychology abusive parents</t>
  </si>
  <si>
    <t>iot iiot social commentary innovation technology enri marini enrimarini enri marini ethicsandengineering ethics and engineering ethics engineering technology leadership management interpersonal relations group dynamics psychology social psychology digital transformation IT/OT convergence</t>
  </si>
  <si>
    <t>Psychology Psychologist Separation anxiety Anxiety Shorts YouTube Delhi India Dubai Psychology students Psychology major Neurologist Disorder</t>
  </si>
  <si>
    <t>momo month momo momo nigeria</t>
  </si>
  <si>
    <t>medicine newswise DCTA DIRECT TO CONSUMER ADVERTISING PHARMACEUTICAL MARKETING</t>
  </si>
  <si>
    <t>fight flight freeze fight flight freeze response caveman analogy what is anxiety why do we worry? RISE RISE team mental health worry anxious worries</t>
  </si>
  <si>
    <t>mother's day mothers day mothers day cards mothers day songs mothers day crafts mothers day status health package health diagnostics diagnostics center truscan diagnostics truscan health tips</t>
  </si>
  <si>
    <t>medical survey doctor physician</t>
  </si>
  <si>
    <t>McMaster University Demystifying Medicine Substance Use Disorder Addiction Virtual Reality VR Virtual Reality Treatment</t>
  </si>
  <si>
    <t>McMaster University Demystifying Medicine nursing shortage burnout mental health stressed</t>
  </si>
  <si>
    <t>McMaster University Demystifying Medicine Procrastination Putting work off Time management Brain structures</t>
  </si>
  <si>
    <t>McMaster University Demystifying Medicine RDA (Recommended Daily Allowance) UL (Tolerable Upper Limit) supplements nutrition toxicity deficiency vitamins</t>
  </si>
  <si>
    <t>McMaster University Demystifying Medicine AIDS HIV infection PReP PEP HIV</t>
  </si>
  <si>
    <t>McMaster University Demystifying Medicine ovarian cancer women supporting women awarness women cancer cancerprevention</t>
  </si>
  <si>
    <t>McMaster University Demystifying Medicine Zoonotic zoonoses disease COVID-19 monkeypox rabies influenza pandemic virus</t>
  </si>
  <si>
    <t>parenting tips parenting parenting advice child behavior management parenting mistakes being a parent being a dad tips for parents children behavior positive parenting how to make my kids listen to me my kid and me positive parenting tips kids don't listen parents how to make my kids smart parenting skills parenting fails child problems the parenting junkie good parenting tips parenting tips for children psych2go improvement pill art of improvement</t>
  </si>
  <si>
    <t>mental health psychology psychological disorder health wellness msw social work illness mind</t>
  </si>
  <si>
    <t>askdrjosh psychology</t>
  </si>
  <si>
    <t>Interencething iphonescreenshot howtoscreenshot easyscreenshot</t>
  </si>
  <si>
    <t>TODAY Latest on TODAY News Entertainment Top stories</t>
  </si>
  <si>
    <t>top stories livestream live news cbs news weather forecast breaking news world news politics biden debt ceiling kevin mccarthy george santos jake sullivan hunter biden donna deegan jacksonville daniel cameron Kelly Craft cherelle parker Ja Morant sam altman taco bell</t>
  </si>
  <si>
    <t>The New York Times NY Times NYT Times Video New York Times video nytimes.com news alzheimer's memory memory loss alzheimer's disease alzheimer's disease stages dementia</t>
  </si>
  <si>
    <t>Al Roker Entertainment Food Hoda Kotb International News Money Natalie Morales Savannah Gutherie Sports Style Today Today Show breaking news concerts domestic news health home interviews media parents pets politics shopping weather</t>
  </si>
  <si>
    <t>Interview NBC News News Today Today Show current events newscast politics</t>
  </si>
  <si>
    <t>ADHD CLASSROOM STRATEGIES FOR TEACHERS learning disability learning disorder special education special needs attention deficit hyperactivity disorder educational disability learning disabled learning disabilities special needs kids parents learning disabled kids learning difficulties help slow kids homeschool mom with special needs child home school and adhd helping learning disabled students interventions teachers of disabled kids sped teachers sped</t>
  </si>
  <si>
    <t>adhd productivity creative</t>
  </si>
  <si>
    <t>Short Film Student Short Film Camera Blackmagic Short Film Eating Disorder Premiere Filmmaking Student Film Feeding Tube Kaylee Johnson</t>
  </si>
  <si>
    <t>Katie Couric Katie Celebrity Entertainment</t>
  </si>
  <si>
    <t>fathers caring parenting a child with autism ASC Autism Special needs Additional Needs Fathers of special needs children Hope Quest for happiness</t>
  </si>
  <si>
    <t>Developmental Coordination Disorder (Disease Or Medical Condition) DCD what is dcd disorder what is dcd Motor Coordination understanding dyspraxia Oxford Brookes University Higher Education Undergraduate postgraduate research Health (Industry) dyspraxia Research (Industry) Anna Barnett meaning coordination diagnosis cause children test behavior motion tracking oxford brookes research what is dyspraxia</t>
  </si>
  <si>
    <t>Dad Fathers Care Autism Parenting an autistic child Fathers Experience ASC Autism Spectrum Dads Care Special needs Additional Needs Additional needs parenting</t>
  </si>
  <si>
    <t>邱稚晴</t>
  </si>
  <si>
    <t>Comforts are bad teachers</t>
  </si>
  <si>
    <t>José Carlos Bassani Junior</t>
  </si>
  <si>
    <t>Monika Liese- deine Stillspezialistin®</t>
  </si>
  <si>
    <t>Danelle Hernández</t>
  </si>
  <si>
    <t>FAMILY DJM</t>
  </si>
  <si>
    <t>Hey Mama</t>
  </si>
  <si>
    <t>Ruben Ruiz</t>
  </si>
  <si>
    <t>jilyana guillermo</t>
  </si>
  <si>
    <t>Tanialim</t>
  </si>
  <si>
    <t>Expertisecentrum Kraamzorg 'de wieg' voor ouders</t>
  </si>
  <si>
    <t xml:space="preserve">Heather Anne </t>
  </si>
  <si>
    <t>MindRich Entertainment</t>
  </si>
  <si>
    <t>Dariush Khandan UCI</t>
  </si>
  <si>
    <t>Rosmala Listantina</t>
  </si>
  <si>
    <t>Life's Wisdom Unleashed</t>
  </si>
  <si>
    <t xml:space="preserve">PSYCHOLOGY RANKERS </t>
  </si>
  <si>
    <t>Jadeed Akmad</t>
  </si>
  <si>
    <t>Best psychology Classes in hindi</t>
  </si>
  <si>
    <t>A S Audiobook platform</t>
  </si>
  <si>
    <t xml:space="preserve">STUDY.PSYCHOLOGY </t>
  </si>
  <si>
    <t>Let Us Fight AMR</t>
  </si>
  <si>
    <t>Psychology Classes</t>
  </si>
  <si>
    <t>Mohit Malik</t>
  </si>
  <si>
    <t>Centre for Trust, Peace and Social Relations</t>
  </si>
  <si>
    <t>Alfahan Ilham</t>
  </si>
  <si>
    <t>Yolanda Rukmantara</t>
  </si>
  <si>
    <t>Aeni Yulieanti</t>
  </si>
  <si>
    <t>Ansuiya Singh</t>
  </si>
  <si>
    <t>Joel Bickford</t>
  </si>
  <si>
    <t>Forks of Little River Baptist Church</t>
  </si>
  <si>
    <t>TLS Online CSIR-NET Life Science, GATE BT&amp;XL, DBT</t>
  </si>
  <si>
    <t>Life Synergy</t>
  </si>
  <si>
    <t>jon morrow</t>
  </si>
  <si>
    <t>Carepatron</t>
  </si>
  <si>
    <t>Family First</t>
  </si>
  <si>
    <t>Chanbormey Rous</t>
  </si>
  <si>
    <t>Gentian Sovan</t>
  </si>
  <si>
    <t>Knowledge In World</t>
  </si>
  <si>
    <t>Dr. Soumen Roy</t>
  </si>
  <si>
    <t>MedCare Metropolis</t>
  </si>
  <si>
    <t>Md.Sabbir Islam Moon</t>
  </si>
  <si>
    <t>KingdomPrincess</t>
  </si>
  <si>
    <t>Podium Physio</t>
  </si>
  <si>
    <t>Potomac Dental Centre</t>
  </si>
  <si>
    <t>Detours:  Understanding Acquired Brain Injury</t>
  </si>
  <si>
    <t>Applied Radiology</t>
  </si>
  <si>
    <t>Orkin Canada</t>
  </si>
  <si>
    <t>Danny Shouhed, MD</t>
  </si>
  <si>
    <t>Sunx classes (GK)</t>
  </si>
  <si>
    <t>RZ LEARNING</t>
  </si>
  <si>
    <t>The Housewife will Banker</t>
  </si>
  <si>
    <t>Learner's location</t>
  </si>
  <si>
    <t>Teach with Maida</t>
  </si>
  <si>
    <t>Literature vidya</t>
  </si>
  <si>
    <t>UPSC Studies With Pradeep</t>
  </si>
  <si>
    <t>Priya's Teaching Dream</t>
  </si>
  <si>
    <t>Let's Crack NTA-UGC NET</t>
  </si>
  <si>
    <t>Educators Plus</t>
  </si>
  <si>
    <t>nursing home education</t>
  </si>
  <si>
    <t>Study With Sharma Ji Ki Ladki_xD83E__xDD37_‍♀️</t>
  </si>
  <si>
    <t>Vishwas social welfare society</t>
  </si>
  <si>
    <t>All about Nursing !</t>
  </si>
  <si>
    <t>Здоров ́я та розвиток</t>
  </si>
  <si>
    <t>rcncableguy</t>
  </si>
  <si>
    <t>Infosharing360</t>
  </si>
  <si>
    <t>Sudarma Microscope</t>
  </si>
  <si>
    <t>Base Knowledge</t>
  </si>
  <si>
    <t>GATE ACADEMY - Civil &amp; Mechanical</t>
  </si>
  <si>
    <t>MCAT Questions</t>
  </si>
  <si>
    <t>Pallavi wase</t>
  </si>
  <si>
    <t>Tiny Kiwi Studio</t>
  </si>
  <si>
    <t>Irving Institute</t>
  </si>
  <si>
    <t>Rulex</t>
  </si>
  <si>
    <t>RP Jayaswal</t>
  </si>
  <si>
    <t>HNO-Klinik und DHZ der MHH</t>
  </si>
  <si>
    <t>Ashley Watt</t>
  </si>
  <si>
    <t>Ella Brown</t>
  </si>
  <si>
    <t>Kelly Murphy</t>
  </si>
  <si>
    <t>Edu Solve</t>
  </si>
  <si>
    <t>Haley Unruh</t>
  </si>
  <si>
    <t>skyy</t>
  </si>
  <si>
    <t>Shannon Peel</t>
  </si>
  <si>
    <t>Ananta Sharma</t>
  </si>
  <si>
    <t>Colleen Kachmann</t>
  </si>
  <si>
    <t>Vanessa Galindo</t>
  </si>
  <si>
    <t>Connections Counseling PLLC Continuing Education</t>
  </si>
  <si>
    <t>Benjamin Carpenter</t>
  </si>
  <si>
    <t>Region Five</t>
  </si>
  <si>
    <t>PayrollCentric Presentations</t>
  </si>
  <si>
    <t>Social Work Mastery</t>
  </si>
  <si>
    <t>UNF#CK YOUR NCE</t>
  </si>
  <si>
    <t>How To Defeat Addiction</t>
  </si>
  <si>
    <t>BigBrain Project</t>
  </si>
  <si>
    <t>david dindi</t>
  </si>
  <si>
    <t>IPEC ZW</t>
  </si>
  <si>
    <t>Sibabrata Nayak</t>
  </si>
  <si>
    <t>Kiran Kumari _xD83E__xDDE0_Psychology Notes in Hindi</t>
  </si>
  <si>
    <t>MV Natu</t>
  </si>
  <si>
    <t>COMETE</t>
  </si>
  <si>
    <t>Wellness by Farah 2</t>
  </si>
  <si>
    <t xml:space="preserve">Shikha ClassEdge - History </t>
  </si>
  <si>
    <t>psychology academia</t>
  </si>
  <si>
    <t>Devansh Sharma</t>
  </si>
  <si>
    <t>Smart _xD83E__xDD13_ Study</t>
  </si>
  <si>
    <t>Retiino Foundation</t>
  </si>
  <si>
    <t>Easy Study With Mehak</t>
  </si>
  <si>
    <t>Everest Coaching Institute</t>
  </si>
  <si>
    <t>Edushine IAS</t>
  </si>
  <si>
    <t>Cbse Hindi with MathuraDas</t>
  </si>
  <si>
    <t>Biological World</t>
  </si>
  <si>
    <t>Khan Saddam</t>
  </si>
  <si>
    <t>Jeremy Bassetti</t>
  </si>
  <si>
    <t>Unacademy Class 11 &amp; 12</t>
  </si>
  <si>
    <t>Nur Izazi</t>
  </si>
  <si>
    <t>Future Finance Training Ltd</t>
  </si>
  <si>
    <t>PracticeHub</t>
  </si>
  <si>
    <t>Lisa Townsend</t>
  </si>
  <si>
    <t>Cade Caballero</t>
  </si>
  <si>
    <t>FVR - Finnish Vaccine Research</t>
  </si>
  <si>
    <t>Pure Public Relations</t>
  </si>
  <si>
    <t>Special Education Cambodia</t>
  </si>
  <si>
    <t>Beazley Group</t>
  </si>
  <si>
    <t>LSC Victoria</t>
  </si>
  <si>
    <t>Connectivity Traumatic Brain Injury Australia</t>
  </si>
  <si>
    <t>Zooki</t>
  </si>
  <si>
    <t>Shaun Trezise</t>
  </si>
  <si>
    <t>NoniYana</t>
  </si>
  <si>
    <t>Narcissist Hunter</t>
  </si>
  <si>
    <t>World Of Gem</t>
  </si>
  <si>
    <t>Retro RudyX</t>
  </si>
  <si>
    <t>LOVE STORIES &amp; FAIRY TALES</t>
  </si>
  <si>
    <t>ZeGrapplez</t>
  </si>
  <si>
    <t>Matt Southerland</t>
  </si>
  <si>
    <t>NW Maids</t>
  </si>
  <si>
    <t>Innovative Tub Solutions</t>
  </si>
  <si>
    <t>Rise Above Personal Training</t>
  </si>
  <si>
    <t>Barre None Dance Company</t>
  </si>
  <si>
    <t>alu_ism</t>
  </si>
  <si>
    <t>Food Technology4702</t>
  </si>
  <si>
    <t>Biology Explorer</t>
  </si>
  <si>
    <t xml:space="preserve">Iftikhar Biology Academy </t>
  </si>
  <si>
    <t>Jozyll faye Casipe</t>
  </si>
  <si>
    <t>Pharmacy Hub</t>
  </si>
  <si>
    <t>BIOMATRIX CLASSES</t>
  </si>
  <si>
    <t>Study Pool Pharma</t>
  </si>
  <si>
    <t>Symmetric Vision</t>
  </si>
  <si>
    <t>Psychological Learning with Aleeza Yaqoob</t>
  </si>
  <si>
    <t>Stephanie Jones</t>
  </si>
  <si>
    <t>Live To Learn</t>
  </si>
  <si>
    <t>Sk nursing way</t>
  </si>
  <si>
    <t>GNM NURSING COMPLETE STUDY</t>
  </si>
  <si>
    <t>Linn.k Pharma</t>
  </si>
  <si>
    <t>MedEd Matrix</t>
  </si>
  <si>
    <t>Utkarsh Nursing Classes</t>
  </si>
  <si>
    <t>VOOGLY MCI Education</t>
  </si>
  <si>
    <t xml:space="preserve">NGU YUN LIN </t>
  </si>
  <si>
    <t>Mary Clarence Caballero</t>
  </si>
  <si>
    <t>Abrar Pathan</t>
  </si>
  <si>
    <t>learn with me</t>
  </si>
  <si>
    <t>psychology classes</t>
  </si>
  <si>
    <t>Logical Guru</t>
  </si>
  <si>
    <t>Physio Club</t>
  </si>
  <si>
    <t>ABEGAIL CORDERO</t>
  </si>
  <si>
    <t>Ann Hilado</t>
  </si>
  <si>
    <t>student</t>
  </si>
  <si>
    <t>Psychology TV | Win by Learning</t>
  </si>
  <si>
    <t>closedsocket</t>
  </si>
  <si>
    <t>Simplest</t>
  </si>
  <si>
    <t>Solver Tutor</t>
  </si>
  <si>
    <t>Bruna Silva</t>
  </si>
  <si>
    <t>Eddieffect</t>
  </si>
  <si>
    <t>Meredith McNerney</t>
  </si>
  <si>
    <t>Alana Fernandes</t>
  </si>
  <si>
    <t>Kazu Takahasi</t>
  </si>
  <si>
    <t>Explore ESJ &amp; ESD</t>
  </si>
  <si>
    <t>Medsplanations</t>
  </si>
  <si>
    <t>REX COACHING ACADEMY</t>
  </si>
  <si>
    <t>Holly Skully</t>
  </si>
  <si>
    <t>Healthcare Manager Bae</t>
  </si>
  <si>
    <t>Narayana Health</t>
  </si>
  <si>
    <t>Nexus Lifecare Pvt Ltd</t>
  </si>
  <si>
    <t>learning lessons</t>
  </si>
  <si>
    <t>Arianah Jen Matuco</t>
  </si>
  <si>
    <t>Forensic Science English</t>
  </si>
  <si>
    <t>Gyan पे</t>
  </si>
  <si>
    <t>Department of Education, VCW, KFI, Rajghat, Vns</t>
  </si>
  <si>
    <t>Ali Pharmapedia</t>
  </si>
  <si>
    <t>Govin Riza</t>
  </si>
  <si>
    <t>Education Point14</t>
  </si>
  <si>
    <t>Anju ka Jahan (a mom's world)</t>
  </si>
  <si>
    <t>THE LiVEEYE : VDO</t>
  </si>
  <si>
    <t>Medical Lovin</t>
  </si>
  <si>
    <t>madhuban</t>
  </si>
  <si>
    <t>NURSE 2 MOM</t>
  </si>
  <si>
    <t>Ainul Azli</t>
  </si>
  <si>
    <t>Smile and Learn - English</t>
  </si>
  <si>
    <t>National Autistic Society</t>
  </si>
  <si>
    <t>Alex Kladny</t>
  </si>
  <si>
    <t>David Kosloski</t>
  </si>
  <si>
    <t>Clash with Blue38</t>
  </si>
  <si>
    <t>Ryan Rupprecht</t>
  </si>
  <si>
    <t>Learn Psychology</t>
  </si>
  <si>
    <t>Amy DeFe</t>
  </si>
  <si>
    <t>Professor Q</t>
  </si>
  <si>
    <t>Medical lectures and tricks</t>
  </si>
  <si>
    <t>The Financial Vault</t>
  </si>
  <si>
    <t>Dr Varudhini Kankipati</t>
  </si>
  <si>
    <t>infomania</t>
  </si>
  <si>
    <t>Banji Alo</t>
  </si>
  <si>
    <t>Center for Rusmiddelforskning</t>
  </si>
  <si>
    <t>Dr.Gomathi Priyadharsini</t>
  </si>
  <si>
    <t>StigmaCrusher</t>
  </si>
  <si>
    <t>Shared Health Foundation</t>
  </si>
  <si>
    <t>Nicole Kirk</t>
  </si>
  <si>
    <t>Maison Vie New Orleans Therapy and Counseling</t>
  </si>
  <si>
    <t>Pao Zambrano</t>
  </si>
  <si>
    <t>Gabriella Milgrom_Home Design + Building Expert</t>
  </si>
  <si>
    <t>Nikki Butler</t>
  </si>
  <si>
    <t>Olgha Onoshchenko Nutrition</t>
  </si>
  <si>
    <t>The Sly Strategist</t>
  </si>
  <si>
    <t>Emily Journey</t>
  </si>
  <si>
    <t>Rockstar Experience</t>
  </si>
  <si>
    <t>LIFTtherapy</t>
  </si>
  <si>
    <t>RicePsychology</t>
  </si>
  <si>
    <t>Lifting Out of the Lows</t>
  </si>
  <si>
    <t>The Primary Health Network</t>
  </si>
  <si>
    <t>Pacific Integrative Psychiatry</t>
  </si>
  <si>
    <t>Applied Care Services</t>
  </si>
  <si>
    <t>Full Spectrum ABA</t>
  </si>
  <si>
    <t>Conference on Crimes Against Women</t>
  </si>
  <si>
    <t>Robert Leahy</t>
  </si>
  <si>
    <t>The Guardian</t>
  </si>
  <si>
    <t>Kylie Nelson-Marois</t>
  </si>
  <si>
    <t xml:space="preserve">Indigenous Health </t>
  </si>
  <si>
    <t>YTchannelYT</t>
  </si>
  <si>
    <t>Hughes' Views</t>
  </si>
  <si>
    <t>Enri Marini</t>
  </si>
  <si>
    <t>TiME - This is My Earth</t>
  </si>
  <si>
    <t>MHP: Mental Health Peace</t>
  </si>
  <si>
    <t>Terri Bowser</t>
  </si>
  <si>
    <t>Rising Phoenix Mental Health</t>
  </si>
  <si>
    <t>MTN NIGERIA</t>
  </si>
  <si>
    <t>Newswise Live Events</t>
  </si>
  <si>
    <t>RISE</t>
  </si>
  <si>
    <t>Truscan Diagnostics</t>
  </si>
  <si>
    <t>ACCORDS Research</t>
  </si>
  <si>
    <t>MDforLives</t>
  </si>
  <si>
    <t>Susan Paolin</t>
  </si>
  <si>
    <t>Joshua D. Wyner, PhD, LMFT</t>
  </si>
  <si>
    <t>Psychology Made Easy</t>
  </si>
  <si>
    <t>HoviAcademy</t>
  </si>
  <si>
    <t>African Food Recipe</t>
  </si>
  <si>
    <t>S. Amiri</t>
  </si>
  <si>
    <t>Marketing Department</t>
  </si>
  <si>
    <t>Ron Jones</t>
  </si>
  <si>
    <t xml:space="preserve">Function First Coaching Inc. </t>
  </si>
  <si>
    <t>Regence Utah</t>
  </si>
  <si>
    <t>Counseling Minus the Bull</t>
  </si>
  <si>
    <t>InTerencething</t>
  </si>
  <si>
    <t>Nicole Evans</t>
  </si>
  <si>
    <t>Matt Kiebach</t>
  </si>
  <si>
    <t>The Chius</t>
  </si>
  <si>
    <t>ouirejeanne</t>
  </si>
  <si>
    <t>Sunday Sitdown with Willie Geist Podc</t>
  </si>
  <si>
    <t>Parade Broadway</t>
  </si>
  <si>
    <t>KECTV</t>
  </si>
  <si>
    <t>Paige Kornblue Media</t>
  </si>
  <si>
    <t>Immunotherapy Institute</t>
  </si>
  <si>
    <t>SFGHFoundation</t>
  </si>
  <si>
    <t>The New York Times</t>
  </si>
  <si>
    <t>PlayBoardNI</t>
  </si>
  <si>
    <t>Ruths Straight Talk</t>
  </si>
  <si>
    <t>All Day Dreaming</t>
  </si>
  <si>
    <t>KJ Pictures</t>
  </si>
  <si>
    <t>NoVaDC CHADD</t>
  </si>
  <si>
    <t>Katie Couric</t>
  </si>
  <si>
    <t>Oxford Brookes University</t>
  </si>
  <si>
    <t>2023-05-11T14:18:43Z</t>
  </si>
  <si>
    <t>2022-12-06T04:18:29Z</t>
  </si>
  <si>
    <t>2015-02-28T15:03:08Z</t>
  </si>
  <si>
    <t>2021-08-31T13:00:11Z</t>
  </si>
  <si>
    <t>2023-05-05T03:12:14Z</t>
  </si>
  <si>
    <t>2022-12-15T15:27:40Z</t>
  </si>
  <si>
    <t>2021-09-25T22:55:37Z</t>
  </si>
  <si>
    <t>2023-05-03T02:10:30Z</t>
  </si>
  <si>
    <t>2023-05-05T09:14:20Z</t>
  </si>
  <si>
    <t>2023-05-05T04:30:01Z</t>
  </si>
  <si>
    <t>2021-01-11T14:53:59Z</t>
  </si>
  <si>
    <t>2023-05-15T13:25:04Z</t>
  </si>
  <si>
    <t>2023-05-12T15:45:22Z</t>
  </si>
  <si>
    <t>2023-05-10T06:46:17Z</t>
  </si>
  <si>
    <t>2023-05-11T15:12:42Z</t>
  </si>
  <si>
    <t>2023-05-07T03:30:12Z</t>
  </si>
  <si>
    <t>2023-05-08T12:23:57Z</t>
  </si>
  <si>
    <t>2023-05-03T06:04:05Z</t>
  </si>
  <si>
    <t>2023-05-16T09:57:07Z</t>
  </si>
  <si>
    <t>2023-05-10T17:25:33Z</t>
  </si>
  <si>
    <t>2023-05-16T17:28:55Z</t>
  </si>
  <si>
    <t>2023-05-01T10:19:29Z</t>
  </si>
  <si>
    <t>2023-05-13T18:56:37Z</t>
  </si>
  <si>
    <t>2022-10-08T07:00:52Z</t>
  </si>
  <si>
    <t>2021-04-09T05:47:12Z</t>
  </si>
  <si>
    <t>2021-01-20T18:50:31Z</t>
  </si>
  <si>
    <t>2020-11-26T18:19:12Z</t>
  </si>
  <si>
    <t>2021-06-14T09:44:58Z</t>
  </si>
  <si>
    <t>2023-05-14T11:38:50Z</t>
  </si>
  <si>
    <t>2023-05-13T23:44:54Z</t>
  </si>
  <si>
    <t>2023-05-13T11:52:07Z</t>
  </si>
  <si>
    <t>2023-05-07T03:53:00Z</t>
  </si>
  <si>
    <t>2023-05-02T05:28:51Z</t>
  </si>
  <si>
    <t>2021-09-19T14:40:32Z</t>
  </si>
  <si>
    <t>2023-05-12T18:40:39Z</t>
  </si>
  <si>
    <t>2023-05-10T21:36:17Z</t>
  </si>
  <si>
    <t>2023-05-09T04:45:02Z</t>
  </si>
  <si>
    <t>2023-05-04T17:49:24Z</t>
  </si>
  <si>
    <t>2023-05-14T18:14:21Z</t>
  </si>
  <si>
    <t>2023-05-05T02:04:53Z</t>
  </si>
  <si>
    <t>2023-05-08T13:59:27Z</t>
  </si>
  <si>
    <t>2023-05-05T10:18:23Z</t>
  </si>
  <si>
    <t>2023-05-07T06:24:37Z</t>
  </si>
  <si>
    <t>2023-05-03T12:59:32Z</t>
  </si>
  <si>
    <t>2022-04-14T08:24:08Z</t>
  </si>
  <si>
    <t>2023-05-15T07:06:18Z</t>
  </si>
  <si>
    <t>2021-11-12T15:19:36Z</t>
  </si>
  <si>
    <t>2023-01-27T02:44:52Z</t>
  </si>
  <si>
    <t>2023-05-14T13:40:37Z</t>
  </si>
  <si>
    <t>2023-05-15T19:39:53Z</t>
  </si>
  <si>
    <t>2022-08-09T20:43:43Z</t>
  </si>
  <si>
    <t>2020-03-26T23:12:29Z</t>
  </si>
  <si>
    <t>2022-04-04T00:35:12Z</t>
  </si>
  <si>
    <t>2023-05-10T17:39:03Z</t>
  </si>
  <si>
    <t>2022-09-22T21:49:04Z</t>
  </si>
  <si>
    <t>2023-05-14T17:00:09Z</t>
  </si>
  <si>
    <t>2023-05-13T17:00:16Z</t>
  </si>
  <si>
    <t>2018-11-30T20:34:54Z</t>
  </si>
  <si>
    <t>2023-05-07T19:52:55Z</t>
  </si>
  <si>
    <t>2023-05-09T18:21:21Z</t>
  </si>
  <si>
    <t>2023-05-17T05:00:13Z</t>
  </si>
  <si>
    <t>2023-05-14T05:00:05Z</t>
  </si>
  <si>
    <t>2023-05-10T17:00:16Z</t>
  </si>
  <si>
    <t>2023-05-11T19:01:27Z</t>
  </si>
  <si>
    <t>2023-05-11T08:28:21Z</t>
  </si>
  <si>
    <t>2023-05-16T05:00:32Z</t>
  </si>
  <si>
    <t>2023-05-15T05:00:14Z</t>
  </si>
  <si>
    <t>2023-05-07T04:03:18Z</t>
  </si>
  <si>
    <t>2023-05-15T20:14:49Z</t>
  </si>
  <si>
    <t>2023-05-10T14:17:13Z</t>
  </si>
  <si>
    <t>2023-05-05T06:20:01Z</t>
  </si>
  <si>
    <t>2023-05-12T11:25:32Z</t>
  </si>
  <si>
    <t>2023-05-10T04:30:17Z</t>
  </si>
  <si>
    <t>2023-05-04T17:03:57Z</t>
  </si>
  <si>
    <t>2023-05-08T17:11:07Z</t>
  </si>
  <si>
    <t>2023-05-06T08:06:03Z</t>
  </si>
  <si>
    <t>2021-02-13T17:00:33Z</t>
  </si>
  <si>
    <t>2023-05-04T16:46:36Z</t>
  </si>
  <si>
    <t>2023-05-10T16:17:41Z</t>
  </si>
  <si>
    <t>2023-05-15T05:53:39Z</t>
  </si>
  <si>
    <t>2023-05-17T05:31:42Z</t>
  </si>
  <si>
    <t>2023-05-03T13:34:04Z</t>
  </si>
  <si>
    <t>2023-03-18T04:22:35Z</t>
  </si>
  <si>
    <t>2023-03-02T13:27:30Z</t>
  </si>
  <si>
    <t>2023-01-21T16:19:11Z</t>
  </si>
  <si>
    <t>2021-07-05T06:17:04Z</t>
  </si>
  <si>
    <t>2021-01-09T19:37:02Z</t>
  </si>
  <si>
    <t>2021-04-14T12:50:46Z</t>
  </si>
  <si>
    <t>2023-04-30T08:47:48Z</t>
  </si>
  <si>
    <t>2023-05-05T18:38:07Z</t>
  </si>
  <si>
    <t>2023-04-29T17:28:44Z</t>
  </si>
  <si>
    <t>2020-09-12T23:06:10Z</t>
  </si>
  <si>
    <t>2020-05-26T06:16:26Z</t>
  </si>
  <si>
    <t>2021-06-13T05:23:22Z</t>
  </si>
  <si>
    <t>2022-08-17T13:54:20Z</t>
  </si>
  <si>
    <t>2020-06-09T06:07:03Z</t>
  </si>
  <si>
    <t>2023-03-24T19:46:58Z</t>
  </si>
  <si>
    <t>2016-09-11T02:45:21Z</t>
  </si>
  <si>
    <t>2023-05-14T20:07:38Z</t>
  </si>
  <si>
    <t>2022-08-10T20:37:20Z</t>
  </si>
  <si>
    <t>2022-12-20T02:44:33Z</t>
  </si>
  <si>
    <t>2023-02-17T19:50:03Z</t>
  </si>
  <si>
    <t>2023-05-17T09:57:31Z</t>
  </si>
  <si>
    <t>2022-12-24T01:49:20Z</t>
  </si>
  <si>
    <t>2021-06-11T05:47:02Z</t>
  </si>
  <si>
    <t>2023-05-14T07:00:02Z</t>
  </si>
  <si>
    <t>2023-05-12T15:07:01Z</t>
  </si>
  <si>
    <t>2022-03-23T09:38:53Z</t>
  </si>
  <si>
    <t>2020-08-29T00:31:43Z</t>
  </si>
  <si>
    <t>2023-05-09T13:14:58Z</t>
  </si>
  <si>
    <t>2023-05-09T13:09:50Z</t>
  </si>
  <si>
    <t>2017-03-07T09:45:45Z</t>
  </si>
  <si>
    <t>2023-04-04T18:12:23Z</t>
  </si>
  <si>
    <t>2023-04-14T15:03:41Z</t>
  </si>
  <si>
    <t>2023-03-01T15:11:04Z</t>
  </si>
  <si>
    <t>2023-05-09T13:12:03Z</t>
  </si>
  <si>
    <t>2023-03-01T15:10:53Z</t>
  </si>
  <si>
    <t>2023-04-04T18:15:30Z</t>
  </si>
  <si>
    <t>2023-03-06T21:03:39Z</t>
  </si>
  <si>
    <t>2023-04-04T18:16:43Z</t>
  </si>
  <si>
    <t>2023-04-04T18:13:41Z</t>
  </si>
  <si>
    <t>2023-05-10T00:19:44Z</t>
  </si>
  <si>
    <t>2023-05-09T22:41:18Z</t>
  </si>
  <si>
    <t>2023-05-06T04:47:29Z</t>
  </si>
  <si>
    <t>2023-05-02T15:50:55Z</t>
  </si>
  <si>
    <t>2023-05-06T05:48:16Z</t>
  </si>
  <si>
    <t>2023-05-13T01:19:12Z</t>
  </si>
  <si>
    <t>2023-05-04T00:48:28Z</t>
  </si>
  <si>
    <t>2023-05-14T08:06:53Z</t>
  </si>
  <si>
    <t>2023-05-15T09:11:23Z</t>
  </si>
  <si>
    <t>2023-02-16T23:04:56Z</t>
  </si>
  <si>
    <t>2023-05-13T14:33:22Z</t>
  </si>
  <si>
    <t>2023-02-03T10:54:45Z</t>
  </si>
  <si>
    <t>2014-01-24T14:59:23Z</t>
  </si>
  <si>
    <t>2023-05-11T15:02:17Z</t>
  </si>
  <si>
    <t>2023-05-10T22:19:00Z</t>
  </si>
  <si>
    <t>2023-05-13T05:07:51Z</t>
  </si>
  <si>
    <t>2023-02-20T03:40:45Z</t>
  </si>
  <si>
    <t>2023-01-23T21:16:25Z</t>
  </si>
  <si>
    <t>2023-02-02T18:17:52Z</t>
  </si>
  <si>
    <t>2019-01-19T05:35:41Z</t>
  </si>
  <si>
    <t>2023-04-13T14:00:00Z</t>
  </si>
  <si>
    <t>2023-04-13T01:00:07Z</t>
  </si>
  <si>
    <t>2023-04-18T14:00:09Z</t>
  </si>
  <si>
    <t>2021-10-04T15:52:52Z</t>
  </si>
  <si>
    <t>2023-04-11T14:00:31Z</t>
  </si>
  <si>
    <t>2023-05-12T14:00:08Z</t>
  </si>
  <si>
    <t>2023-04-07T14:00:08Z</t>
  </si>
  <si>
    <t>2023-04-26T16:00:20Z</t>
  </si>
  <si>
    <t>2023-05-09T20:00:08Z</t>
  </si>
  <si>
    <t>2023-05-10T16:00:07Z</t>
  </si>
  <si>
    <t>2023-04-11T17:00:15Z</t>
  </si>
  <si>
    <t>2023-04-17T14:00:06Z</t>
  </si>
  <si>
    <t>2023-05-03T20:37:32Z</t>
  </si>
  <si>
    <t>2023-04-12T16:00:07Z</t>
  </si>
  <si>
    <t>2023-04-19T15:58:09Z</t>
  </si>
  <si>
    <t>2023-04-15T14:00:26Z</t>
  </si>
  <si>
    <t>2023-04-14T14:00:07Z</t>
  </si>
  <si>
    <t>2023-04-05T16:00:08Z</t>
  </si>
  <si>
    <t>2022-06-27T20:00:11Z</t>
  </si>
  <si>
    <t>2023-05-11T09:38:23Z</t>
  </si>
  <si>
    <t>2023-05-09T12:38:20Z</t>
  </si>
  <si>
    <t>2022-01-24T17:05:24Z</t>
  </si>
  <si>
    <t>2022-01-19T19:05:27Z</t>
  </si>
  <si>
    <t>2020-05-15T04:18:00Z</t>
  </si>
  <si>
    <t>2023-05-12T15:00:55Z</t>
  </si>
  <si>
    <t>2023-05-05T03:45:47Z</t>
  </si>
  <si>
    <t>2022-11-11T21:08:13Z</t>
  </si>
  <si>
    <t>2023-05-03T14:47:25Z</t>
  </si>
  <si>
    <t>2023-05-15T11:43:57Z</t>
  </si>
  <si>
    <t>2020-11-06T01:30:28Z</t>
  </si>
  <si>
    <t>2023-05-07T10:30:12Z</t>
  </si>
  <si>
    <t>2023-05-04T12:38:30Z</t>
  </si>
  <si>
    <t>2023-05-16T14:53:32Z</t>
  </si>
  <si>
    <t>2023-05-06T10:00:38Z</t>
  </si>
  <si>
    <t>2022-12-03T05:54:32Z</t>
  </si>
  <si>
    <t>2023-05-16T14:07:25Z</t>
  </si>
  <si>
    <t>2021-01-06T17:45:06Z</t>
  </si>
  <si>
    <t>2023-05-01T12:55:18Z</t>
  </si>
  <si>
    <t>2022-01-04T18:20:34Z</t>
  </si>
  <si>
    <t>2020-07-20T04:00:02Z</t>
  </si>
  <si>
    <t>2023-05-17T07:22:21Z</t>
  </si>
  <si>
    <t>2023-05-17T10:30:10Z</t>
  </si>
  <si>
    <t>2023-05-17T09:30:12Z</t>
  </si>
  <si>
    <t>2023-05-17T07:12:19Z</t>
  </si>
  <si>
    <t>2023-05-17T08:30:09Z</t>
  </si>
  <si>
    <t>2023-02-13T06:30:09Z</t>
  </si>
  <si>
    <t>2023-02-08T07:30:08Z</t>
  </si>
  <si>
    <t>2023-02-12T07:00:08Z</t>
  </si>
  <si>
    <t>2023-05-08T13:15:35Z</t>
  </si>
  <si>
    <t>2023-05-09T14:50:18Z</t>
  </si>
  <si>
    <t>2023-05-01T03:34:51Z</t>
  </si>
  <si>
    <t>2023-05-04T11:10:16Z</t>
  </si>
  <si>
    <t>2017-12-08T13:41:07Z</t>
  </si>
  <si>
    <t>2023-05-09T09:39:48Z</t>
  </si>
  <si>
    <t>2023-05-03T00:42:23Z</t>
  </si>
  <si>
    <t>2023-05-03T00:37:19Z</t>
  </si>
  <si>
    <t>2020-12-18T02:27:35Z</t>
  </si>
  <si>
    <t>2023-05-12T09:19:34Z</t>
  </si>
  <si>
    <t>2023-05-15T04:09:12Z</t>
  </si>
  <si>
    <t>2023-05-10T00:44:49Z</t>
  </si>
  <si>
    <t>2023-05-11T12:44:55Z</t>
  </si>
  <si>
    <t>2023-05-09T07:47:08Z</t>
  </si>
  <si>
    <t>2023-05-05T17:48:09Z</t>
  </si>
  <si>
    <t>2023-05-12T04:00:04Z</t>
  </si>
  <si>
    <t>2023-04-09T16:29:59Z</t>
  </si>
  <si>
    <t>2023-05-07T13:33:23Z</t>
  </si>
  <si>
    <t>2021-09-21T10:12:43Z</t>
  </si>
  <si>
    <t>2021-09-19T11:30:17Z</t>
  </si>
  <si>
    <t>2021-09-06T12:30:07Z</t>
  </si>
  <si>
    <t>2023-05-16T19:01:24Z</t>
  </si>
  <si>
    <t>2020-06-08T22:46:39Z</t>
  </si>
  <si>
    <t>2023-05-15T23:08:02Z</t>
  </si>
  <si>
    <t>2021-05-22T21:36:12Z</t>
  </si>
  <si>
    <t>2020-04-10T04:38:46Z</t>
  </si>
  <si>
    <t>2023-05-16T05:36:09Z</t>
  </si>
  <si>
    <t>2019-03-05T01:24:40Z</t>
  </si>
  <si>
    <t>2023-04-20T15:00:16Z</t>
  </si>
  <si>
    <t>2021-01-24T15:21:23Z</t>
  </si>
  <si>
    <t>2020-11-19T00:00:16Z</t>
  </si>
  <si>
    <t>2023-02-12T14:30:14Z</t>
  </si>
  <si>
    <t>2023-01-21T15:30:00Z</t>
  </si>
  <si>
    <t>2023-04-19T15:00:17Z</t>
  </si>
  <si>
    <t>2023-02-04T15:00:08Z</t>
  </si>
  <si>
    <t>2022-12-17T15:30:04Z</t>
  </si>
  <si>
    <t>2023-05-11T15:00:29Z</t>
  </si>
  <si>
    <t>2023-02-25T15:00:32Z</t>
  </si>
  <si>
    <t>2022-12-24T12:37:05Z</t>
  </si>
  <si>
    <t>2023-02-18T15:30:01Z</t>
  </si>
  <si>
    <t>2023-03-11T16:00:34Z</t>
  </si>
  <si>
    <t>2023-01-29T15:30:04Z</t>
  </si>
  <si>
    <t>2016-08-09T17:53:28Z</t>
  </si>
  <si>
    <t>2023-04-26T21:44:19Z</t>
  </si>
  <si>
    <t>2023-05-04T07:58:12Z</t>
  </si>
  <si>
    <t>2023-05-01T19:51:17Z</t>
  </si>
  <si>
    <t>2023-05-10T01:29:09Z</t>
  </si>
  <si>
    <t>2023-05-02T21:51:16Z</t>
  </si>
  <si>
    <t>2023-05-03T19:16:57Z</t>
  </si>
  <si>
    <t>2023-05-13T03:58:49Z</t>
  </si>
  <si>
    <t>2023-05-08T19:15:09Z</t>
  </si>
  <si>
    <t>2023-05-04T12:17:12Z</t>
  </si>
  <si>
    <t>2023-05-09T12:01:56Z</t>
  </si>
  <si>
    <t>2023-05-09T11:38:31Z</t>
  </si>
  <si>
    <t>2023-05-03T18:02:19Z</t>
  </si>
  <si>
    <t>2023-05-11T18:15:55Z</t>
  </si>
  <si>
    <t>2019-09-24T19:28:54Z</t>
  </si>
  <si>
    <t>2023-05-12T13:49:26Z</t>
  </si>
  <si>
    <t>2022-07-13T20:07:30Z</t>
  </si>
  <si>
    <t>2023-05-16T14:02:45Z</t>
  </si>
  <si>
    <t>2023-05-12T18:02:09Z</t>
  </si>
  <si>
    <t>2023-05-14T15:57:49Z</t>
  </si>
  <si>
    <t>2023-05-04T02:06:09Z</t>
  </si>
  <si>
    <t>2023-05-10T15:00:10Z</t>
  </si>
  <si>
    <t>2023-04-02T03:39:49Z</t>
  </si>
  <si>
    <t>2021-06-20T11:52:57Z</t>
  </si>
  <si>
    <t>2021-06-23T02:25:13Z</t>
  </si>
  <si>
    <t>2021-06-20T15:38:36Z</t>
  </si>
  <si>
    <t>2022-07-17T16:56:48Z</t>
  </si>
  <si>
    <t>2022-07-17T11:30:42Z</t>
  </si>
  <si>
    <t>2022-07-16T17:34:37Z</t>
  </si>
  <si>
    <t>2021-06-15T16:45:23Z</t>
  </si>
  <si>
    <t>2021-06-20T11:17:48Z</t>
  </si>
  <si>
    <t>2021-06-20T17:14:46Z</t>
  </si>
  <si>
    <t>2021-06-23T03:09:02Z</t>
  </si>
  <si>
    <t>2021-06-15T17:12:00Z</t>
  </si>
  <si>
    <t>2022-08-04T17:27:14Z</t>
  </si>
  <si>
    <t>2021-06-29T17:51:53Z</t>
  </si>
  <si>
    <t>2023-05-16T09:08:12Z</t>
  </si>
  <si>
    <t>2023-05-11T08:08:21Z</t>
  </si>
  <si>
    <t>2023-05-13T11:30:17Z</t>
  </si>
  <si>
    <t>2023-05-14T08:18:35Z</t>
  </si>
  <si>
    <t>2023-05-05T05:31:39Z</t>
  </si>
  <si>
    <t>2023-05-07T06:35:29Z</t>
  </si>
  <si>
    <t>2023-05-11T09:55:49Z</t>
  </si>
  <si>
    <t>2023-05-07T03:04:20Z</t>
  </si>
  <si>
    <t>2023-05-13T13:16:18Z</t>
  </si>
  <si>
    <t>2023-05-12T17:04:43Z</t>
  </si>
  <si>
    <t>2022-05-07T12:45:35Z</t>
  </si>
  <si>
    <t>2021-04-21T12:29:29Z</t>
  </si>
  <si>
    <t>2023-05-06T00:02:18Z</t>
  </si>
  <si>
    <t>2023-05-01T21:03:45Z</t>
  </si>
  <si>
    <t>2023-05-07T20:35:02Z</t>
  </si>
  <si>
    <t>2023-05-10T16:03:09Z</t>
  </si>
  <si>
    <t>2022-07-05T14:54:37Z</t>
  </si>
  <si>
    <t>2023-05-10T11:20:23Z</t>
  </si>
  <si>
    <t>2023-05-02T05:12:15Z</t>
  </si>
  <si>
    <t>2023-05-01T14:34:09Z</t>
  </si>
  <si>
    <t>2023-05-07T20:21:55Z</t>
  </si>
  <si>
    <t>2023-05-02T05:24:06Z</t>
  </si>
  <si>
    <t>2023-05-04T12:40:04Z</t>
  </si>
  <si>
    <t>2023-05-02T19:55:36Z</t>
  </si>
  <si>
    <t>2023-05-01T17:14:40Z</t>
  </si>
  <si>
    <t>2023-05-08T20:46:36Z</t>
  </si>
  <si>
    <t>2023-05-14T12:26:19Z</t>
  </si>
  <si>
    <t>2023-02-13T15:29:50Z</t>
  </si>
  <si>
    <t>2018-01-26T19:02:50Z</t>
  </si>
  <si>
    <t>2023-05-09T11:33:26Z</t>
  </si>
  <si>
    <t>2023-05-04T19:56:17Z</t>
  </si>
  <si>
    <t>2023-05-02T01:18:15Z</t>
  </si>
  <si>
    <t>2023-05-01T04:32:22Z</t>
  </si>
  <si>
    <t>2023-05-05T09:37:30Z</t>
  </si>
  <si>
    <t>2022-11-22T13:19:29Z</t>
  </si>
  <si>
    <t>2023-02-03T16:00:42Z</t>
  </si>
  <si>
    <t>2023-05-07T03:07:04Z</t>
  </si>
  <si>
    <t>2023-05-05T13:20:57Z</t>
  </si>
  <si>
    <t>2023-05-16T13:43:48Z</t>
  </si>
  <si>
    <t>2023-05-08T18:15:50Z</t>
  </si>
  <si>
    <t>2023-05-11T10:45:52Z</t>
  </si>
  <si>
    <t>2021-09-24T01:21:40Z</t>
  </si>
  <si>
    <t>2023-05-09T03:05:51Z</t>
  </si>
  <si>
    <t>2023-05-01T03:47:02Z</t>
  </si>
  <si>
    <t>2022-06-22T11:45:05Z</t>
  </si>
  <si>
    <t>2022-06-18T12:55:40Z</t>
  </si>
  <si>
    <t>2022-11-16T05:11:34Z</t>
  </si>
  <si>
    <t>2022-12-07T18:30:17Z</t>
  </si>
  <si>
    <t>2022-11-29T06:55:01Z</t>
  </si>
  <si>
    <t>2023-02-07T10:12:56Z</t>
  </si>
  <si>
    <t>2021-04-16T12:52:46Z</t>
  </si>
  <si>
    <t>2023-05-12T16:00:11Z</t>
  </si>
  <si>
    <t>2023-05-14T09:30:14Z</t>
  </si>
  <si>
    <t>2023-05-09T08:45:01Z</t>
  </si>
  <si>
    <t>2023-05-07T17:30:08Z</t>
  </si>
  <si>
    <t>2023-05-11T09:45:00Z</t>
  </si>
  <si>
    <t>2023-05-07T23:30:00Z</t>
  </si>
  <si>
    <t>2023-05-13T18:26:08Z</t>
  </si>
  <si>
    <t>2023-05-14T07:15:00Z</t>
  </si>
  <si>
    <t>2023-05-15T23:30:04Z</t>
  </si>
  <si>
    <t>2023-05-13T08:00:05Z</t>
  </si>
  <si>
    <t>2023-05-12T11:30:11Z</t>
  </si>
  <si>
    <t>2023-05-16T01:30:23Z</t>
  </si>
  <si>
    <t>2018-10-22T15:31:42Z</t>
  </si>
  <si>
    <t>2016-06-09T10:30:15Z</t>
  </si>
  <si>
    <t>2017-04-21T02:47:03Z</t>
  </si>
  <si>
    <t>2023-05-02T20:03:01Z</t>
  </si>
  <si>
    <t>2023-05-02T23:27:02Z</t>
  </si>
  <si>
    <t>2023-05-09T18:41:24Z</t>
  </si>
  <si>
    <t>2023-05-07T16:30:06Z</t>
  </si>
  <si>
    <t>2023-05-10T17:59:45Z</t>
  </si>
  <si>
    <t>2023-05-13T17:20:10Z</t>
  </si>
  <si>
    <t>2023-05-13T16:49:15Z</t>
  </si>
  <si>
    <t>2021-09-05T10:29:35Z</t>
  </si>
  <si>
    <t>2023-05-13T16:26:56Z</t>
  </si>
  <si>
    <t>2023-05-10T12:15:03Z</t>
  </si>
  <si>
    <t>2023-05-14T07:32:48Z</t>
  </si>
  <si>
    <t>2020-05-07T06:49:00Z</t>
  </si>
  <si>
    <t>2023-05-07T11:30:30Z</t>
  </si>
  <si>
    <t>2019-10-17T12:58:45Z</t>
  </si>
  <si>
    <t>2020-05-06T20:14:18Z</t>
  </si>
  <si>
    <t>2023-05-12T19:21:43Z</t>
  </si>
  <si>
    <t>2023-05-12T08:47:30Z</t>
  </si>
  <si>
    <t>2022-05-29T11:30:07Z</t>
  </si>
  <si>
    <t>2023-01-24T01:40:35Z</t>
  </si>
  <si>
    <t>2021-09-06T05:02:05Z</t>
  </si>
  <si>
    <t>2023-05-05T16:00:39Z</t>
  </si>
  <si>
    <t>2023-05-15T18:17:00Z</t>
  </si>
  <si>
    <t>2022-07-17T02:12:45Z</t>
  </si>
  <si>
    <t>2023-05-09T18:17:10Z</t>
  </si>
  <si>
    <t>2023-05-16T08:26:58Z</t>
  </si>
  <si>
    <t>2023-05-09T08:31:13Z</t>
  </si>
  <si>
    <t>2023-05-07T12:15:03Z</t>
  </si>
  <si>
    <t>2023-05-04T11:22:35Z</t>
  </si>
  <si>
    <t>2021-05-20T16:54:51Z</t>
  </si>
  <si>
    <t>2018-10-26T00:17:46Z</t>
  </si>
  <si>
    <t>2023-05-15T15:30:13Z</t>
  </si>
  <si>
    <t>2022-01-21T13:40:59Z</t>
  </si>
  <si>
    <t>2023-05-16T13:43:05Z</t>
  </si>
  <si>
    <t>2022-04-28T23:51:41Z</t>
  </si>
  <si>
    <t>2021-03-20T19:49:39Z</t>
  </si>
  <si>
    <t>2018-02-26T14:12:48Z</t>
  </si>
  <si>
    <t>2021-08-30T17:09:42Z</t>
  </si>
  <si>
    <t>2019-08-27T18:58:45Z</t>
  </si>
  <si>
    <t>2018-05-24T12:19:17Z</t>
  </si>
  <si>
    <t>2023-05-01T02:14:35Z</t>
  </si>
  <si>
    <t>2023-05-08T04:14:50Z</t>
  </si>
  <si>
    <t>2023-05-05T12:57:53Z</t>
  </si>
  <si>
    <t>2017-10-07T07:23:23Z</t>
  </si>
  <si>
    <t>2023-04-14T12:52:24Z</t>
  </si>
  <si>
    <t>2023-04-28T16:41:13Z</t>
  </si>
  <si>
    <t>2023-05-02T12:45:03Z</t>
  </si>
  <si>
    <t>2019-03-23T20:43:16Z</t>
  </si>
  <si>
    <t>2023-04-20T01:39:27Z</t>
  </si>
  <si>
    <t>2023-04-10T00:11:13Z</t>
  </si>
  <si>
    <t>2023-05-10T12:45:02Z</t>
  </si>
  <si>
    <t>2023-04-18T12:45:00Z</t>
  </si>
  <si>
    <t>2023-04-27T13:02:33Z</t>
  </si>
  <si>
    <t>2023-04-25T12:45:05Z</t>
  </si>
  <si>
    <t>2023-05-16T12:45:06Z</t>
  </si>
  <si>
    <t>2019-02-07T20:06:49Z</t>
  </si>
  <si>
    <t>2023-05-09T05:26:35Z</t>
  </si>
  <si>
    <t>2023-01-14T23:48:19Z</t>
  </si>
  <si>
    <t>2023-05-15T16:11:01Z</t>
  </si>
  <si>
    <t>2023-01-23T20:23:15Z</t>
  </si>
  <si>
    <t>2023-05-04T13:00:01Z</t>
  </si>
  <si>
    <t>2023-04-14T06:29:38Z</t>
  </si>
  <si>
    <t>2023-05-03T12:40:51Z</t>
  </si>
  <si>
    <t>2023-05-03T15:26:50Z</t>
  </si>
  <si>
    <t>2023-05-12T19:21:08Z</t>
  </si>
  <si>
    <t>2023-05-16T22:30:42Z</t>
  </si>
  <si>
    <t>2008-09-02T18:01:55Z</t>
  </si>
  <si>
    <t>2021-11-24T08:00:30Z</t>
  </si>
  <si>
    <t>2023-05-15T10:07:03Z</t>
  </si>
  <si>
    <t>2023-05-15T19:33:16Z</t>
  </si>
  <si>
    <t>2022-02-17T12:06:23Z</t>
  </si>
  <si>
    <t>2019-12-17T19:49:41Z</t>
  </si>
  <si>
    <t>2023-05-01T20:00:10Z</t>
  </si>
  <si>
    <t>2023-04-17T23:30:11Z</t>
  </si>
  <si>
    <t>2023-03-30T20:00:07Z</t>
  </si>
  <si>
    <t>2023-04-18T20:00:08Z</t>
  </si>
  <si>
    <t>2023-04-26T20:00:10Z</t>
  </si>
  <si>
    <t>2023-04-29T20:00:09Z</t>
  </si>
  <si>
    <t>2023-04-20T20:00:08Z</t>
  </si>
  <si>
    <t>2023-05-12T20:00:06Z</t>
  </si>
  <si>
    <t>2023-04-27T23:00:07Z</t>
  </si>
  <si>
    <t>2023-04-28T20:00:06Z</t>
  </si>
  <si>
    <t>2023-05-16T20:00:09Z</t>
  </si>
  <si>
    <t>2023-03-23T20:00:11Z</t>
  </si>
  <si>
    <t>2023-05-16T15:46:18Z</t>
  </si>
  <si>
    <t>2023-05-04T20:22:28Z</t>
  </si>
  <si>
    <t>2023-05-09T06:25:30Z</t>
  </si>
  <si>
    <t>2023-05-12T13:42:19Z</t>
  </si>
  <si>
    <t>2023-05-09T06:31:47Z</t>
  </si>
  <si>
    <t>2023-05-11T03:51:37Z</t>
  </si>
  <si>
    <t>2023-05-05T19:23:07Z</t>
  </si>
  <si>
    <t>2023-05-05T19:23:30Z</t>
  </si>
  <si>
    <t>2014-04-16T22:08:40Z</t>
  </si>
  <si>
    <t>2023-05-02T18:26:53Z</t>
  </si>
  <si>
    <t>2022-07-22T12:33:58Z</t>
  </si>
  <si>
    <t>2023-05-02T15:59:13Z</t>
  </si>
  <si>
    <t>2020-05-04T23:10:41Z</t>
  </si>
  <si>
    <t>2018-07-28T15:58:36Z</t>
  </si>
  <si>
    <t>2021-02-22T07:25:12Z</t>
  </si>
  <si>
    <t>2023-05-10T16:43:44Z</t>
  </si>
  <si>
    <t>2022-08-30T20:50:59Z</t>
  </si>
  <si>
    <t>2023-01-26T17:54:53Z</t>
  </si>
  <si>
    <t>2023-02-06T01:04:22Z</t>
  </si>
  <si>
    <t>2023-05-14T18:30:14Z</t>
  </si>
  <si>
    <t>2023-05-15T15:55:28Z</t>
  </si>
  <si>
    <t>2023-03-23T15:26:34Z</t>
  </si>
  <si>
    <t>2018-11-15T21:45:37Z</t>
  </si>
  <si>
    <t>2022-05-05T14:06:48Z</t>
  </si>
  <si>
    <t>2023-05-16T21:22:38Z</t>
  </si>
  <si>
    <t>2023-03-03T17:56:19Z</t>
  </si>
  <si>
    <t>2023-05-16T15:26:57Z</t>
  </si>
  <si>
    <t>2022-02-18T17:55:31Z</t>
  </si>
  <si>
    <t>2023-05-17T10:20:08Z</t>
  </si>
  <si>
    <t>2017-12-27T15:00:05Z</t>
  </si>
  <si>
    <t>2023-05-16T20:45:03Z</t>
  </si>
  <si>
    <t>2023-05-16T18:00:18Z</t>
  </si>
  <si>
    <t>2023-05-16T15:30:09Z</t>
  </si>
  <si>
    <t>2023-05-16T16:00:07Z</t>
  </si>
  <si>
    <t>2023-05-16T18:30:29Z</t>
  </si>
  <si>
    <t>2023-05-16T21:00:13Z</t>
  </si>
  <si>
    <t>2023-05-16T14:30:28Z</t>
  </si>
  <si>
    <t>2023-05-16T23:00:04Z</t>
  </si>
  <si>
    <t>2023-05-16T15:00:27Z</t>
  </si>
  <si>
    <t>2023-05-16T17:30:07Z</t>
  </si>
  <si>
    <t>2023-05-17T01:15:02Z</t>
  </si>
  <si>
    <t>2023-05-16T14:45:01Z</t>
  </si>
  <si>
    <t>2023-05-16T19:30:05Z</t>
  </si>
  <si>
    <t>2023-05-17T10:33:23Z</t>
  </si>
  <si>
    <t>2023-05-16T16:30:10Z</t>
  </si>
  <si>
    <t>2023-05-17T01:45:00Z</t>
  </si>
  <si>
    <t>2023-05-16T17:00:12Z</t>
  </si>
  <si>
    <t>2023-05-16T15:08:52Z</t>
  </si>
  <si>
    <t>2023-05-16T18:30:49Z</t>
  </si>
  <si>
    <t>2023-05-10T09:09:27Z</t>
  </si>
  <si>
    <t>2022-05-06T15:50:34Z</t>
  </si>
  <si>
    <t>2022-08-12T21:11:02Z</t>
  </si>
  <si>
    <t>2023-03-29T23:00:09Z</t>
  </si>
  <si>
    <t>2021-12-16T16:04:08Z</t>
  </si>
  <si>
    <t>2023-05-11T09:00:05Z</t>
  </si>
  <si>
    <t>2023-05-10T15:13:09Z</t>
  </si>
  <si>
    <t>2023-01-03T15:43:50Z</t>
  </si>
  <si>
    <t>2015-02-16T12:25:59Z</t>
  </si>
  <si>
    <t>2023-05-10T13:58:26Z</t>
  </si>
  <si>
    <t>0, 12, 96</t>
  </si>
  <si>
    <t>0, 136, 227</t>
  </si>
  <si>
    <t>Reciprocated?▓0▓1▓0▓False▓Gray▓Red▓No░Yes▓Edge Weight▓1▓1▓0▓3▓7▓False▓Edge Weight▓1▓1▓0▓40▓15▓False▓▓0▓0▓0▓True▓Black▓Black▓▓Out-Degree▓0▓0▓0▓150▓1000▓False▓In-Degree▓0▓14▓0▓100▓70▓False▓▓0▓0▓0▓0▓0▓False▓▓0▓0▓0▓0▓0▓False</t>
  </si>
  <si>
    <t>&lt;?xml version="1.0" encoding="utf-8"?&gt;
&lt;configuration&gt;
  &lt;configSections&gt;
    &lt;sectionGroup name="userSettings" type="System.Configuration.UserSettingsGroup, System, Version=2.0.0.0, Culture=neutral, PublicKeyToken=b77a5c561934e089"&gt;
      &lt;section name="MotifUserSettings"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name="ExportToCSVUserSettings"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&lt;MotifUserSettings&gt;
      &lt;setting name="DConnectorMinimumAnchorVertices" serializeAs="String"&gt;
        &lt;value&gt;2&lt;/value&gt;
      &lt;/setting&gt;
      &lt;setting name="CliqueMaximumMemberVertices" serializeAs="String"&gt;
        &lt;value&gt;9999&lt;/value&gt;
      &lt;/setting&gt;
      &lt;setting name="MotifsToCalculate" serializeAs="String"&gt;
        &lt;value&gt;Fan, DConnector, Clique&lt;/value&gt;
      &lt;</t>
  </si>
  <si>
    <t>0, 100, 50</t>
  </si>
  <si>
    <t>0, 176, 22</t>
  </si>
  <si>
    <t>191, 0, 0</t>
  </si>
  <si>
    <t>230, 120, 0</t>
  </si>
  <si>
    <t>255, 191, 0</t>
  </si>
  <si>
    <t>150, 200, 0</t>
  </si>
  <si>
    <t>200, 0, 120</t>
  </si>
  <si>
    <t>77, 0, 96</t>
  </si>
  <si>
    <t>91, 0, 191</t>
  </si>
  <si>
    <t>0, 98, 130</t>
  </si>
  <si>
    <t>Vertex Group</t>
  </si>
  <si>
    <t>Vertex 1 Group</t>
  </si>
  <si>
    <t>Vertex 2 Group</t>
  </si>
  <si>
    <t>STUDY.PSYCHOLOGY</t>
  </si>
  <si>
    <t>Iftikhar Biology Academy</t>
  </si>
  <si>
    <t>NGU YUN LIN</t>
  </si>
  <si>
    <t>PSYCHOLOGY RANKERS</t>
  </si>
  <si>
    <t>Shikha ClassEdge - History</t>
  </si>
  <si>
    <t>Function First Coaching Inc.</t>
  </si>
  <si>
    <t>Indigenous Health</t>
  </si>
  <si>
    <t>Heather Anne</t>
  </si>
  <si>
    <t>aai maji kalubai</t>
  </si>
  <si>
    <t>0, 23, 187</t>
  </si>
  <si>
    <t>32, 166, 255</t>
  </si>
  <si>
    <t>0, 191, 96</t>
  </si>
  <si>
    <t>0, 249, 31</t>
  </si>
  <si>
    <t>255, 4, 4</t>
  </si>
  <si>
    <t>255, 150, 34</t>
  </si>
  <si>
    <t>255, 205, 53</t>
  </si>
  <si>
    <t>194, 255, 11</t>
  </si>
  <si>
    <t>255, 11, 157</t>
  </si>
  <si>
    <t>150, 0, 187</t>
  </si>
  <si>
    <t>123, 4, 255</t>
  </si>
  <si>
    <t>0, 159, 213</t>
  </si>
  <si>
    <t>26, 54, 255</t>
  </si>
  <si>
    <t>91, 189, 255</t>
  </si>
  <si>
    <t>28, 255, 141</t>
  </si>
  <si>
    <t>66, 255, 89</t>
  </si>
  <si>
    <t>255, 74, 74</t>
  </si>
  <si>
    <t>255, 179, 94</t>
  </si>
  <si>
    <t>255, 218, 106</t>
  </si>
  <si>
    <t>211, 255, 79</t>
  </si>
  <si>
    <t>255, 79, 185</t>
  </si>
  <si>
    <t>209, 26, 255</t>
  </si>
  <si>
    <t>160, 74, 255</t>
  </si>
  <si>
    <t>43, 202, 255</t>
  </si>
  <si>
    <t>119, 136, 255</t>
  </si>
  <si>
    <t>151, 214, 255</t>
  </si>
  <si>
    <t>119, 255, 187</t>
  </si>
  <si>
    <t>138, 255, 153</t>
  </si>
  <si>
    <t>255, 142, 142</t>
  </si>
  <si>
    <t>255, 206, 153</t>
  </si>
  <si>
    <t>255, 232, 159</t>
  </si>
  <si>
    <t>227, 255, 145</t>
  </si>
  <si>
    <t>255, 145, 210</t>
  </si>
  <si>
    <t>227, 119, 255</t>
  </si>
  <si>
    <t>196, 142, 255</t>
  </si>
  <si>
    <t>128, 223, 255</t>
  </si>
  <si>
    <t>213, 218, 255</t>
  </si>
  <si>
    <t>213, 238, 255</t>
  </si>
  <si>
    <t>213, 255, 234</t>
  </si>
  <si>
    <t>213, 255, 218</t>
  </si>
  <si>
    <t>255, 213, 213</t>
  </si>
  <si>
    <t>255, 235, 213</t>
  </si>
  <si>
    <t>255, 244, 213</t>
  </si>
  <si>
    <t>244, 255, 213</t>
  </si>
  <si>
    <t>255, 213, 238</t>
  </si>
  <si>
    <t>247, 213, 255</t>
  </si>
  <si>
    <t>233, 213, 255</t>
  </si>
  <si>
    <t>213, 244, 255</t>
  </si>
  <si>
    <t>GraphSource░YouTubeVideo▓GraphTerm░conductdisorders▓ImportDescription░The graph represents the network of YouTube videos whose title, keywords, description, categories, or author's username contain "conductdisorders".  The network was obtained from YouTube on Wednesday, 17 May 2023 at 11:42 UTC.
The network was limited to 50 videos.
There is an edge for each pair of videos that have the same category.▓ImportSuggestedTitle░YouTube Video conductdisorders▓ImportSuggestedFileNameNoExtension░2023-05-17 11-41-52 NodeXL YouTube Video conductdisorders▓LayoutAlgorithm░The graph was laid out using the Harel-Koren Fast Multiscale layout algorithm.▓GraphDirectedness░The graph is directed.▓GroupingDescription░The graph's vertices were grouped by author values.</t>
  </si>
  <si>
    <t>YouTubeVideo</t>
  </si>
  <si>
    <t>conductdisorders</t>
  </si>
  <si>
    <t>The graph represents the network of YouTube videos whose title, keywords, description, categories, or author's username contain "conductdisorders".  The network was obtained from YouTube on Wednesday, 17 May 2023 at 11:42 UTC.
The network was limited to 50 videos.
There is an edge for each pair of videos that have the same category.</t>
  </si>
  <si>
    <t>The graph was laid out using the Harel-Koren Fast Multiscale layout algorithm.</t>
  </si>
  <si>
    <t>The graph's vertices were grouped by author values.</t>
  </si>
  <si>
    <t>/setting&gt;
      &lt;setting name="DConnectorMaximumAnchorVertices" serializeAs="String"&gt;
        &lt;value&gt;9999&lt;/value&gt;
      &lt;/setting&gt;
      &lt;setting name="CliqueMinimumMemberVertices" serializeAs="String"&gt;
        &lt;value&gt;4&lt;/value&gt;
      &lt;/setting&gt;
    &lt;/MotifUserSettings&gt;
    &lt;PlugInUserSettings&gt;
      &lt;setting name="PlugInFolderPath" serializeAs="String"&gt;
        &lt;value /&gt;
      &lt;/setting&gt;
    &lt;/PlugInUserSettings&gt;
    &lt;ExportToCSVUserSettings&gt;
      &lt;setting name="FolderPath" serializeAs="String"&gt;
        &lt;value&gt;C:\Users\g-manu2208\OneDrive - RMIT University&lt;/value&gt;
      &lt;/setting&gt;
    &lt;/ExportToCSVUserSettings&gt;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t>
  </si>
  <si>
    <t>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t>
  </si>
  <si>
    <t>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BrandesFastCentralities, OverallMetrics, GroupMetrics, EdgeReciprocation, ReciprocatedVertexPairRatio&lt;/value&gt;
      &lt;/setting&gt;
      &lt;setting name="TopNByMetricsToCalculate" serializeAs="Xml"&gt;
        &lt;value&gt;
          &lt;ArrayOfTopNByMetricUserSettings xmlns:xsd="http://www.w3.org/2001/XMLSchema"
            xmlns:xsi="http://www.w3.org/2001/XMLSchema-instance"&gt;
            &lt;TopNByMetricUserSettings&gt;
              &lt;N&gt;10&lt;/N&gt;
              &lt;WorksheetName&gt;</t>
  </si>
  <si>
    <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&lt;value&gt;CalculateSentiment░True▓TextColumnIsOnEdgeWorksheet░False▓TextColumnName░Description▓CountByGroup░True▓SkipSingleTerms░True▓WordsToSkip░0 1 2 3 4 5 6 7 8 9 39 #39 a á à â å ä ã ab aber able ableabout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t>
  </si>
  <si>
    <t xml:space="preserve">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si sí sich side sides sido sie siempre similar similarly sin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</si>
  <si>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</si>
  <si>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</si>
  <si>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</si>
  <si>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</si>
  <si>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</si>
  <si>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</si>
  <si>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</si>
  <si>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</si>
  <si>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</si>
  <si>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</si>
  <si>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&lt;IsEdgeColumn&gt;false&lt;/IsEdgeColumn&gt;
            &lt;StatusColumnName&gt;Tags&lt;/StatusColumnName&gt;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&lt;value&gt;Out-Degree&lt;/value&gt;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&lt;value&gt;Reciprocated?&lt;/value&gt;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t>
  </si>
  <si>
    <t>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7 False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False&lt;/value&gt;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Tags&lt;/value&gt;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t>
  </si>
  <si>
    <t xml:space="preserve">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</si>
  <si>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https://nodexlgraphgallery.org/Pages/Graph.aspx?graphID=292022</t>
  </si>
  <si>
    <t>https://nodexlgraphgallery.org/Images/Image.ashx?graphID=292022&amp;type=f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</si>
</sst>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49" fontId="6" fillId="5" borderId="1" xfId="25" applyNumberFormat="1" applyAlignment="1" quotePrefix="1">
      <alignment/>
    </xf>
    <xf numFmtId="0" fontId="0" fillId="0" borderId="0" xfId="0" applyAlignment="1" quotePrefix="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167" fontId="0" fillId="4" borderId="1" xfId="24" applyNumberFormat="1" applyFont="1" applyBorder="1" applyAlignment="1">
      <alignment/>
    </xf>
    <xf numFmtId="0" fontId="0" fillId="3" borderId="1" xfId="27" applyNumberFormat="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15"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Fill="1" applyBorder="1" applyAlignment="1">
      <alignment/>
    </xf>
    <xf numFmtId="0" fontId="0" fillId="3" borderId="1" xfId="23" applyNumberFormat="1" applyFont="1" applyBorder="1" applyAlignment="1">
      <alignment/>
    </xf>
    <xf numFmtId="0" fontId="0" fillId="2" borderId="1" xfId="20" applyNumberFormat="1" applyFont="1" applyBorder="1" applyAlignment="1">
      <alignment/>
    </xf>
    <xf numFmtId="0" fontId="0" fillId="3" borderId="1" xfId="23" applyNumberFormat="1" applyFont="1"/>
    <xf numFmtId="0" fontId="0" fillId="2" borderId="1" xfId="20" applyNumberFormat="1" applyFont="1"/>
    <xf numFmtId="0" fontId="0" fillId="2" borderId="1" xfId="20" applyNumberFormat="1" applyAlignment="1">
      <alignment/>
    </xf>
    <xf numFmtId="49" fontId="0" fillId="0" borderId="7" xfId="22" applyNumberFormat="1" applyFont="1" applyBorder="1" applyAlignment="1">
      <alignment/>
    </xf>
    <xf numFmtId="0" fontId="0" fillId="3" borderId="1" xfId="23" applyNumberFormat="1" applyFont="1" applyBorder="1"/>
    <xf numFmtId="49" fontId="6" fillId="5" borderId="1" xfId="25" applyNumberFormat="1" applyBorder="1"/>
    <xf numFmtId="0" fontId="0" fillId="2" borderId="1" xfId="20" applyNumberFormat="1" applyFont="1" applyBorder="1"/>
    <xf numFmtId="1" fontId="0" fillId="4" borderId="1" xfId="24" applyNumberForma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0">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right style="thin">
          <color theme="0"/>
        </righ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border>
        <left style="thin">
          <color theme="0"/>
        </left>
      </border>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right style="thin">
          <color theme="0"/>
        </right>
      </border>
    </dxf>
    <dxf>
      <numFmt numFmtId="178" formatCode="@"/>
      <border>
        <left style="thin">
          <color theme="0"/>
        </left>
      </border>
    </dxf>
    <dxf>
      <alignment horizontal="general" vertical="bottom" textRotation="0" wrapText="1" shrinkToFit="1" readingOrder="0"/>
    </dxf>
    <dxf>
      <numFmt numFmtId="179"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9"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numFmt numFmtId="178" formatCode="@"/>
    </dxf>
    <dxf>
      <numFmt numFmtId="178" formatCode="@"/>
    </dxf>
    <dxf>
      <numFmt numFmtId="167" formatCode="0.000"/>
    </dxf>
    <dxf>
      <numFmt numFmtId="167" formatCode="0.000"/>
    </dxf>
    <dxf>
      <numFmt numFmtId="179" formatCode="0"/>
    </dxf>
    <dxf>
      <numFmt numFmtId="179" formatCode="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9"/>
      <tableStyleElement type="headerRow" dxfId="118"/>
    </tableStyle>
    <tableStyle name="NodeXL Table" pivot="0" count="1">
      <tableStyleElement type="headerRow" dxfId="1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833701"/>
        <c:axId val="53285582"/>
      </c:barChart>
      <c:catAx>
        <c:axId val="208337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285582"/>
        <c:crosses val="autoZero"/>
        <c:auto val="1"/>
        <c:lblOffset val="100"/>
        <c:noMultiLvlLbl val="0"/>
      </c:catAx>
      <c:valAx>
        <c:axId val="53285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33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808191"/>
        <c:axId val="21164856"/>
      </c:barChart>
      <c:catAx>
        <c:axId val="98081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164856"/>
        <c:crosses val="autoZero"/>
        <c:auto val="1"/>
        <c:lblOffset val="100"/>
        <c:noMultiLvlLbl val="0"/>
      </c:catAx>
      <c:valAx>
        <c:axId val="21164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08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265977"/>
        <c:axId val="36631746"/>
      </c:barChart>
      <c:catAx>
        <c:axId val="562659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631746"/>
        <c:crosses val="autoZero"/>
        <c:auto val="1"/>
        <c:lblOffset val="100"/>
        <c:noMultiLvlLbl val="0"/>
      </c:catAx>
      <c:valAx>
        <c:axId val="36631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65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250259"/>
        <c:axId val="14381420"/>
      </c:barChart>
      <c:catAx>
        <c:axId val="612502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381420"/>
        <c:crosses val="autoZero"/>
        <c:auto val="1"/>
        <c:lblOffset val="100"/>
        <c:noMultiLvlLbl val="0"/>
      </c:catAx>
      <c:valAx>
        <c:axId val="14381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50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323917"/>
        <c:axId val="24044342"/>
      </c:barChart>
      <c:catAx>
        <c:axId val="623239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044342"/>
        <c:crosses val="autoZero"/>
        <c:auto val="1"/>
        <c:lblOffset val="100"/>
        <c:noMultiLvlLbl val="0"/>
      </c:catAx>
      <c:valAx>
        <c:axId val="24044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23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072487"/>
        <c:axId val="1434656"/>
      </c:barChart>
      <c:catAx>
        <c:axId val="150724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34656"/>
        <c:crosses val="autoZero"/>
        <c:auto val="1"/>
        <c:lblOffset val="100"/>
        <c:noMultiLvlLbl val="0"/>
      </c:catAx>
      <c:valAx>
        <c:axId val="1434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2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911905"/>
        <c:axId val="49098282"/>
      </c:barChart>
      <c:catAx>
        <c:axId val="129119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098282"/>
        <c:crosses val="autoZero"/>
        <c:auto val="1"/>
        <c:lblOffset val="100"/>
        <c:noMultiLvlLbl val="0"/>
      </c:catAx>
      <c:valAx>
        <c:axId val="49098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11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231355"/>
        <c:axId val="17537876"/>
      </c:barChart>
      <c:catAx>
        <c:axId val="392313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537876"/>
        <c:crosses val="autoZero"/>
        <c:auto val="1"/>
        <c:lblOffset val="100"/>
        <c:noMultiLvlLbl val="0"/>
      </c:catAx>
      <c:valAx>
        <c:axId val="17537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31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623157"/>
        <c:axId val="11281822"/>
      </c:barChart>
      <c:catAx>
        <c:axId val="23623157"/>
        <c:scaling>
          <c:orientation val="minMax"/>
        </c:scaling>
        <c:axPos val="b"/>
        <c:delete val="1"/>
        <c:majorTickMark val="out"/>
        <c:minorTickMark val="none"/>
        <c:tickLblPos val="none"/>
        <c:crossAx val="11281822"/>
        <c:crosses val="autoZero"/>
        <c:auto val="1"/>
        <c:lblOffset val="100"/>
        <c:noMultiLvlLbl val="0"/>
      </c:catAx>
      <c:valAx>
        <c:axId val="11281822"/>
        <c:scaling>
          <c:orientation val="minMax"/>
        </c:scaling>
        <c:axPos val="l"/>
        <c:delete val="1"/>
        <c:majorTickMark val="out"/>
        <c:minorTickMark val="none"/>
        <c:tickLblPos val="none"/>
        <c:crossAx val="236231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R1253" totalsRowShown="0" headerRowDxfId="116" dataDxfId="76">
  <autoFilter ref="A2:R1253"/>
  <sortState ref="A3:P1253">
    <sortCondition descending="1" sortBy="value" ref="P3:P1253"/>
  </sortState>
  <tableColumns count="18">
    <tableColumn id="1" name="Vertex 1" dataDxfId="59"/>
    <tableColumn id="2" name="Vertex 2" dataDxfId="57"/>
    <tableColumn id="3" name="Color" dataDxfId="58"/>
    <tableColumn id="4" name="Width" dataDxfId="85"/>
    <tableColumn id="11" name="Style" dataDxfId="84"/>
    <tableColumn id="5" name="Opacity" dataDxfId="83"/>
    <tableColumn id="6" name="Visibility" dataDxfId="82"/>
    <tableColumn id="10" name="Label" dataDxfId="81"/>
    <tableColumn id="12" name="Label Text Color" dataDxfId="80"/>
    <tableColumn id="13" name="Label Font Size" dataDxfId="79"/>
    <tableColumn id="14" name="Reciprocated?" dataDxfId="37"/>
    <tableColumn id="7" name="ID" dataDxfId="78"/>
    <tableColumn id="9" name="Dynamic Filter" dataDxfId="77"/>
    <tableColumn id="8" name="Add Your Own Columns Here" dataDxfId="56"/>
    <tableColumn id="15" name="Relationship" dataDxfId="55"/>
    <tableColumn id="16" name="Edge Weight" dataDxfId="2"/>
    <tableColumn id="17" name="Vertex 1 Group" dataDxfId="1">
      <calculatedColumnFormula>REPLACE(INDEX(GroupVertices[Group], MATCH(Edges[[#This Row],[Vertex 1]],GroupVertices[Vertex],0)),1,1,"")</calculatedColumnFormula>
    </tableColumn>
    <tableColumn id="18" name="Vertex 2 Group" dataDxfId="0">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87" dataDxfId="86">
  <autoFilter ref="A1:B7"/>
  <tableColumns count="2">
    <tableColumn id="1" name="Key" dataDxfId="33"/>
    <tableColumn id="2" name="Value" dataDxfId="3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O893" totalsRowShown="0" headerRowDxfId="115" dataDxfId="60">
  <autoFilter ref="A2:AO893"/>
  <sortState ref="A3:AN893">
    <sortCondition descending="1" sortBy="value" ref="T3:T893"/>
  </sortState>
  <tableColumns count="41">
    <tableColumn id="1" name="Vertex" dataDxfId="75"/>
    <tableColumn id="2" name="Color" dataDxfId="74"/>
    <tableColumn id="5" name="Shape" dataDxfId="73"/>
    <tableColumn id="6" name="Size" dataDxfId="72"/>
    <tableColumn id="4" name="Opacity" dataDxfId="42"/>
    <tableColumn id="7" name="Image File" dataDxfId="40"/>
    <tableColumn id="3" name="Visibility" dataDxfId="41"/>
    <tableColumn id="10" name="Label" dataDxfId="71"/>
    <tableColumn id="16" name="Label Fill Color" dataDxfId="70"/>
    <tableColumn id="9" name="Label Position" dataDxfId="54"/>
    <tableColumn id="8" name="Tooltip" dataDxfId="52"/>
    <tableColumn id="18" name="Layout Order" dataDxfId="53"/>
    <tableColumn id="13" name="X" dataDxfId="69"/>
    <tableColumn id="14" name="Y" dataDxfId="68"/>
    <tableColumn id="12" name="Locked?" dataDxfId="67"/>
    <tableColumn id="19" name="Polar R" dataDxfId="66"/>
    <tableColumn id="20" name="Polar Angle" dataDxfId="65"/>
    <tableColumn id="21" name="Degree" dataDxfId="29"/>
    <tableColumn id="22" name="In-Degree" dataDxfId="28"/>
    <tableColumn id="23" name="Out-Degree" dataDxfId="26"/>
    <tableColumn id="24" name="Betweenness Centrality" dataDxfId="27"/>
    <tableColumn id="25" name="Closeness Centrality" dataDxfId="30"/>
    <tableColumn id="26" name="Eigenvector Centrality" dataDxfId="31"/>
    <tableColumn id="15" name="PageRank" dataDxfId="64"/>
    <tableColumn id="27" name="Clustering Coefficient" dataDxfId="63"/>
    <tableColumn id="29" name="Reciprocated Vertex Pair Ratio" dataDxfId="34"/>
    <tableColumn id="11" name="ID" dataDxfId="62"/>
    <tableColumn id="28" name="Dynamic Filter" dataDxfId="61"/>
    <tableColumn id="17" name="Add Your Own Columns Here" dataDxfId="51"/>
    <tableColumn id="30" name="Title" dataDxfId="50"/>
    <tableColumn id="31" name="Description" dataDxfId="49"/>
    <tableColumn id="32" name="Tags" dataDxfId="48"/>
    <tableColumn id="33" name="Author" dataDxfId="47"/>
    <tableColumn id="34" name="Created Date (UTC)" dataDxfId="46"/>
    <tableColumn id="35" name="Views" dataDxfId="45"/>
    <tableColumn id="36" name="Comments" dataDxfId="44"/>
    <tableColumn id="37" name="Likes Count" dataDxfId="43"/>
    <tableColumn id="38" name="Dislikes Count" dataDxfId="39"/>
    <tableColumn id="39" name="Custom Menu Item Text" dataDxfId="38"/>
    <tableColumn id="40" name="Custom Menu Item Action" dataDxfId="4"/>
    <tableColumn id="41" name="Vertex Group" dataDxfId="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475" totalsRowShown="0" headerRowDxfId="114">
  <autoFilter ref="A2:X475"/>
  <tableColumns count="24">
    <tableColumn id="1" name="Group" dataDxfId="11"/>
    <tableColumn id="2" name="Vertex Color" dataDxfId="10"/>
    <tableColumn id="3" name="Vertex Shape" dataDxfId="8"/>
    <tableColumn id="22" name="Visibility" dataDxfId="9"/>
    <tableColumn id="4" name="Collapsed?" dataDxfId="25"/>
    <tableColumn id="18" name="Label" dataDxfId="24"/>
    <tableColumn id="20" name="Collapsed X"/>
    <tableColumn id="21" name="Collapsed Y"/>
    <tableColumn id="6" name="ID" dataDxfId="23"/>
    <tableColumn id="19" name="Collapsed Properties" dataDxfId="22"/>
    <tableColumn id="5" name="Vertices" dataDxfId="21"/>
    <tableColumn id="7" name="Unique Edges" dataDxfId="20"/>
    <tableColumn id="8" name="Edges With Duplicates" dataDxfId="19"/>
    <tableColumn id="9" name="Total Edges" dataDxfId="18"/>
    <tableColumn id="10" name="Self-Loops" dataDxfId="17"/>
    <tableColumn id="24" name="Reciprocated Vertex Pair Ratio" dataDxfId="16"/>
    <tableColumn id="25" name="Reciprocated Edge Ratio" dataDxfId="15"/>
    <tableColumn id="11" name="Connected Components" dataDxfId="14"/>
    <tableColumn id="12" name="Single-Vertex Connected Components" dataDxfId="13"/>
    <tableColumn id="13" name="Maximum Vertices in a Connected Component" dataDxfId="12"/>
    <tableColumn id="14" name="Maximum Edges in a Connected Component" dataDxfId="113"/>
    <tableColumn id="15" name="Maximum Geodesic Distance (Diameter)" dataDxfId="112"/>
    <tableColumn id="16" name="Average Geodesic Distance" dataDxfId="111"/>
    <tableColumn id="17" name="Graph Density" dataDxfId="11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2" totalsRowShown="0" headerRowDxfId="109" dataDxfId="108">
  <autoFilter ref="A1:C892"/>
  <tableColumns count="3">
    <tableColumn id="1" name="Group" dataDxfId="7"/>
    <tableColumn id="2" name="Vertex" dataDxfId="6"/>
    <tableColumn id="3" name="Vertex ID" dataDxfId="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36"/>
    <tableColumn id="2" name="Value" dataDxfId="3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7"/>
    <tableColumn id="2" name="Degree Frequency" dataDxfId="106">
      <calculatedColumnFormula>COUNTIF(Vertices[Degree], "&gt;= " &amp; D2) - COUNTIF(Vertices[Degree], "&gt;=" &amp; D3)</calculatedColumnFormula>
    </tableColumn>
    <tableColumn id="3" name="In-Degree Bin" dataDxfId="105"/>
    <tableColumn id="4" name="In-Degree Frequency" dataDxfId="104">
      <calculatedColumnFormula>COUNTIF(Vertices[In-Degree], "&gt;= " &amp; F2) - COUNTIF(Vertices[In-Degree], "&gt;=" &amp; F3)</calculatedColumnFormula>
    </tableColumn>
    <tableColumn id="5" name="Out-Degree Bin" dataDxfId="103"/>
    <tableColumn id="6" name="Out-Degree Frequency" dataDxfId="102">
      <calculatedColumnFormula>COUNTIF(Vertices[Out-Degree], "&gt;= " &amp; H2) - COUNTIF(Vertices[Out-Degree], "&gt;=" &amp; H3)</calculatedColumnFormula>
    </tableColumn>
    <tableColumn id="7" name="Betweenness Centrality Bin" dataDxfId="101"/>
    <tableColumn id="8" name="Betweenness Centrality Frequency" dataDxfId="100">
      <calculatedColumnFormula>COUNTIF(Vertices[Betweenness Centrality], "&gt;= " &amp; J2) - COUNTIF(Vertices[Betweenness Centrality], "&gt;=" &amp; J3)</calculatedColumnFormula>
    </tableColumn>
    <tableColumn id="9" name="Closeness Centrality Bin" dataDxfId="99"/>
    <tableColumn id="10" name="Closeness Centrality Frequency" dataDxfId="98">
      <calculatedColumnFormula>COUNTIF(Vertices[Closeness Centrality], "&gt;= " &amp; L2) - COUNTIF(Vertices[Closeness Centrality], "&gt;=" &amp; L3)</calculatedColumnFormula>
    </tableColumn>
    <tableColumn id="11" name="Eigenvector Centrality Bin" dataDxfId="97"/>
    <tableColumn id="12" name="Eigenvector Centrality Frequency" dataDxfId="96">
      <calculatedColumnFormula>COUNTIF(Vertices[Eigenvector Centrality], "&gt;= " &amp; N2) - COUNTIF(Vertices[Eigenvector Centrality], "&gt;=" &amp; N3)</calculatedColumnFormula>
    </tableColumn>
    <tableColumn id="18" name="PageRank Bin" dataDxfId="95"/>
    <tableColumn id="17" name="PageRank Frequency" dataDxfId="94">
      <calculatedColumnFormula>COUNTIF(Vertices[Eigenvector Centrality], "&gt;= " &amp; P2) - COUNTIF(Vertices[Eigenvector Centrality], "&gt;=" &amp; P3)</calculatedColumnFormula>
    </tableColumn>
    <tableColumn id="13" name="Clustering Coefficient Bin" dataDxfId="93"/>
    <tableColumn id="14" name="Clustering Coefficient Frequency" dataDxfId="92">
      <calculatedColumnFormula>COUNTIF(Vertices[Clustering Coefficient], "&gt;= " &amp; R2) - COUNTIF(Vertices[Clustering Coefficient], "&gt;=" &amp; R3)</calculatedColumnFormula>
    </tableColumn>
    <tableColumn id="15" name="Dynamic Filter Bin" dataDxfId="91"/>
    <tableColumn id="16" name="Dynamic Filter Frequency" dataDxfId="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64"/>
  <sheetViews>
    <sheetView zoomScale="90" zoomScaleNormal="90" workbookViewId="0" topLeftCell="A1">
      <pane xSplit="2" ySplit="2" topLeftCell="C738" activePane="bottomRight" state="frozen"/>
      <selection pane="topRight" activeCell="C1" sqref="C1"/>
      <selection pane="bottomLeft" activeCell="A3" sqref="A3"/>
      <selection pane="bottomRight" activeCell="A581" sqref="A581:R602"/>
    </sheetView>
  </sheetViews>
  <sheetFormatPr defaultColWidth="9.140625" defaultRowHeight="15"/>
  <cols>
    <col min="1" max="1" width="14.8515625" style="1" bestFit="1" customWidth="1"/>
    <col min="2" max="2" width="15.7109375" style="1" bestFit="1" customWidth="1"/>
    <col min="3" max="3" width="16.28125" style="3" bestFit="1" customWidth="1"/>
    <col min="4" max="4" width="9.00390625" style="2" bestFit="1" customWidth="1"/>
    <col min="5" max="5" width="7.7109375" style="2" bestFit="1" customWidth="1"/>
    <col min="6" max="6" width="10.421875" style="2" bestFit="1" customWidth="1"/>
    <col min="7" max="7" width="11.57421875" style="3" bestFit="1" customWidth="1"/>
    <col min="8" max="8" width="8.28125" style="1" bestFit="1" customWidth="1"/>
    <col min="9" max="9" width="17.57421875" style="3" customWidth="1"/>
    <col min="10" max="10" width="16.57421875" style="3" bestFit="1" customWidth="1"/>
    <col min="11" max="11" width="16.00390625" style="3" bestFit="1" customWidth="1"/>
    <col min="12" max="12" width="11.00390625" style="0" bestFit="1" customWidth="1"/>
    <col min="13" max="13" width="11.7109375" style="0" bestFit="1" customWidth="1"/>
    <col min="14" max="14" width="16.421875" style="0" bestFit="1" customWidth="1"/>
    <col min="15" max="15" width="20.421875" style="0" bestFit="1" customWidth="1"/>
    <col min="16" max="16" width="14.421875" style="0" customWidth="1"/>
    <col min="17" max="17" width="39.57421875" style="0" bestFit="1" customWidth="1"/>
    <col min="18" max="18" width="46.00390625" style="0" bestFit="1" customWidth="1"/>
  </cols>
  <sheetData>
    <row r="1" spans="3:14" ht="15">
      <c r="C1" s="16" t="s">
        <v>39</v>
      </c>
      <c r="D1" s="17"/>
      <c r="E1" s="17"/>
      <c r="F1" s="17"/>
      <c r="G1" s="16"/>
      <c r="H1" s="14" t="s">
        <v>43</v>
      </c>
      <c r="I1" s="51"/>
      <c r="J1" s="51"/>
      <c r="K1" s="33" t="s">
        <v>42</v>
      </c>
      <c r="L1" s="18" t="s">
        <v>40</v>
      </c>
      <c r="M1" s="18"/>
      <c r="N1" s="15" t="s">
        <v>41</v>
      </c>
    </row>
    <row r="2" spans="1:18"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t="s">
        <v>2093</v>
      </c>
      <c r="Q2" s="13" t="s">
        <v>4458</v>
      </c>
      <c r="R2" s="13" t="s">
        <v>4459</v>
      </c>
    </row>
    <row r="3" spans="1:18" ht="15" customHeight="1">
      <c r="A3" s="64" t="s">
        <v>218</v>
      </c>
      <c r="B3" s="64" t="s">
        <v>326</v>
      </c>
      <c r="C3" s="65" t="s">
        <v>4443</v>
      </c>
      <c r="D3" s="66">
        <v>3</v>
      </c>
      <c r="E3" s="67"/>
      <c r="F3" s="68">
        <v>40</v>
      </c>
      <c r="G3" s="65"/>
      <c r="H3" s="69"/>
      <c r="I3" s="70"/>
      <c r="J3" s="70"/>
      <c r="K3" s="34" t="s">
        <v>65</v>
      </c>
      <c r="L3" s="77">
        <v>3</v>
      </c>
      <c r="M3" s="77"/>
      <c r="N3" s="72"/>
      <c r="O3" s="79" t="s">
        <v>610</v>
      </c>
      <c r="P3" s="79">
        <v>1</v>
      </c>
      <c r="Q3" s="78" t="str">
        <f>REPLACE(INDEX(GroupVertices[Group],MATCH(Edges[[#This Row],[Vertex 1]],GroupVertices[Vertex],0)),1,1,"")</f>
        <v>nlineCEUCredit</v>
      </c>
      <c r="R3" s="78" t="str">
        <f>REPLACE(INDEX(GroupVertices[Group],MATCH(Edges[[#This Row],[Vertex 2]],GroupVertices[Vertex],0)),1,1,"")</f>
        <v>eady Study Go</v>
      </c>
    </row>
    <row r="4" spans="1:18" ht="15" customHeight="1">
      <c r="A4" s="64" t="s">
        <v>218</v>
      </c>
      <c r="B4" s="64" t="s">
        <v>346</v>
      </c>
      <c r="C4" s="65" t="s">
        <v>4443</v>
      </c>
      <c r="D4" s="66">
        <v>3</v>
      </c>
      <c r="E4" s="67"/>
      <c r="F4" s="68">
        <v>40</v>
      </c>
      <c r="G4" s="65"/>
      <c r="H4" s="69"/>
      <c r="I4" s="70"/>
      <c r="J4" s="70"/>
      <c r="K4" s="34" t="s">
        <v>65</v>
      </c>
      <c r="L4" s="77">
        <v>4</v>
      </c>
      <c r="M4" s="77"/>
      <c r="N4" s="72"/>
      <c r="O4" s="79" t="s">
        <v>610</v>
      </c>
      <c r="P4" s="79">
        <v>1</v>
      </c>
      <c r="Q4" s="78" t="str">
        <f>REPLACE(INDEX(GroupVertices[Group],MATCH(Edges[[#This Row],[Vertex 1]],GroupVertices[Vertex],0)),1,1,"")</f>
        <v>nlineCEUCredit</v>
      </c>
      <c r="R4" s="78" t="str">
        <f>REPLACE(INDEX(GroupVertices[Group],MATCH(Edges[[#This Row],[Vertex 2]],GroupVertices[Vertex],0)),1,1,"")</f>
        <v>nlineCEUCredit</v>
      </c>
    </row>
    <row r="5" spans="1:18" ht="15">
      <c r="A5" s="64" t="s">
        <v>218</v>
      </c>
      <c r="B5" s="64" t="s">
        <v>347</v>
      </c>
      <c r="C5" s="65" t="s">
        <v>4443</v>
      </c>
      <c r="D5" s="66">
        <v>3</v>
      </c>
      <c r="E5" s="67"/>
      <c r="F5" s="68">
        <v>40</v>
      </c>
      <c r="G5" s="65"/>
      <c r="H5" s="69"/>
      <c r="I5" s="70"/>
      <c r="J5" s="70"/>
      <c r="K5" s="34" t="s">
        <v>65</v>
      </c>
      <c r="L5" s="77">
        <v>5</v>
      </c>
      <c r="M5" s="77"/>
      <c r="N5" s="72"/>
      <c r="O5" s="79" t="s">
        <v>610</v>
      </c>
      <c r="P5" s="79">
        <v>1</v>
      </c>
      <c r="Q5" s="78" t="str">
        <f>REPLACE(INDEX(GroupVertices[Group],MATCH(Edges[[#This Row],[Vertex 1]],GroupVertices[Vertex],0)),1,1,"")</f>
        <v>nlineCEUCredit</v>
      </c>
      <c r="R5" s="78" t="str">
        <f>REPLACE(INDEX(GroupVertices[Group],MATCH(Edges[[#This Row],[Vertex 2]],GroupVertices[Vertex],0)),1,1,"")</f>
        <v>nlineCEUCredit</v>
      </c>
    </row>
    <row r="6" spans="1:18" ht="15">
      <c r="A6" s="64" t="s">
        <v>218</v>
      </c>
      <c r="B6" s="64" t="s">
        <v>328</v>
      </c>
      <c r="C6" s="65" t="s">
        <v>4443</v>
      </c>
      <c r="D6" s="66">
        <v>3</v>
      </c>
      <c r="E6" s="67"/>
      <c r="F6" s="68">
        <v>40</v>
      </c>
      <c r="G6" s="65"/>
      <c r="H6" s="69"/>
      <c r="I6" s="70"/>
      <c r="J6" s="70"/>
      <c r="K6" s="34" t="s">
        <v>65</v>
      </c>
      <c r="L6" s="77">
        <v>6</v>
      </c>
      <c r="M6" s="77"/>
      <c r="N6" s="72"/>
      <c r="O6" s="79" t="s">
        <v>610</v>
      </c>
      <c r="P6" s="79">
        <v>1</v>
      </c>
      <c r="Q6" s="78" t="str">
        <f>REPLACE(INDEX(GroupVertices[Group],MATCH(Edges[[#This Row],[Vertex 1]],GroupVertices[Vertex],0)),1,1,"")</f>
        <v>nlineCEUCredit</v>
      </c>
      <c r="R6" s="78" t="str">
        <f>REPLACE(INDEX(GroupVertices[Group],MATCH(Edges[[#This Row],[Vertex 2]],GroupVertices[Vertex],0)),1,1,"")</f>
        <v>nlineCEUCredit</v>
      </c>
    </row>
    <row r="7" spans="1:18" ht="15">
      <c r="A7" s="64" t="s">
        <v>218</v>
      </c>
      <c r="B7" s="64" t="s">
        <v>338</v>
      </c>
      <c r="C7" s="65" t="s">
        <v>4443</v>
      </c>
      <c r="D7" s="66">
        <v>3</v>
      </c>
      <c r="E7" s="67"/>
      <c r="F7" s="68">
        <v>40</v>
      </c>
      <c r="G7" s="65"/>
      <c r="H7" s="69"/>
      <c r="I7" s="70"/>
      <c r="J7" s="70"/>
      <c r="K7" s="34" t="s">
        <v>65</v>
      </c>
      <c r="L7" s="77">
        <v>7</v>
      </c>
      <c r="M7" s="77"/>
      <c r="N7" s="72"/>
      <c r="O7" s="79" t="s">
        <v>610</v>
      </c>
      <c r="P7" s="79">
        <v>1</v>
      </c>
      <c r="Q7" s="78" t="str">
        <f>REPLACE(INDEX(GroupVertices[Group],MATCH(Edges[[#This Row],[Vertex 1]],GroupVertices[Vertex],0)),1,1,"")</f>
        <v>nlineCEUCredit</v>
      </c>
      <c r="R7" s="78" t="str">
        <f>REPLACE(INDEX(GroupVertices[Group],MATCH(Edges[[#This Row],[Vertex 2]],GroupVertices[Vertex],0)),1,1,"")</f>
        <v>nlineCEUCredit</v>
      </c>
    </row>
    <row r="8" spans="1:18" ht="15">
      <c r="A8" s="64" t="s">
        <v>218</v>
      </c>
      <c r="B8" s="64" t="s">
        <v>327</v>
      </c>
      <c r="C8" s="65" t="s">
        <v>4443</v>
      </c>
      <c r="D8" s="66">
        <v>3</v>
      </c>
      <c r="E8" s="67"/>
      <c r="F8" s="68">
        <v>40</v>
      </c>
      <c r="G8" s="65"/>
      <c r="H8" s="69"/>
      <c r="I8" s="70"/>
      <c r="J8" s="70"/>
      <c r="K8" s="34" t="s">
        <v>65</v>
      </c>
      <c r="L8" s="77">
        <v>8</v>
      </c>
      <c r="M8" s="77"/>
      <c r="N8" s="72"/>
      <c r="O8" s="79" t="s">
        <v>610</v>
      </c>
      <c r="P8" s="79">
        <v>1</v>
      </c>
      <c r="Q8" s="78" t="str">
        <f>REPLACE(INDEX(GroupVertices[Group],MATCH(Edges[[#This Row],[Vertex 1]],GroupVertices[Vertex],0)),1,1,"")</f>
        <v>nlineCEUCredit</v>
      </c>
      <c r="R8" s="78" t="str">
        <f>REPLACE(INDEX(GroupVertices[Group],MATCH(Edges[[#This Row],[Vertex 2]],GroupVertices[Vertex],0)),1,1,"")</f>
        <v>nlineCEUCredit</v>
      </c>
    </row>
    <row r="9" spans="1:18" ht="15">
      <c r="A9" s="64" t="s">
        <v>218</v>
      </c>
      <c r="B9" s="64" t="s">
        <v>330</v>
      </c>
      <c r="C9" s="65" t="s">
        <v>4443</v>
      </c>
      <c r="D9" s="66">
        <v>3</v>
      </c>
      <c r="E9" s="67"/>
      <c r="F9" s="68">
        <v>40</v>
      </c>
      <c r="G9" s="65"/>
      <c r="H9" s="69"/>
      <c r="I9" s="70"/>
      <c r="J9" s="70"/>
      <c r="K9" s="34" t="s">
        <v>65</v>
      </c>
      <c r="L9" s="77">
        <v>9</v>
      </c>
      <c r="M9" s="77"/>
      <c r="N9" s="72"/>
      <c r="O9" s="79" t="s">
        <v>610</v>
      </c>
      <c r="P9" s="79">
        <v>1</v>
      </c>
      <c r="Q9" s="78" t="str">
        <f>REPLACE(INDEX(GroupVertices[Group],MATCH(Edges[[#This Row],[Vertex 1]],GroupVertices[Vertex],0)),1,1,"")</f>
        <v>nlineCEUCredit</v>
      </c>
      <c r="R9" s="78" t="str">
        <f>REPLACE(INDEX(GroupVertices[Group],MATCH(Edges[[#This Row],[Vertex 2]],GroupVertices[Vertex],0)),1,1,"")</f>
        <v>nlineCEUCredit</v>
      </c>
    </row>
    <row r="10" spans="1:18" ht="15">
      <c r="A10" s="64" t="s">
        <v>218</v>
      </c>
      <c r="B10" s="64" t="s">
        <v>334</v>
      </c>
      <c r="C10" s="65" t="s">
        <v>4443</v>
      </c>
      <c r="D10" s="66">
        <v>3</v>
      </c>
      <c r="E10" s="67"/>
      <c r="F10" s="68">
        <v>40</v>
      </c>
      <c r="G10" s="65"/>
      <c r="H10" s="69"/>
      <c r="I10" s="70"/>
      <c r="J10" s="70"/>
      <c r="K10" s="34" t="s">
        <v>65</v>
      </c>
      <c r="L10" s="77">
        <v>10</v>
      </c>
      <c r="M10" s="77"/>
      <c r="N10" s="72"/>
      <c r="O10" s="79" t="s">
        <v>610</v>
      </c>
      <c r="P10" s="79">
        <v>1</v>
      </c>
      <c r="Q10" s="78" t="str">
        <f>REPLACE(INDEX(GroupVertices[Group],MATCH(Edges[[#This Row],[Vertex 1]],GroupVertices[Vertex],0)),1,1,"")</f>
        <v>nlineCEUCredit</v>
      </c>
      <c r="R10" s="78" t="str">
        <f>REPLACE(INDEX(GroupVertices[Group],MATCH(Edges[[#This Row],[Vertex 2]],GroupVertices[Vertex],0)),1,1,"")</f>
        <v>nlineCEUCredit</v>
      </c>
    </row>
    <row r="11" spans="1:18" ht="15">
      <c r="A11" s="64" t="s">
        <v>218</v>
      </c>
      <c r="B11" s="64" t="s">
        <v>348</v>
      </c>
      <c r="C11" s="65" t="s">
        <v>4443</v>
      </c>
      <c r="D11" s="66">
        <v>3</v>
      </c>
      <c r="E11" s="67"/>
      <c r="F11" s="68">
        <v>40</v>
      </c>
      <c r="G11" s="65"/>
      <c r="H11" s="69"/>
      <c r="I11" s="70"/>
      <c r="J11" s="70"/>
      <c r="K11" s="34" t="s">
        <v>65</v>
      </c>
      <c r="L11" s="77">
        <v>11</v>
      </c>
      <c r="M11" s="77"/>
      <c r="N11" s="72"/>
      <c r="O11" s="79" t="s">
        <v>610</v>
      </c>
      <c r="P11" s="79">
        <v>1</v>
      </c>
      <c r="Q11" s="78" t="str">
        <f>REPLACE(INDEX(GroupVertices[Group],MATCH(Edges[[#This Row],[Vertex 1]],GroupVertices[Vertex],0)),1,1,"")</f>
        <v>nlineCEUCredit</v>
      </c>
      <c r="R11" s="78" t="str">
        <f>REPLACE(INDEX(GroupVertices[Group],MATCH(Edges[[#This Row],[Vertex 2]],GroupVertices[Vertex],0)),1,1,"")</f>
        <v>nlineCEUCredit</v>
      </c>
    </row>
    <row r="12" spans="1:18" ht="15">
      <c r="A12" s="64" t="s">
        <v>218</v>
      </c>
      <c r="B12" s="64" t="s">
        <v>345</v>
      </c>
      <c r="C12" s="65" t="s">
        <v>4443</v>
      </c>
      <c r="D12" s="66">
        <v>3</v>
      </c>
      <c r="E12" s="67"/>
      <c r="F12" s="68">
        <v>40</v>
      </c>
      <c r="G12" s="65"/>
      <c r="H12" s="69"/>
      <c r="I12" s="70"/>
      <c r="J12" s="70"/>
      <c r="K12" s="34" t="s">
        <v>65</v>
      </c>
      <c r="L12" s="77">
        <v>12</v>
      </c>
      <c r="M12" s="77"/>
      <c r="N12" s="72"/>
      <c r="O12" s="79" t="s">
        <v>610</v>
      </c>
      <c r="P12" s="79">
        <v>1</v>
      </c>
      <c r="Q12" s="78" t="str">
        <f>REPLACE(INDEX(GroupVertices[Group],MATCH(Edges[[#This Row],[Vertex 1]],GroupVertices[Vertex],0)),1,1,"")</f>
        <v>nlineCEUCredit</v>
      </c>
      <c r="R12" s="78" t="str">
        <f>REPLACE(INDEX(GroupVertices[Group],MATCH(Edges[[#This Row],[Vertex 2]],GroupVertices[Vertex],0)),1,1,"")</f>
        <v>nlineCEUCredit</v>
      </c>
    </row>
    <row r="13" spans="1:18" ht="15">
      <c r="A13" s="64" t="s">
        <v>218</v>
      </c>
      <c r="B13" s="64" t="s">
        <v>332</v>
      </c>
      <c r="C13" s="65" t="s">
        <v>4443</v>
      </c>
      <c r="D13" s="66">
        <v>3</v>
      </c>
      <c r="E13" s="67"/>
      <c r="F13" s="68">
        <v>40</v>
      </c>
      <c r="G13" s="65"/>
      <c r="H13" s="69"/>
      <c r="I13" s="70"/>
      <c r="J13" s="70"/>
      <c r="K13" s="34" t="s">
        <v>65</v>
      </c>
      <c r="L13" s="77">
        <v>13</v>
      </c>
      <c r="M13" s="77"/>
      <c r="N13" s="72"/>
      <c r="O13" s="79" t="s">
        <v>610</v>
      </c>
      <c r="P13" s="79">
        <v>1</v>
      </c>
      <c r="Q13" s="78" t="str">
        <f>REPLACE(INDEX(GroupVertices[Group],MATCH(Edges[[#This Row],[Vertex 1]],GroupVertices[Vertex],0)),1,1,"")</f>
        <v>nlineCEUCredit</v>
      </c>
      <c r="R13" s="78" t="str">
        <f>REPLACE(INDEX(GroupVertices[Group],MATCH(Edges[[#This Row],[Vertex 2]],GroupVertices[Vertex],0)),1,1,"")</f>
        <v>nlineCEUCredit</v>
      </c>
    </row>
    <row r="14" spans="1:18" ht="15">
      <c r="A14" s="64" t="s">
        <v>218</v>
      </c>
      <c r="B14" s="64" t="s">
        <v>333</v>
      </c>
      <c r="C14" s="65" t="s">
        <v>4443</v>
      </c>
      <c r="D14" s="66">
        <v>3</v>
      </c>
      <c r="E14" s="67"/>
      <c r="F14" s="68">
        <v>40</v>
      </c>
      <c r="G14" s="65"/>
      <c r="H14" s="69"/>
      <c r="I14" s="70"/>
      <c r="J14" s="70"/>
      <c r="K14" s="34" t="s">
        <v>65</v>
      </c>
      <c r="L14" s="77">
        <v>14</v>
      </c>
      <c r="M14" s="77"/>
      <c r="N14" s="72"/>
      <c r="O14" s="79" t="s">
        <v>610</v>
      </c>
      <c r="P14" s="79">
        <v>1</v>
      </c>
      <c r="Q14" s="78" t="str">
        <f>REPLACE(INDEX(GroupVertices[Group],MATCH(Edges[[#This Row],[Vertex 1]],GroupVertices[Vertex],0)),1,1,"")</f>
        <v>nlineCEUCredit</v>
      </c>
      <c r="R14" s="78" t="str">
        <f>REPLACE(INDEX(GroupVertices[Group],MATCH(Edges[[#This Row],[Vertex 2]],GroupVertices[Vertex],0)),1,1,"")</f>
        <v>nlineCEUCredit</v>
      </c>
    </row>
    <row r="15" spans="1:18" ht="15">
      <c r="A15" s="64" t="s">
        <v>218</v>
      </c>
      <c r="B15" s="64" t="s">
        <v>336</v>
      </c>
      <c r="C15" s="65" t="s">
        <v>4443</v>
      </c>
      <c r="D15" s="66">
        <v>3</v>
      </c>
      <c r="E15" s="67"/>
      <c r="F15" s="68">
        <v>40</v>
      </c>
      <c r="G15" s="65"/>
      <c r="H15" s="69"/>
      <c r="I15" s="70"/>
      <c r="J15" s="70"/>
      <c r="K15" s="34" t="s">
        <v>65</v>
      </c>
      <c r="L15" s="77">
        <v>15</v>
      </c>
      <c r="M15" s="77"/>
      <c r="N15" s="72"/>
      <c r="O15" s="79" t="s">
        <v>610</v>
      </c>
      <c r="P15" s="79">
        <v>1</v>
      </c>
      <c r="Q15" s="78" t="str">
        <f>REPLACE(INDEX(GroupVertices[Group],MATCH(Edges[[#This Row],[Vertex 1]],GroupVertices[Vertex],0)),1,1,"")</f>
        <v>nlineCEUCredit</v>
      </c>
      <c r="R15" s="78" t="str">
        <f>REPLACE(INDEX(GroupVertices[Group],MATCH(Edges[[#This Row],[Vertex 2]],GroupVertices[Vertex],0)),1,1,"")</f>
        <v>nlineCEUCredit</v>
      </c>
    </row>
    <row r="16" spans="1:18" ht="15">
      <c r="A16" s="64" t="s">
        <v>218</v>
      </c>
      <c r="B16" s="64" t="s">
        <v>335</v>
      </c>
      <c r="C16" s="65" t="s">
        <v>4443</v>
      </c>
      <c r="D16" s="66">
        <v>3</v>
      </c>
      <c r="E16" s="67"/>
      <c r="F16" s="68">
        <v>40</v>
      </c>
      <c r="G16" s="65"/>
      <c r="H16" s="69"/>
      <c r="I16" s="70"/>
      <c r="J16" s="70"/>
      <c r="K16" s="34" t="s">
        <v>65</v>
      </c>
      <c r="L16" s="77">
        <v>16</v>
      </c>
      <c r="M16" s="77"/>
      <c r="N16" s="72"/>
      <c r="O16" s="79" t="s">
        <v>610</v>
      </c>
      <c r="P16" s="79">
        <v>1</v>
      </c>
      <c r="Q16" s="78" t="str">
        <f>REPLACE(INDEX(GroupVertices[Group],MATCH(Edges[[#This Row],[Vertex 1]],GroupVertices[Vertex],0)),1,1,"")</f>
        <v>nlineCEUCredit</v>
      </c>
      <c r="R16" s="78" t="str">
        <f>REPLACE(INDEX(GroupVertices[Group],MATCH(Edges[[#This Row],[Vertex 2]],GroupVertices[Vertex],0)),1,1,"")</f>
        <v>nlineCEUCredit</v>
      </c>
    </row>
    <row r="17" spans="1:18" ht="15">
      <c r="A17" s="64" t="s">
        <v>218</v>
      </c>
      <c r="B17" s="64" t="s">
        <v>337</v>
      </c>
      <c r="C17" s="65" t="s">
        <v>4443</v>
      </c>
      <c r="D17" s="66">
        <v>3</v>
      </c>
      <c r="E17" s="67"/>
      <c r="F17" s="68">
        <v>40</v>
      </c>
      <c r="G17" s="65"/>
      <c r="H17" s="69"/>
      <c r="I17" s="70"/>
      <c r="J17" s="70"/>
      <c r="K17" s="34" t="s">
        <v>65</v>
      </c>
      <c r="L17" s="77">
        <v>17</v>
      </c>
      <c r="M17" s="77"/>
      <c r="N17" s="72"/>
      <c r="O17" s="79" t="s">
        <v>610</v>
      </c>
      <c r="P17" s="79">
        <v>1</v>
      </c>
      <c r="Q17" s="78" t="str">
        <f>REPLACE(INDEX(GroupVertices[Group],MATCH(Edges[[#This Row],[Vertex 1]],GroupVertices[Vertex],0)),1,1,"")</f>
        <v>nlineCEUCredit</v>
      </c>
      <c r="R17" s="78" t="str">
        <f>REPLACE(INDEX(GroupVertices[Group],MATCH(Edges[[#This Row],[Vertex 2]],GroupVertices[Vertex],0)),1,1,"")</f>
        <v>nlineCEUCredit</v>
      </c>
    </row>
    <row r="18" spans="1:18" ht="15">
      <c r="A18" s="64" t="s">
        <v>218</v>
      </c>
      <c r="B18" s="64" t="s">
        <v>344</v>
      </c>
      <c r="C18" s="65" t="s">
        <v>4443</v>
      </c>
      <c r="D18" s="66">
        <v>3</v>
      </c>
      <c r="E18" s="67"/>
      <c r="F18" s="68">
        <v>40</v>
      </c>
      <c r="G18" s="65"/>
      <c r="H18" s="69"/>
      <c r="I18" s="70"/>
      <c r="J18" s="70"/>
      <c r="K18" s="34" t="s">
        <v>65</v>
      </c>
      <c r="L18" s="77">
        <v>18</v>
      </c>
      <c r="M18" s="77"/>
      <c r="N18" s="72"/>
      <c r="O18" s="79" t="s">
        <v>610</v>
      </c>
      <c r="P18" s="79">
        <v>1</v>
      </c>
      <c r="Q18" s="78" t="str">
        <f>REPLACE(INDEX(GroupVertices[Group],MATCH(Edges[[#This Row],[Vertex 1]],GroupVertices[Vertex],0)),1,1,"")</f>
        <v>nlineCEUCredit</v>
      </c>
      <c r="R18" s="78" t="str">
        <f>REPLACE(INDEX(GroupVertices[Group],MATCH(Edges[[#This Row],[Vertex 2]],GroupVertices[Vertex],0)),1,1,"")</f>
        <v>nlineCEUCredit</v>
      </c>
    </row>
    <row r="19" spans="1:18" ht="15">
      <c r="A19" s="64" t="s">
        <v>218</v>
      </c>
      <c r="B19" s="64" t="s">
        <v>341</v>
      </c>
      <c r="C19" s="65" t="s">
        <v>4443</v>
      </c>
      <c r="D19" s="66">
        <v>3</v>
      </c>
      <c r="E19" s="67"/>
      <c r="F19" s="68">
        <v>40</v>
      </c>
      <c r="G19" s="65"/>
      <c r="H19" s="69"/>
      <c r="I19" s="70"/>
      <c r="J19" s="70"/>
      <c r="K19" s="34" t="s">
        <v>65</v>
      </c>
      <c r="L19" s="77">
        <v>19</v>
      </c>
      <c r="M19" s="77"/>
      <c r="N19" s="72"/>
      <c r="O19" s="79" t="s">
        <v>610</v>
      </c>
      <c r="P19" s="79">
        <v>1</v>
      </c>
      <c r="Q19" s="78" t="str">
        <f>REPLACE(INDEX(GroupVertices[Group],MATCH(Edges[[#This Row],[Vertex 1]],GroupVertices[Vertex],0)),1,1,"")</f>
        <v>nlineCEUCredit</v>
      </c>
      <c r="R19" s="78" t="str">
        <f>REPLACE(INDEX(GroupVertices[Group],MATCH(Edges[[#This Row],[Vertex 2]],GroupVertices[Vertex],0)),1,1,"")</f>
        <v>nlineCEUCredit</v>
      </c>
    </row>
    <row r="20" spans="1:18" ht="15">
      <c r="A20" s="64" t="s">
        <v>218</v>
      </c>
      <c r="B20" s="64" t="s">
        <v>340</v>
      </c>
      <c r="C20" s="65" t="s">
        <v>4443</v>
      </c>
      <c r="D20" s="66">
        <v>3</v>
      </c>
      <c r="E20" s="67"/>
      <c r="F20" s="68">
        <v>40</v>
      </c>
      <c r="G20" s="65"/>
      <c r="H20" s="69"/>
      <c r="I20" s="70"/>
      <c r="J20" s="70"/>
      <c r="K20" s="34" t="s">
        <v>65</v>
      </c>
      <c r="L20" s="77">
        <v>20</v>
      </c>
      <c r="M20" s="77"/>
      <c r="N20" s="72"/>
      <c r="O20" s="79" t="s">
        <v>610</v>
      </c>
      <c r="P20" s="79">
        <v>1</v>
      </c>
      <c r="Q20" s="78" t="str">
        <f>REPLACE(INDEX(GroupVertices[Group],MATCH(Edges[[#This Row],[Vertex 1]],GroupVertices[Vertex],0)),1,1,"")</f>
        <v>nlineCEUCredit</v>
      </c>
      <c r="R20" s="78" t="str">
        <f>REPLACE(INDEX(GroupVertices[Group],MATCH(Edges[[#This Row],[Vertex 2]],GroupVertices[Vertex],0)),1,1,"")</f>
        <v>nlineCEUCredit</v>
      </c>
    </row>
    <row r="21" spans="1:18" ht="15">
      <c r="A21" s="64" t="s">
        <v>218</v>
      </c>
      <c r="B21" s="64" t="s">
        <v>331</v>
      </c>
      <c r="C21" s="65" t="s">
        <v>4443</v>
      </c>
      <c r="D21" s="66">
        <v>3</v>
      </c>
      <c r="E21" s="67"/>
      <c r="F21" s="68">
        <v>40</v>
      </c>
      <c r="G21" s="65"/>
      <c r="H21" s="69"/>
      <c r="I21" s="70"/>
      <c r="J21" s="70"/>
      <c r="K21" s="34" t="s">
        <v>65</v>
      </c>
      <c r="L21" s="77">
        <v>21</v>
      </c>
      <c r="M21" s="77"/>
      <c r="N21" s="72"/>
      <c r="O21" s="79" t="s">
        <v>610</v>
      </c>
      <c r="P21" s="79">
        <v>1</v>
      </c>
      <c r="Q21" s="78" t="str">
        <f>REPLACE(INDEX(GroupVertices[Group],MATCH(Edges[[#This Row],[Vertex 1]],GroupVertices[Vertex],0)),1,1,"")</f>
        <v>nlineCEUCredit</v>
      </c>
      <c r="R21" s="78" t="str">
        <f>REPLACE(INDEX(GroupVertices[Group],MATCH(Edges[[#This Row],[Vertex 2]],GroupVertices[Vertex],0)),1,1,"")</f>
        <v>nlineCEUCredit</v>
      </c>
    </row>
    <row r="22" spans="1:18" ht="15">
      <c r="A22" s="64" t="s">
        <v>218</v>
      </c>
      <c r="B22" s="64" t="s">
        <v>339</v>
      </c>
      <c r="C22" s="65" t="s">
        <v>4443</v>
      </c>
      <c r="D22" s="66">
        <v>3</v>
      </c>
      <c r="E22" s="67"/>
      <c r="F22" s="68">
        <v>40</v>
      </c>
      <c r="G22" s="65"/>
      <c r="H22" s="69"/>
      <c r="I22" s="70"/>
      <c r="J22" s="70"/>
      <c r="K22" s="34" t="s">
        <v>65</v>
      </c>
      <c r="L22" s="77">
        <v>22</v>
      </c>
      <c r="M22" s="77"/>
      <c r="N22" s="72"/>
      <c r="O22" s="79" t="s">
        <v>610</v>
      </c>
      <c r="P22" s="79">
        <v>1</v>
      </c>
      <c r="Q22" s="78" t="str">
        <f>REPLACE(INDEX(GroupVertices[Group],MATCH(Edges[[#This Row],[Vertex 1]],GroupVertices[Vertex],0)),1,1,"")</f>
        <v>nlineCEUCredit</v>
      </c>
      <c r="R22" s="78" t="str">
        <f>REPLACE(INDEX(GroupVertices[Group],MATCH(Edges[[#This Row],[Vertex 2]],GroupVertices[Vertex],0)),1,1,"")</f>
        <v>nlineCEUCredit</v>
      </c>
    </row>
    <row r="23" spans="1:18" ht="15">
      <c r="A23" s="64" t="s">
        <v>216</v>
      </c>
      <c r="B23" s="64" t="s">
        <v>393</v>
      </c>
      <c r="C23" s="65" t="s">
        <v>4443</v>
      </c>
      <c r="D23" s="66">
        <v>3</v>
      </c>
      <c r="E23" s="67"/>
      <c r="F23" s="68">
        <v>40</v>
      </c>
      <c r="G23" s="65"/>
      <c r="H23" s="69"/>
      <c r="I23" s="70"/>
      <c r="J23" s="70"/>
      <c r="K23" s="34" t="s">
        <v>65</v>
      </c>
      <c r="L23" s="77">
        <v>23</v>
      </c>
      <c r="M23" s="77"/>
      <c r="N23" s="72"/>
      <c r="O23" s="79" t="s">
        <v>610</v>
      </c>
      <c r="P23" s="79">
        <v>1</v>
      </c>
      <c r="Q23" s="78" t="str">
        <f>REPLACE(INDEX(GroupVertices[Group],MATCH(Edges[[#This Row],[Vertex 1]],GroupVertices[Vertex],0)),1,1,"")</f>
        <v>otcaster bot</v>
      </c>
      <c r="R23" s="78" t="str">
        <f>REPLACE(INDEX(GroupVertices[Group],MATCH(Edges[[#This Row],[Vertex 2]],GroupVertices[Vertex],0)),1,1,"")</f>
        <v>outube Dictionary</v>
      </c>
    </row>
    <row r="24" spans="1:18" ht="15">
      <c r="A24" s="64" t="s">
        <v>216</v>
      </c>
      <c r="B24" s="64" t="s">
        <v>392</v>
      </c>
      <c r="C24" s="65" t="s">
        <v>4443</v>
      </c>
      <c r="D24" s="66">
        <v>3</v>
      </c>
      <c r="E24" s="67"/>
      <c r="F24" s="68">
        <v>40</v>
      </c>
      <c r="G24" s="65"/>
      <c r="H24" s="69"/>
      <c r="I24" s="70"/>
      <c r="J24" s="70"/>
      <c r="K24" s="34" t="s">
        <v>65</v>
      </c>
      <c r="L24" s="77">
        <v>24</v>
      </c>
      <c r="M24" s="77"/>
      <c r="N24" s="72"/>
      <c r="O24" s="79" t="s">
        <v>610</v>
      </c>
      <c r="P24" s="79">
        <v>1</v>
      </c>
      <c r="Q24" s="78" t="str">
        <f>REPLACE(INDEX(GroupVertices[Group],MATCH(Edges[[#This Row],[Vertex 1]],GroupVertices[Vertex],0)),1,1,"")</f>
        <v>otcaster bot</v>
      </c>
      <c r="R24" s="78" t="str">
        <f>REPLACE(INDEX(GroupVertices[Group],MATCH(Edges[[#This Row],[Vertex 2]],GroupVertices[Vertex],0)),1,1,"")</f>
        <v>otcaster bot</v>
      </c>
    </row>
    <row r="25" spans="1:18" ht="15">
      <c r="A25" s="64" t="s">
        <v>216</v>
      </c>
      <c r="B25" s="64" t="s">
        <v>394</v>
      </c>
      <c r="C25" s="65" t="s">
        <v>4443</v>
      </c>
      <c r="D25" s="66">
        <v>3</v>
      </c>
      <c r="E25" s="67"/>
      <c r="F25" s="68">
        <v>40</v>
      </c>
      <c r="G25" s="65"/>
      <c r="H25" s="69"/>
      <c r="I25" s="70"/>
      <c r="J25" s="70"/>
      <c r="K25" s="34" t="s">
        <v>65</v>
      </c>
      <c r="L25" s="77">
        <v>25</v>
      </c>
      <c r="M25" s="77"/>
      <c r="N25" s="72"/>
      <c r="O25" s="79" t="s">
        <v>610</v>
      </c>
      <c r="P25" s="79">
        <v>1</v>
      </c>
      <c r="Q25" s="78" t="str">
        <f>REPLACE(INDEX(GroupVertices[Group],MATCH(Edges[[#This Row],[Vertex 1]],GroupVertices[Vertex],0)),1,1,"")</f>
        <v>otcaster bot</v>
      </c>
      <c r="R25" s="78" t="str">
        <f>REPLACE(INDEX(GroupVertices[Group],MATCH(Edges[[#This Row],[Vertex 2]],GroupVertices[Vertex],0)),1,1,"")</f>
        <v>ARE.™️</v>
      </c>
    </row>
    <row r="26" spans="1:18" ht="15">
      <c r="A26" s="64" t="s">
        <v>216</v>
      </c>
      <c r="B26" s="64" t="s">
        <v>395</v>
      </c>
      <c r="C26" s="65" t="s">
        <v>4443</v>
      </c>
      <c r="D26" s="66">
        <v>3</v>
      </c>
      <c r="E26" s="67"/>
      <c r="F26" s="68">
        <v>40</v>
      </c>
      <c r="G26" s="65"/>
      <c r="H26" s="69"/>
      <c r="I26" s="70"/>
      <c r="J26" s="70"/>
      <c r="K26" s="34" t="s">
        <v>65</v>
      </c>
      <c r="L26" s="77">
        <v>26</v>
      </c>
      <c r="M26" s="77"/>
      <c r="N26" s="72"/>
      <c r="O26" s="79" t="s">
        <v>610</v>
      </c>
      <c r="P26" s="79">
        <v>1</v>
      </c>
      <c r="Q26" s="78" t="str">
        <f>REPLACE(INDEX(GroupVertices[Group],MATCH(Edges[[#This Row],[Vertex 1]],GroupVertices[Vertex],0)),1,1,"")</f>
        <v>otcaster bot</v>
      </c>
      <c r="R26" s="78" t="str">
        <f>REPLACE(INDEX(GroupVertices[Group],MATCH(Edges[[#This Row],[Vertex 2]],GroupVertices[Vertex],0)),1,1,"")</f>
        <v>he Radiographer</v>
      </c>
    </row>
    <row r="27" spans="1:18" ht="15">
      <c r="A27" s="64" t="s">
        <v>216</v>
      </c>
      <c r="B27" s="64" t="s">
        <v>396</v>
      </c>
      <c r="C27" s="65" t="s">
        <v>4443</v>
      </c>
      <c r="D27" s="66">
        <v>3</v>
      </c>
      <c r="E27" s="67"/>
      <c r="F27" s="68">
        <v>40</v>
      </c>
      <c r="G27" s="65"/>
      <c r="H27" s="69"/>
      <c r="I27" s="70"/>
      <c r="J27" s="70"/>
      <c r="K27" s="34" t="s">
        <v>65</v>
      </c>
      <c r="L27" s="77">
        <v>27</v>
      </c>
      <c r="M27" s="77"/>
      <c r="N27" s="72"/>
      <c r="O27" s="79" t="s">
        <v>610</v>
      </c>
      <c r="P27" s="79">
        <v>1</v>
      </c>
      <c r="Q27" s="78" t="str">
        <f>REPLACE(INDEX(GroupVertices[Group],MATCH(Edges[[#This Row],[Vertex 1]],GroupVertices[Vertex],0)),1,1,"")</f>
        <v>otcaster bot</v>
      </c>
      <c r="R27" s="78" t="str">
        <f>REPLACE(INDEX(GroupVertices[Group],MATCH(Edges[[#This Row],[Vertex 2]],GroupVertices[Vertex],0)),1,1,"")</f>
        <v>otcaster bot</v>
      </c>
    </row>
    <row r="28" spans="1:18" ht="15">
      <c r="A28" s="64" t="s">
        <v>216</v>
      </c>
      <c r="B28" s="64" t="s">
        <v>252</v>
      </c>
      <c r="C28" s="65" t="s">
        <v>4443</v>
      </c>
      <c r="D28" s="66">
        <v>3</v>
      </c>
      <c r="E28" s="67"/>
      <c r="F28" s="68">
        <v>40</v>
      </c>
      <c r="G28" s="65"/>
      <c r="H28" s="69"/>
      <c r="I28" s="70"/>
      <c r="J28" s="70"/>
      <c r="K28" s="34" t="s">
        <v>65</v>
      </c>
      <c r="L28" s="77">
        <v>28</v>
      </c>
      <c r="M28" s="77"/>
      <c r="N28" s="72"/>
      <c r="O28" s="79" t="s">
        <v>610</v>
      </c>
      <c r="P28" s="79">
        <v>1</v>
      </c>
      <c r="Q28" s="78" t="str">
        <f>REPLACE(INDEX(GroupVertices[Group],MATCH(Edges[[#This Row],[Vertex 1]],GroupVertices[Vertex],0)),1,1,"")</f>
        <v>otcaster bot</v>
      </c>
      <c r="R28" s="78" t="str">
        <f>REPLACE(INDEX(GroupVertices[Group],MATCH(Edges[[#This Row],[Vertex 2]],GroupVertices[Vertex],0)),1,1,"")</f>
        <v>G)I-DLE (여자)아이들 (Official YouTube Channel)</v>
      </c>
    </row>
    <row r="29" spans="1:18" ht="15">
      <c r="A29" s="64" t="s">
        <v>216</v>
      </c>
      <c r="B29" s="64" t="s">
        <v>253</v>
      </c>
      <c r="C29" s="65" t="s">
        <v>4443</v>
      </c>
      <c r="D29" s="66">
        <v>3</v>
      </c>
      <c r="E29" s="67"/>
      <c r="F29" s="68">
        <v>40</v>
      </c>
      <c r="G29" s="65"/>
      <c r="H29" s="69"/>
      <c r="I29" s="70"/>
      <c r="J29" s="70"/>
      <c r="K29" s="34" t="s">
        <v>65</v>
      </c>
      <c r="L29" s="77">
        <v>29</v>
      </c>
      <c r="M29" s="77"/>
      <c r="N29" s="72"/>
      <c r="O29" s="79" t="s">
        <v>610</v>
      </c>
      <c r="P29" s="79">
        <v>1</v>
      </c>
      <c r="Q29" s="78" t="str">
        <f>REPLACE(INDEX(GroupVertices[Group],MATCH(Edges[[#This Row],[Vertex 1]],GroupVertices[Vertex],0)),1,1,"")</f>
        <v>otcaster bot</v>
      </c>
      <c r="R29" s="78" t="str">
        <f>REPLACE(INDEX(GroupVertices[Group],MATCH(Edges[[#This Row],[Vertex 2]],GroupVertices[Vertex],0)),1,1,"")</f>
        <v>etflix</v>
      </c>
    </row>
    <row r="30" spans="1:18" ht="15">
      <c r="A30" s="64" t="s">
        <v>216</v>
      </c>
      <c r="B30" s="64" t="s">
        <v>261</v>
      </c>
      <c r="C30" s="65" t="s">
        <v>4443</v>
      </c>
      <c r="D30" s="66">
        <v>3</v>
      </c>
      <c r="E30" s="67"/>
      <c r="F30" s="68">
        <v>40</v>
      </c>
      <c r="G30" s="65"/>
      <c r="H30" s="69"/>
      <c r="I30" s="70"/>
      <c r="J30" s="70"/>
      <c r="K30" s="34" t="s">
        <v>65</v>
      </c>
      <c r="L30" s="77">
        <v>30</v>
      </c>
      <c r="M30" s="77"/>
      <c r="N30" s="72"/>
      <c r="O30" s="79" t="s">
        <v>610</v>
      </c>
      <c r="P30" s="79">
        <v>1</v>
      </c>
      <c r="Q30" s="78" t="str">
        <f>REPLACE(INDEX(GroupVertices[Group],MATCH(Edges[[#This Row],[Vertex 1]],GroupVertices[Vertex],0)),1,1,"")</f>
        <v>otcaster bot</v>
      </c>
      <c r="R30" s="78" t="str">
        <f>REPLACE(INDEX(GroupVertices[Group],MATCH(Edges[[#This Row],[Vertex 2]],GroupVertices[Vertex],0)),1,1,"")</f>
        <v>arkiplier</v>
      </c>
    </row>
    <row r="31" spans="1:18" ht="15">
      <c r="A31" s="64" t="s">
        <v>216</v>
      </c>
      <c r="B31" s="64" t="s">
        <v>262</v>
      </c>
      <c r="C31" s="65" t="s">
        <v>4443</v>
      </c>
      <c r="D31" s="66">
        <v>3</v>
      </c>
      <c r="E31" s="67"/>
      <c r="F31" s="68">
        <v>40</v>
      </c>
      <c r="G31" s="65"/>
      <c r="H31" s="69"/>
      <c r="I31" s="70"/>
      <c r="J31" s="70"/>
      <c r="K31" s="34" t="s">
        <v>65</v>
      </c>
      <c r="L31" s="77">
        <v>31</v>
      </c>
      <c r="M31" s="77"/>
      <c r="N31" s="72"/>
      <c r="O31" s="79" t="s">
        <v>610</v>
      </c>
      <c r="P31" s="79">
        <v>1</v>
      </c>
      <c r="Q31" s="78" t="str">
        <f>REPLACE(INDEX(GroupVertices[Group],MATCH(Edges[[#This Row],[Vertex 1]],GroupVertices[Vertex],0)),1,1,"")</f>
        <v>otcaster bot</v>
      </c>
      <c r="R31" s="78" t="str">
        <f>REPLACE(INDEX(GroupVertices[Group],MATCH(Edges[[#This Row],[Vertex 2]],GroupVertices[Vertex],0)),1,1,"")</f>
        <v>ractical Engineering</v>
      </c>
    </row>
    <row r="32" spans="1:18" ht="15">
      <c r="A32" s="64" t="s">
        <v>216</v>
      </c>
      <c r="B32" s="64" t="s">
        <v>254</v>
      </c>
      <c r="C32" s="65" t="s">
        <v>4443</v>
      </c>
      <c r="D32" s="66">
        <v>3</v>
      </c>
      <c r="E32" s="67"/>
      <c r="F32" s="68">
        <v>40</v>
      </c>
      <c r="G32" s="65"/>
      <c r="H32" s="69"/>
      <c r="I32" s="70"/>
      <c r="J32" s="70"/>
      <c r="K32" s="34" t="s">
        <v>65</v>
      </c>
      <c r="L32" s="77">
        <v>32</v>
      </c>
      <c r="M32" s="77"/>
      <c r="N32" s="72"/>
      <c r="O32" s="79" t="s">
        <v>610</v>
      </c>
      <c r="P32" s="79">
        <v>1</v>
      </c>
      <c r="Q32" s="78" t="str">
        <f>REPLACE(INDEX(GroupVertices[Group],MATCH(Edges[[#This Row],[Vertex 1]],GroupVertices[Vertex],0)),1,1,"")</f>
        <v>otcaster bot</v>
      </c>
      <c r="R32" s="78" t="str">
        <f>REPLACE(INDEX(GroupVertices[Group],MATCH(Edges[[#This Row],[Vertex 2]],GroupVertices[Vertex],0)),1,1,"")</f>
        <v>lash of Clans</v>
      </c>
    </row>
    <row r="33" spans="1:18" ht="15">
      <c r="A33" s="64" t="s">
        <v>216</v>
      </c>
      <c r="B33" s="64" t="s">
        <v>255</v>
      </c>
      <c r="C33" s="65" t="s">
        <v>4443</v>
      </c>
      <c r="D33" s="66">
        <v>3</v>
      </c>
      <c r="E33" s="67"/>
      <c r="F33" s="68">
        <v>40</v>
      </c>
      <c r="G33" s="65"/>
      <c r="H33" s="69"/>
      <c r="I33" s="70"/>
      <c r="J33" s="70"/>
      <c r="K33" s="34" t="s">
        <v>65</v>
      </c>
      <c r="L33" s="77">
        <v>33</v>
      </c>
      <c r="M33" s="77"/>
      <c r="N33" s="72"/>
      <c r="O33" s="79" t="s">
        <v>610</v>
      </c>
      <c r="P33" s="79">
        <v>1</v>
      </c>
      <c r="Q33" s="78" t="str">
        <f>REPLACE(INDEX(GroupVertices[Group],MATCH(Edges[[#This Row],[Vertex 1]],GroupVertices[Vertex],0)),1,1,"")</f>
        <v>otcaster bot</v>
      </c>
      <c r="R33" s="78" t="str">
        <f>REPLACE(INDEX(GroupVertices[Group],MATCH(Edges[[#This Row],[Vertex 2]],GroupVertices[Vertex],0)),1,1,"")</f>
        <v>et's Game It Out</v>
      </c>
    </row>
    <row r="34" spans="1:18" ht="15">
      <c r="A34" s="64" t="s">
        <v>216</v>
      </c>
      <c r="B34" s="64" t="s">
        <v>263</v>
      </c>
      <c r="C34" s="65" t="s">
        <v>4443</v>
      </c>
      <c r="D34" s="66">
        <v>3</v>
      </c>
      <c r="E34" s="67"/>
      <c r="F34" s="68">
        <v>40</v>
      </c>
      <c r="G34" s="65"/>
      <c r="H34" s="69"/>
      <c r="I34" s="70"/>
      <c r="J34" s="70"/>
      <c r="K34" s="34" t="s">
        <v>65</v>
      </c>
      <c r="L34" s="77">
        <v>34</v>
      </c>
      <c r="M34" s="77"/>
      <c r="N34" s="72"/>
      <c r="O34" s="79" t="s">
        <v>610</v>
      </c>
      <c r="P34" s="79">
        <v>1</v>
      </c>
      <c r="Q34" s="78" t="str">
        <f>REPLACE(INDEX(GroupVertices[Group],MATCH(Edges[[#This Row],[Vertex 1]],GroupVertices[Vertex],0)),1,1,"")</f>
        <v>otcaster bot</v>
      </c>
      <c r="R34" s="78" t="str">
        <f>REPLACE(INDEX(GroupVertices[Group],MATCH(Edges[[#This Row],[Vertex 2]],GroupVertices[Vertex],0)),1,1,"")</f>
        <v>ncognito Mode</v>
      </c>
    </row>
    <row r="35" spans="1:18" ht="15">
      <c r="A35" s="64" t="s">
        <v>216</v>
      </c>
      <c r="B35" s="64" t="s">
        <v>256</v>
      </c>
      <c r="C35" s="65" t="s">
        <v>4443</v>
      </c>
      <c r="D35" s="66">
        <v>3</v>
      </c>
      <c r="E35" s="67"/>
      <c r="F35" s="68">
        <v>40</v>
      </c>
      <c r="G35" s="65"/>
      <c r="H35" s="69"/>
      <c r="I35" s="70"/>
      <c r="J35" s="70"/>
      <c r="K35" s="34" t="s">
        <v>65</v>
      </c>
      <c r="L35" s="77">
        <v>35</v>
      </c>
      <c r="M35" s="77"/>
      <c r="N35" s="72"/>
      <c r="O35" s="79" t="s">
        <v>610</v>
      </c>
      <c r="P35" s="79">
        <v>1</v>
      </c>
      <c r="Q35" s="78" t="str">
        <f>REPLACE(INDEX(GroupVertices[Group],MATCH(Edges[[#This Row],[Vertex 1]],GroupVertices[Vertex],0)),1,1,"")</f>
        <v>otcaster bot</v>
      </c>
      <c r="R35" s="78" t="str">
        <f>REPLACE(INDEX(GroupVertices[Group],MATCH(Edges[[#This Row],[Vertex 2]],GroupVertices[Vertex],0)),1,1,"")</f>
        <v>arques Brownlee</v>
      </c>
    </row>
    <row r="36" spans="1:18" ht="15">
      <c r="A36" s="64" t="s">
        <v>216</v>
      </c>
      <c r="B36" s="64" t="s">
        <v>257</v>
      </c>
      <c r="C36" s="65" t="s">
        <v>4443</v>
      </c>
      <c r="D36" s="66">
        <v>3</v>
      </c>
      <c r="E36" s="67"/>
      <c r="F36" s="68">
        <v>40</v>
      </c>
      <c r="G36" s="65"/>
      <c r="H36" s="69"/>
      <c r="I36" s="70"/>
      <c r="J36" s="70"/>
      <c r="K36" s="34" t="s">
        <v>65</v>
      </c>
      <c r="L36" s="77">
        <v>36</v>
      </c>
      <c r="M36" s="77"/>
      <c r="N36" s="72"/>
      <c r="O36" s="79" t="s">
        <v>610</v>
      </c>
      <c r="P36" s="79">
        <v>1</v>
      </c>
      <c r="Q36" s="78" t="str">
        <f>REPLACE(INDEX(GroupVertices[Group],MATCH(Edges[[#This Row],[Vertex 1]],GroupVertices[Vertex],0)),1,1,"")</f>
        <v>otcaster bot</v>
      </c>
      <c r="R36" s="78" t="str">
        <f>REPLACE(INDEX(GroupVertices[Group],MATCH(Edges[[#This Row],[Vertex 2]],GroupVertices[Vertex],0)),1,1,"")</f>
        <v>rchitectural Digest</v>
      </c>
    </row>
    <row r="37" spans="1:18" ht="15">
      <c r="A37" s="64" t="s">
        <v>216</v>
      </c>
      <c r="B37" s="64" t="s">
        <v>258</v>
      </c>
      <c r="C37" s="65" t="s">
        <v>4443</v>
      </c>
      <c r="D37" s="66">
        <v>3</v>
      </c>
      <c r="E37" s="67"/>
      <c r="F37" s="68">
        <v>40</v>
      </c>
      <c r="G37" s="65"/>
      <c r="H37" s="69"/>
      <c r="I37" s="70"/>
      <c r="J37" s="70"/>
      <c r="K37" s="34" t="s">
        <v>65</v>
      </c>
      <c r="L37" s="77">
        <v>37</v>
      </c>
      <c r="M37" s="77"/>
      <c r="N37" s="72"/>
      <c r="O37" s="79" t="s">
        <v>610</v>
      </c>
      <c r="P37" s="79">
        <v>1</v>
      </c>
      <c r="Q37" s="78" t="str">
        <f>REPLACE(INDEX(GroupVertices[Group],MATCH(Edges[[#This Row],[Vertex 1]],GroupVertices[Vertex],0)),1,1,"")</f>
        <v>otcaster bot</v>
      </c>
      <c r="R37" s="78" t="str">
        <f>REPLACE(INDEX(GroupVertices[Group],MATCH(Edges[[#This Row],[Vertex 2]],GroupVertices[Vertex],0)),1,1,"")</f>
        <v>alt Disney Studios</v>
      </c>
    </row>
    <row r="38" spans="1:18" ht="15">
      <c r="A38" s="64" t="s">
        <v>216</v>
      </c>
      <c r="B38" s="64" t="s">
        <v>259</v>
      </c>
      <c r="C38" s="65" t="s">
        <v>4443</v>
      </c>
      <c r="D38" s="66">
        <v>3</v>
      </c>
      <c r="E38" s="67"/>
      <c r="F38" s="68">
        <v>40</v>
      </c>
      <c r="G38" s="65"/>
      <c r="H38" s="69"/>
      <c r="I38" s="70"/>
      <c r="J38" s="70"/>
      <c r="K38" s="34" t="s">
        <v>65</v>
      </c>
      <c r="L38" s="77">
        <v>38</v>
      </c>
      <c r="M38" s="77"/>
      <c r="N38" s="72"/>
      <c r="O38" s="79" t="s">
        <v>610</v>
      </c>
      <c r="P38" s="79">
        <v>1</v>
      </c>
      <c r="Q38" s="78" t="str">
        <f>REPLACE(INDEX(GroupVertices[Group],MATCH(Edges[[#This Row],[Vertex 1]],GroupVertices[Vertex],0)),1,1,"")</f>
        <v>otcaster bot</v>
      </c>
      <c r="R38" s="78" t="str">
        <f>REPLACE(INDEX(GroupVertices[Group],MATCH(Edges[[#This Row],[Vertex 2]],GroupVertices[Vertex],0)),1,1,"")</f>
        <v>kip and Shannon: UNDISPUTED</v>
      </c>
    </row>
    <row r="39" spans="1:18" ht="15">
      <c r="A39" s="64" t="s">
        <v>216</v>
      </c>
      <c r="B39" s="64" t="s">
        <v>260</v>
      </c>
      <c r="C39" s="65" t="s">
        <v>4443</v>
      </c>
      <c r="D39" s="66">
        <v>3</v>
      </c>
      <c r="E39" s="67"/>
      <c r="F39" s="68">
        <v>40</v>
      </c>
      <c r="G39" s="65"/>
      <c r="H39" s="69"/>
      <c r="I39" s="70"/>
      <c r="J39" s="70"/>
      <c r="K39" s="34" t="s">
        <v>65</v>
      </c>
      <c r="L39" s="77">
        <v>39</v>
      </c>
      <c r="M39" s="77"/>
      <c r="N39" s="72"/>
      <c r="O39" s="79" t="s">
        <v>610</v>
      </c>
      <c r="P39" s="79">
        <v>1</v>
      </c>
      <c r="Q39" s="78" t="str">
        <f>REPLACE(INDEX(GroupVertices[Group],MATCH(Edges[[#This Row],[Vertex 1]],GroupVertices[Vertex],0)),1,1,"")</f>
        <v>otcaster bot</v>
      </c>
      <c r="R39" s="78" t="str">
        <f>REPLACE(INDEX(GroupVertices[Group],MATCH(Edges[[#This Row],[Vertex 2]],GroupVertices[Vertex],0)),1,1,"")</f>
        <v>hakira</v>
      </c>
    </row>
    <row r="40" spans="1:18" ht="15">
      <c r="A40" s="64" t="s">
        <v>216</v>
      </c>
      <c r="B40" s="64" t="s">
        <v>2161</v>
      </c>
      <c r="C40" s="65" t="s">
        <v>4443</v>
      </c>
      <c r="D40" s="66">
        <v>3</v>
      </c>
      <c r="E40" s="67"/>
      <c r="F40" s="68">
        <v>40</v>
      </c>
      <c r="G40" s="65"/>
      <c r="H40" s="69"/>
      <c r="I40" s="70"/>
      <c r="J40" s="70"/>
      <c r="K40" s="34" t="s">
        <v>65</v>
      </c>
      <c r="L40" s="77">
        <v>40</v>
      </c>
      <c r="M40" s="77"/>
      <c r="N40" s="72"/>
      <c r="O40" s="79" t="s">
        <v>610</v>
      </c>
      <c r="P40" s="79">
        <v>1</v>
      </c>
      <c r="Q40" s="78" t="str">
        <f>REPLACE(INDEX(GroupVertices[Group],MATCH(Edges[[#This Row],[Vertex 1]],GroupVertices[Vertex],0)),1,1,"")</f>
        <v>otcaster bot</v>
      </c>
      <c r="R40" s="78" t="str">
        <f>REPLACE(INDEX(GroupVertices[Group],MATCH(Edges[[#This Row],[Vertex 2]],GroupVertices[Vertex],0)),1,1,"")</f>
        <v>LS Online CSIR-NET Life Science, GATE BT&amp;XL, DBT</v>
      </c>
    </row>
    <row r="41" spans="1:18" ht="15">
      <c r="A41" s="64" t="s">
        <v>203</v>
      </c>
      <c r="B41" s="64" t="s">
        <v>346</v>
      </c>
      <c r="C41" s="65" t="s">
        <v>4443</v>
      </c>
      <c r="D41" s="66">
        <v>3</v>
      </c>
      <c r="E41" s="67"/>
      <c r="F41" s="68">
        <v>40</v>
      </c>
      <c r="G41" s="65"/>
      <c r="H41" s="69"/>
      <c r="I41" s="70"/>
      <c r="J41" s="70"/>
      <c r="K41" s="34" t="s">
        <v>65</v>
      </c>
      <c r="L41" s="77">
        <v>41</v>
      </c>
      <c r="M41" s="77"/>
      <c r="N41" s="72"/>
      <c r="O41" s="79" t="s">
        <v>610</v>
      </c>
      <c r="P41" s="79">
        <v>1</v>
      </c>
      <c r="Q41" s="78" t="str">
        <f>REPLACE(INDEX(GroupVertices[Group],MATCH(Edges[[#This Row],[Vertex 1]],GroupVertices[Vertex],0)),1,1,"")</f>
        <v>nlineCEUCredit</v>
      </c>
      <c r="R41" s="78" t="str">
        <f>REPLACE(INDEX(GroupVertices[Group],MATCH(Edges[[#This Row],[Vertex 2]],GroupVertices[Vertex],0)),1,1,"")</f>
        <v>nlineCEUCredit</v>
      </c>
    </row>
    <row r="42" spans="1:18" ht="15">
      <c r="A42" s="64" t="s">
        <v>203</v>
      </c>
      <c r="B42" s="64" t="s">
        <v>334</v>
      </c>
      <c r="C42" s="65" t="s">
        <v>4443</v>
      </c>
      <c r="D42" s="66">
        <v>3</v>
      </c>
      <c r="E42" s="67"/>
      <c r="F42" s="68">
        <v>40</v>
      </c>
      <c r="G42" s="65"/>
      <c r="H42" s="69"/>
      <c r="I42" s="70"/>
      <c r="J42" s="70"/>
      <c r="K42" s="34" t="s">
        <v>65</v>
      </c>
      <c r="L42" s="77">
        <v>42</v>
      </c>
      <c r="M42" s="77"/>
      <c r="N42" s="72"/>
      <c r="O42" s="79" t="s">
        <v>610</v>
      </c>
      <c r="P42" s="79">
        <v>1</v>
      </c>
      <c r="Q42" s="78" t="str">
        <f>REPLACE(INDEX(GroupVertices[Group],MATCH(Edges[[#This Row],[Vertex 1]],GroupVertices[Vertex],0)),1,1,"")</f>
        <v>nlineCEUCredit</v>
      </c>
      <c r="R42" s="78" t="str">
        <f>REPLACE(INDEX(GroupVertices[Group],MATCH(Edges[[#This Row],[Vertex 2]],GroupVertices[Vertex],0)),1,1,"")</f>
        <v>nlineCEUCredit</v>
      </c>
    </row>
    <row r="43" spans="1:18" ht="15">
      <c r="A43" s="64" t="s">
        <v>203</v>
      </c>
      <c r="B43" s="64" t="s">
        <v>333</v>
      </c>
      <c r="C43" s="65" t="s">
        <v>4443</v>
      </c>
      <c r="D43" s="66">
        <v>3</v>
      </c>
      <c r="E43" s="67"/>
      <c r="F43" s="68">
        <v>40</v>
      </c>
      <c r="G43" s="65"/>
      <c r="H43" s="69"/>
      <c r="I43" s="70"/>
      <c r="J43" s="70"/>
      <c r="K43" s="34" t="s">
        <v>65</v>
      </c>
      <c r="L43" s="77">
        <v>43</v>
      </c>
      <c r="M43" s="77"/>
      <c r="N43" s="72"/>
      <c r="O43" s="79" t="s">
        <v>610</v>
      </c>
      <c r="P43" s="79">
        <v>1</v>
      </c>
      <c r="Q43" s="78" t="str">
        <f>REPLACE(INDEX(GroupVertices[Group],MATCH(Edges[[#This Row],[Vertex 1]],GroupVertices[Vertex],0)),1,1,"")</f>
        <v>nlineCEUCredit</v>
      </c>
      <c r="R43" s="78" t="str">
        <f>REPLACE(INDEX(GroupVertices[Group],MATCH(Edges[[#This Row],[Vertex 2]],GroupVertices[Vertex],0)),1,1,"")</f>
        <v>nlineCEUCredit</v>
      </c>
    </row>
    <row r="44" spans="1:18" ht="15">
      <c r="A44" s="64" t="s">
        <v>203</v>
      </c>
      <c r="B44" s="64" t="s">
        <v>345</v>
      </c>
      <c r="C44" s="65" t="s">
        <v>4443</v>
      </c>
      <c r="D44" s="66">
        <v>3</v>
      </c>
      <c r="E44" s="67"/>
      <c r="F44" s="68">
        <v>40</v>
      </c>
      <c r="G44" s="65"/>
      <c r="H44" s="69"/>
      <c r="I44" s="70"/>
      <c r="J44" s="70"/>
      <c r="K44" s="34" t="s">
        <v>65</v>
      </c>
      <c r="L44" s="77">
        <v>44</v>
      </c>
      <c r="M44" s="77"/>
      <c r="N44" s="72"/>
      <c r="O44" s="79" t="s">
        <v>610</v>
      </c>
      <c r="P44" s="79">
        <v>1</v>
      </c>
      <c r="Q44" s="78" t="str">
        <f>REPLACE(INDEX(GroupVertices[Group],MATCH(Edges[[#This Row],[Vertex 1]],GroupVertices[Vertex],0)),1,1,"")</f>
        <v>nlineCEUCredit</v>
      </c>
      <c r="R44" s="78" t="str">
        <f>REPLACE(INDEX(GroupVertices[Group],MATCH(Edges[[#This Row],[Vertex 2]],GroupVertices[Vertex],0)),1,1,"")</f>
        <v>nlineCEUCredit</v>
      </c>
    </row>
    <row r="45" spans="1:18" ht="15">
      <c r="A45" s="64" t="s">
        <v>203</v>
      </c>
      <c r="B45" s="64" t="s">
        <v>336</v>
      </c>
      <c r="C45" s="65" t="s">
        <v>4443</v>
      </c>
      <c r="D45" s="66">
        <v>3</v>
      </c>
      <c r="E45" s="67"/>
      <c r="F45" s="68">
        <v>40</v>
      </c>
      <c r="G45" s="65"/>
      <c r="H45" s="69"/>
      <c r="I45" s="70"/>
      <c r="J45" s="70"/>
      <c r="K45" s="34" t="s">
        <v>65</v>
      </c>
      <c r="L45" s="77">
        <v>45</v>
      </c>
      <c r="M45" s="77"/>
      <c r="N45" s="72"/>
      <c r="O45" s="79" t="s">
        <v>610</v>
      </c>
      <c r="P45" s="79">
        <v>1</v>
      </c>
      <c r="Q45" s="78" t="str">
        <f>REPLACE(INDEX(GroupVertices[Group],MATCH(Edges[[#This Row],[Vertex 1]],GroupVertices[Vertex],0)),1,1,"")</f>
        <v>nlineCEUCredit</v>
      </c>
      <c r="R45" s="78" t="str">
        <f>REPLACE(INDEX(GroupVertices[Group],MATCH(Edges[[#This Row],[Vertex 2]],GroupVertices[Vertex],0)),1,1,"")</f>
        <v>nlineCEUCredit</v>
      </c>
    </row>
    <row r="46" spans="1:18" ht="15">
      <c r="A46" s="64" t="s">
        <v>203</v>
      </c>
      <c r="B46" s="64" t="s">
        <v>338</v>
      </c>
      <c r="C46" s="65" t="s">
        <v>4443</v>
      </c>
      <c r="D46" s="66">
        <v>3</v>
      </c>
      <c r="E46" s="67"/>
      <c r="F46" s="68">
        <v>40</v>
      </c>
      <c r="G46" s="65"/>
      <c r="H46" s="69"/>
      <c r="I46" s="70"/>
      <c r="J46" s="70"/>
      <c r="K46" s="34" t="s">
        <v>65</v>
      </c>
      <c r="L46" s="77">
        <v>46</v>
      </c>
      <c r="M46" s="77"/>
      <c r="N46" s="72"/>
      <c r="O46" s="79" t="s">
        <v>610</v>
      </c>
      <c r="P46" s="79">
        <v>1</v>
      </c>
      <c r="Q46" s="78" t="str">
        <f>REPLACE(INDEX(GroupVertices[Group],MATCH(Edges[[#This Row],[Vertex 1]],GroupVertices[Vertex],0)),1,1,"")</f>
        <v>nlineCEUCredit</v>
      </c>
      <c r="R46" s="78" t="str">
        <f>REPLACE(INDEX(GroupVertices[Group],MATCH(Edges[[#This Row],[Vertex 2]],GroupVertices[Vertex],0)),1,1,"")</f>
        <v>nlineCEUCredit</v>
      </c>
    </row>
    <row r="47" spans="1:18" ht="15">
      <c r="A47" s="64" t="s">
        <v>203</v>
      </c>
      <c r="B47" s="64" t="s">
        <v>348</v>
      </c>
      <c r="C47" s="65" t="s">
        <v>4443</v>
      </c>
      <c r="D47" s="66">
        <v>3</v>
      </c>
      <c r="E47" s="67"/>
      <c r="F47" s="68">
        <v>40</v>
      </c>
      <c r="G47" s="65"/>
      <c r="H47" s="69"/>
      <c r="I47" s="70"/>
      <c r="J47" s="70"/>
      <c r="K47" s="34" t="s">
        <v>65</v>
      </c>
      <c r="L47" s="77">
        <v>47</v>
      </c>
      <c r="M47" s="77"/>
      <c r="N47" s="72"/>
      <c r="O47" s="79" t="s">
        <v>610</v>
      </c>
      <c r="P47" s="79">
        <v>1</v>
      </c>
      <c r="Q47" s="78" t="str">
        <f>REPLACE(INDEX(GroupVertices[Group],MATCH(Edges[[#This Row],[Vertex 1]],GroupVertices[Vertex],0)),1,1,"")</f>
        <v>nlineCEUCredit</v>
      </c>
      <c r="R47" s="78" t="str">
        <f>REPLACE(INDEX(GroupVertices[Group],MATCH(Edges[[#This Row],[Vertex 2]],GroupVertices[Vertex],0)),1,1,"")</f>
        <v>nlineCEUCredit</v>
      </c>
    </row>
    <row r="48" spans="1:18" ht="15">
      <c r="A48" s="64" t="s">
        <v>203</v>
      </c>
      <c r="B48" s="64" t="s">
        <v>344</v>
      </c>
      <c r="C48" s="65" t="s">
        <v>4443</v>
      </c>
      <c r="D48" s="66">
        <v>3</v>
      </c>
      <c r="E48" s="67"/>
      <c r="F48" s="68">
        <v>40</v>
      </c>
      <c r="G48" s="65"/>
      <c r="H48" s="69"/>
      <c r="I48" s="70"/>
      <c r="J48" s="70"/>
      <c r="K48" s="34" t="s">
        <v>65</v>
      </c>
      <c r="L48" s="77">
        <v>48</v>
      </c>
      <c r="M48" s="77"/>
      <c r="N48" s="72"/>
      <c r="O48" s="79" t="s">
        <v>610</v>
      </c>
      <c r="P48" s="79">
        <v>1</v>
      </c>
      <c r="Q48" s="78" t="str">
        <f>REPLACE(INDEX(GroupVertices[Group],MATCH(Edges[[#This Row],[Vertex 1]],GroupVertices[Vertex],0)),1,1,"")</f>
        <v>nlineCEUCredit</v>
      </c>
      <c r="R48" s="78" t="str">
        <f>REPLACE(INDEX(GroupVertices[Group],MATCH(Edges[[#This Row],[Vertex 2]],GroupVertices[Vertex],0)),1,1,"")</f>
        <v>nlineCEUCredit</v>
      </c>
    </row>
    <row r="49" spans="1:18" ht="15">
      <c r="A49" s="64" t="s">
        <v>203</v>
      </c>
      <c r="B49" s="64" t="s">
        <v>340</v>
      </c>
      <c r="C49" s="65" t="s">
        <v>4443</v>
      </c>
      <c r="D49" s="66">
        <v>3</v>
      </c>
      <c r="E49" s="67"/>
      <c r="F49" s="68">
        <v>40</v>
      </c>
      <c r="G49" s="65"/>
      <c r="H49" s="69"/>
      <c r="I49" s="70"/>
      <c r="J49" s="70"/>
      <c r="K49" s="34" t="s">
        <v>65</v>
      </c>
      <c r="L49" s="77">
        <v>49</v>
      </c>
      <c r="M49" s="77"/>
      <c r="N49" s="72"/>
      <c r="O49" s="79" t="s">
        <v>610</v>
      </c>
      <c r="P49" s="79">
        <v>1</v>
      </c>
      <c r="Q49" s="78" t="str">
        <f>REPLACE(INDEX(GroupVertices[Group],MATCH(Edges[[#This Row],[Vertex 1]],GroupVertices[Vertex],0)),1,1,"")</f>
        <v>nlineCEUCredit</v>
      </c>
      <c r="R49" s="78" t="str">
        <f>REPLACE(INDEX(GroupVertices[Group],MATCH(Edges[[#This Row],[Vertex 2]],GroupVertices[Vertex],0)),1,1,"")</f>
        <v>nlineCEUCredit</v>
      </c>
    </row>
    <row r="50" spans="1:18" ht="15">
      <c r="A50" s="64" t="s">
        <v>203</v>
      </c>
      <c r="B50" s="64" t="s">
        <v>211</v>
      </c>
      <c r="C50" s="65" t="s">
        <v>4443</v>
      </c>
      <c r="D50" s="66">
        <v>3</v>
      </c>
      <c r="E50" s="67"/>
      <c r="F50" s="68">
        <v>40</v>
      </c>
      <c r="G50" s="65"/>
      <c r="H50" s="69"/>
      <c r="I50" s="70"/>
      <c r="J50" s="70"/>
      <c r="K50" s="34" t="s">
        <v>65</v>
      </c>
      <c r="L50" s="77">
        <v>50</v>
      </c>
      <c r="M50" s="77"/>
      <c r="N50" s="72"/>
      <c r="O50" s="79" t="s">
        <v>610</v>
      </c>
      <c r="P50" s="79">
        <v>1</v>
      </c>
      <c r="Q50" s="78" t="str">
        <f>REPLACE(INDEX(GroupVertices[Group],MATCH(Edges[[#This Row],[Vertex 1]],GroupVertices[Vertex],0)),1,1,"")</f>
        <v>nlineCEUCredit</v>
      </c>
      <c r="R50" s="78" t="str">
        <f>REPLACE(INDEX(GroupVertices[Group],MATCH(Edges[[#This Row],[Vertex 2]],GroupVertices[Vertex],0)),1,1,"")</f>
        <v>nlineCEUCredit</v>
      </c>
    </row>
    <row r="51" spans="1:18" ht="15">
      <c r="A51" s="64" t="s">
        <v>203</v>
      </c>
      <c r="B51" s="64" t="s">
        <v>326</v>
      </c>
      <c r="C51" s="65" t="s">
        <v>4443</v>
      </c>
      <c r="D51" s="66">
        <v>3</v>
      </c>
      <c r="E51" s="67"/>
      <c r="F51" s="68">
        <v>40</v>
      </c>
      <c r="G51" s="65"/>
      <c r="H51" s="69"/>
      <c r="I51" s="70"/>
      <c r="J51" s="70"/>
      <c r="K51" s="34" t="s">
        <v>65</v>
      </c>
      <c r="L51" s="77">
        <v>51</v>
      </c>
      <c r="M51" s="77"/>
      <c r="N51" s="72"/>
      <c r="O51" s="79" t="s">
        <v>610</v>
      </c>
      <c r="P51" s="79">
        <v>1</v>
      </c>
      <c r="Q51" s="78" t="str">
        <f>REPLACE(INDEX(GroupVertices[Group],MATCH(Edges[[#This Row],[Vertex 1]],GroupVertices[Vertex],0)),1,1,"")</f>
        <v>nlineCEUCredit</v>
      </c>
      <c r="R51" s="78" t="str">
        <f>REPLACE(INDEX(GroupVertices[Group],MATCH(Edges[[#This Row],[Vertex 2]],GroupVertices[Vertex],0)),1,1,"")</f>
        <v>eady Study Go</v>
      </c>
    </row>
    <row r="52" spans="1:18" ht="15">
      <c r="A52" s="64" t="s">
        <v>203</v>
      </c>
      <c r="B52" s="64" t="s">
        <v>327</v>
      </c>
      <c r="C52" s="65" t="s">
        <v>4443</v>
      </c>
      <c r="D52" s="66">
        <v>3</v>
      </c>
      <c r="E52" s="67"/>
      <c r="F52" s="68">
        <v>40</v>
      </c>
      <c r="G52" s="65"/>
      <c r="H52" s="69"/>
      <c r="I52" s="70"/>
      <c r="J52" s="70"/>
      <c r="K52" s="34" t="s">
        <v>65</v>
      </c>
      <c r="L52" s="77">
        <v>52</v>
      </c>
      <c r="M52" s="77"/>
      <c r="N52" s="72"/>
      <c r="O52" s="79" t="s">
        <v>610</v>
      </c>
      <c r="P52" s="79">
        <v>1</v>
      </c>
      <c r="Q52" s="78" t="str">
        <f>REPLACE(INDEX(GroupVertices[Group],MATCH(Edges[[#This Row],[Vertex 1]],GroupVertices[Vertex],0)),1,1,"")</f>
        <v>nlineCEUCredit</v>
      </c>
      <c r="R52" s="78" t="str">
        <f>REPLACE(INDEX(GroupVertices[Group],MATCH(Edges[[#This Row],[Vertex 2]],GroupVertices[Vertex],0)),1,1,"")</f>
        <v>nlineCEUCredit</v>
      </c>
    </row>
    <row r="53" spans="1:18" ht="15">
      <c r="A53" s="64" t="s">
        <v>203</v>
      </c>
      <c r="B53" s="64" t="s">
        <v>329</v>
      </c>
      <c r="C53" s="65" t="s">
        <v>4443</v>
      </c>
      <c r="D53" s="66">
        <v>3</v>
      </c>
      <c r="E53" s="67"/>
      <c r="F53" s="68">
        <v>40</v>
      </c>
      <c r="G53" s="65"/>
      <c r="H53" s="69"/>
      <c r="I53" s="70"/>
      <c r="J53" s="70"/>
      <c r="K53" s="34" t="s">
        <v>65</v>
      </c>
      <c r="L53" s="77">
        <v>53</v>
      </c>
      <c r="M53" s="77"/>
      <c r="N53" s="72"/>
      <c r="O53" s="79" t="s">
        <v>610</v>
      </c>
      <c r="P53" s="79">
        <v>1</v>
      </c>
      <c r="Q53" s="78" t="str">
        <f>REPLACE(INDEX(GroupVertices[Group],MATCH(Edges[[#This Row],[Vertex 1]],GroupVertices[Vertex],0)),1,1,"")</f>
        <v>nlineCEUCredit</v>
      </c>
      <c r="R53" s="78" t="str">
        <f>REPLACE(INDEX(GroupVertices[Group],MATCH(Edges[[#This Row],[Vertex 2]],GroupVertices[Vertex],0)),1,1,"")</f>
        <v>nlineCEUCredit</v>
      </c>
    </row>
    <row r="54" spans="1:18" ht="15">
      <c r="A54" s="64" t="s">
        <v>203</v>
      </c>
      <c r="B54" s="64" t="s">
        <v>347</v>
      </c>
      <c r="C54" s="65" t="s">
        <v>4443</v>
      </c>
      <c r="D54" s="66">
        <v>3</v>
      </c>
      <c r="E54" s="67"/>
      <c r="F54" s="68">
        <v>40</v>
      </c>
      <c r="G54" s="65"/>
      <c r="H54" s="69"/>
      <c r="I54" s="70"/>
      <c r="J54" s="70"/>
      <c r="K54" s="34" t="s">
        <v>65</v>
      </c>
      <c r="L54" s="77">
        <v>54</v>
      </c>
      <c r="M54" s="77"/>
      <c r="N54" s="72"/>
      <c r="O54" s="79" t="s">
        <v>610</v>
      </c>
      <c r="P54" s="79">
        <v>1</v>
      </c>
      <c r="Q54" s="78" t="str">
        <f>REPLACE(INDEX(GroupVertices[Group],MATCH(Edges[[#This Row],[Vertex 1]],GroupVertices[Vertex],0)),1,1,"")</f>
        <v>nlineCEUCredit</v>
      </c>
      <c r="R54" s="78" t="str">
        <f>REPLACE(INDEX(GroupVertices[Group],MATCH(Edges[[#This Row],[Vertex 2]],GroupVertices[Vertex],0)),1,1,"")</f>
        <v>nlineCEUCredit</v>
      </c>
    </row>
    <row r="55" spans="1:18" ht="15">
      <c r="A55" s="64" t="s">
        <v>203</v>
      </c>
      <c r="B55" s="64" t="s">
        <v>330</v>
      </c>
      <c r="C55" s="65" t="s">
        <v>4443</v>
      </c>
      <c r="D55" s="66">
        <v>3</v>
      </c>
      <c r="E55" s="67"/>
      <c r="F55" s="68">
        <v>40</v>
      </c>
      <c r="G55" s="65"/>
      <c r="H55" s="69"/>
      <c r="I55" s="70"/>
      <c r="J55" s="70"/>
      <c r="K55" s="34" t="s">
        <v>65</v>
      </c>
      <c r="L55" s="77">
        <v>55</v>
      </c>
      <c r="M55" s="77"/>
      <c r="N55" s="72"/>
      <c r="O55" s="79" t="s">
        <v>610</v>
      </c>
      <c r="P55" s="79">
        <v>1</v>
      </c>
      <c r="Q55" s="78" t="str">
        <f>REPLACE(INDEX(GroupVertices[Group],MATCH(Edges[[#This Row],[Vertex 1]],GroupVertices[Vertex],0)),1,1,"")</f>
        <v>nlineCEUCredit</v>
      </c>
      <c r="R55" s="78" t="str">
        <f>REPLACE(INDEX(GroupVertices[Group],MATCH(Edges[[#This Row],[Vertex 2]],GroupVertices[Vertex],0)),1,1,"")</f>
        <v>nlineCEUCredit</v>
      </c>
    </row>
    <row r="56" spans="1:18" ht="15">
      <c r="A56" s="64" t="s">
        <v>203</v>
      </c>
      <c r="B56" s="64" t="s">
        <v>335</v>
      </c>
      <c r="C56" s="65" t="s">
        <v>4443</v>
      </c>
      <c r="D56" s="66">
        <v>3</v>
      </c>
      <c r="E56" s="67"/>
      <c r="F56" s="68">
        <v>40</v>
      </c>
      <c r="G56" s="65"/>
      <c r="H56" s="69"/>
      <c r="I56" s="70"/>
      <c r="J56" s="70"/>
      <c r="K56" s="34" t="s">
        <v>65</v>
      </c>
      <c r="L56" s="77">
        <v>56</v>
      </c>
      <c r="M56" s="77"/>
      <c r="N56" s="72"/>
      <c r="O56" s="79" t="s">
        <v>610</v>
      </c>
      <c r="P56" s="79">
        <v>1</v>
      </c>
      <c r="Q56" s="78" t="str">
        <f>REPLACE(INDEX(GroupVertices[Group],MATCH(Edges[[#This Row],[Vertex 1]],GroupVertices[Vertex],0)),1,1,"")</f>
        <v>nlineCEUCredit</v>
      </c>
      <c r="R56" s="78" t="str">
        <f>REPLACE(INDEX(GroupVertices[Group],MATCH(Edges[[#This Row],[Vertex 2]],GroupVertices[Vertex],0)),1,1,"")</f>
        <v>nlineCEUCredit</v>
      </c>
    </row>
    <row r="57" spans="1:18" ht="15">
      <c r="A57" s="64" t="s">
        <v>203</v>
      </c>
      <c r="B57" s="64" t="s">
        <v>332</v>
      </c>
      <c r="C57" s="65" t="s">
        <v>4443</v>
      </c>
      <c r="D57" s="66">
        <v>3</v>
      </c>
      <c r="E57" s="67"/>
      <c r="F57" s="68">
        <v>40</v>
      </c>
      <c r="G57" s="65"/>
      <c r="H57" s="69"/>
      <c r="I57" s="70"/>
      <c r="J57" s="70"/>
      <c r="K57" s="34" t="s">
        <v>65</v>
      </c>
      <c r="L57" s="77">
        <v>57</v>
      </c>
      <c r="M57" s="77"/>
      <c r="N57" s="72"/>
      <c r="O57" s="79" t="s">
        <v>610</v>
      </c>
      <c r="P57" s="79">
        <v>1</v>
      </c>
      <c r="Q57" s="78" t="str">
        <f>REPLACE(INDEX(GroupVertices[Group],MATCH(Edges[[#This Row],[Vertex 1]],GroupVertices[Vertex],0)),1,1,"")</f>
        <v>nlineCEUCredit</v>
      </c>
      <c r="R57" s="78" t="str">
        <f>REPLACE(INDEX(GroupVertices[Group],MATCH(Edges[[#This Row],[Vertex 2]],GroupVertices[Vertex],0)),1,1,"")</f>
        <v>nlineCEUCredit</v>
      </c>
    </row>
    <row r="58" spans="1:18" ht="15">
      <c r="A58" s="64" t="s">
        <v>203</v>
      </c>
      <c r="B58" s="64" t="s">
        <v>337</v>
      </c>
      <c r="C58" s="65" t="s">
        <v>4443</v>
      </c>
      <c r="D58" s="66">
        <v>3</v>
      </c>
      <c r="E58" s="67"/>
      <c r="F58" s="68">
        <v>40</v>
      </c>
      <c r="G58" s="65"/>
      <c r="H58" s="69"/>
      <c r="I58" s="70"/>
      <c r="J58" s="70"/>
      <c r="K58" s="34" t="s">
        <v>65</v>
      </c>
      <c r="L58" s="77">
        <v>58</v>
      </c>
      <c r="M58" s="77"/>
      <c r="N58" s="72"/>
      <c r="O58" s="79" t="s">
        <v>610</v>
      </c>
      <c r="P58" s="79">
        <v>1</v>
      </c>
      <c r="Q58" s="78" t="str">
        <f>REPLACE(INDEX(GroupVertices[Group],MATCH(Edges[[#This Row],[Vertex 1]],GroupVertices[Vertex],0)),1,1,"")</f>
        <v>nlineCEUCredit</v>
      </c>
      <c r="R58" s="78" t="str">
        <f>REPLACE(INDEX(GroupVertices[Group],MATCH(Edges[[#This Row],[Vertex 2]],GroupVertices[Vertex],0)),1,1,"")</f>
        <v>nlineCEUCredit</v>
      </c>
    </row>
    <row r="59" spans="1:18" ht="15">
      <c r="A59" s="64" t="s">
        <v>203</v>
      </c>
      <c r="B59" s="64" t="s">
        <v>328</v>
      </c>
      <c r="C59" s="65" t="s">
        <v>4443</v>
      </c>
      <c r="D59" s="66">
        <v>3</v>
      </c>
      <c r="E59" s="67"/>
      <c r="F59" s="68">
        <v>40</v>
      </c>
      <c r="G59" s="65"/>
      <c r="H59" s="69"/>
      <c r="I59" s="70"/>
      <c r="J59" s="70"/>
      <c r="K59" s="34" t="s">
        <v>65</v>
      </c>
      <c r="L59" s="77">
        <v>59</v>
      </c>
      <c r="M59" s="77"/>
      <c r="N59" s="72"/>
      <c r="O59" s="79" t="s">
        <v>610</v>
      </c>
      <c r="P59" s="79">
        <v>1</v>
      </c>
      <c r="Q59" s="78" t="str">
        <f>REPLACE(INDEX(GroupVertices[Group],MATCH(Edges[[#This Row],[Vertex 1]],GroupVertices[Vertex],0)),1,1,"")</f>
        <v>nlineCEUCredit</v>
      </c>
      <c r="R59" s="78" t="str">
        <f>REPLACE(INDEX(GroupVertices[Group],MATCH(Edges[[#This Row],[Vertex 2]],GroupVertices[Vertex],0)),1,1,"")</f>
        <v>nlineCEUCredit</v>
      </c>
    </row>
    <row r="60" spans="1:18" ht="15">
      <c r="A60" s="64" t="s">
        <v>203</v>
      </c>
      <c r="B60" s="64" t="s">
        <v>339</v>
      </c>
      <c r="C60" s="65" t="s">
        <v>4443</v>
      </c>
      <c r="D60" s="66">
        <v>3</v>
      </c>
      <c r="E60" s="67"/>
      <c r="F60" s="68">
        <v>40</v>
      </c>
      <c r="G60" s="65"/>
      <c r="H60" s="69"/>
      <c r="I60" s="70"/>
      <c r="J60" s="70"/>
      <c r="K60" s="34" t="s">
        <v>65</v>
      </c>
      <c r="L60" s="77">
        <v>60</v>
      </c>
      <c r="M60" s="77"/>
      <c r="N60" s="72"/>
      <c r="O60" s="79" t="s">
        <v>610</v>
      </c>
      <c r="P60" s="79">
        <v>1</v>
      </c>
      <c r="Q60" s="78" t="str">
        <f>REPLACE(INDEX(GroupVertices[Group],MATCH(Edges[[#This Row],[Vertex 1]],GroupVertices[Vertex],0)),1,1,"")</f>
        <v>nlineCEUCredit</v>
      </c>
      <c r="R60" s="78" t="str">
        <f>REPLACE(INDEX(GroupVertices[Group],MATCH(Edges[[#This Row],[Vertex 2]],GroupVertices[Vertex],0)),1,1,"")</f>
        <v>nlineCEUCredit</v>
      </c>
    </row>
    <row r="61" spans="1:18" ht="15">
      <c r="A61" s="64" t="s">
        <v>205</v>
      </c>
      <c r="B61" s="64" t="s">
        <v>326</v>
      </c>
      <c r="C61" s="65" t="s">
        <v>4443</v>
      </c>
      <c r="D61" s="66">
        <v>3</v>
      </c>
      <c r="E61" s="67"/>
      <c r="F61" s="68">
        <v>40</v>
      </c>
      <c r="G61" s="65"/>
      <c r="H61" s="69"/>
      <c r="I61" s="70"/>
      <c r="J61" s="70"/>
      <c r="K61" s="34" t="s">
        <v>65</v>
      </c>
      <c r="L61" s="77">
        <v>61</v>
      </c>
      <c r="M61" s="77"/>
      <c r="N61" s="72"/>
      <c r="O61" s="79" t="s">
        <v>610</v>
      </c>
      <c r="P61" s="79">
        <v>1</v>
      </c>
      <c r="Q61" s="78" t="str">
        <f>REPLACE(INDEX(GroupVertices[Group],MATCH(Edges[[#This Row],[Vertex 1]],GroupVertices[Vertex],0)),1,1,"")</f>
        <v>nlineCEUCredit</v>
      </c>
      <c r="R61" s="78" t="str">
        <f>REPLACE(INDEX(GroupVertices[Group],MATCH(Edges[[#This Row],[Vertex 2]],GroupVertices[Vertex],0)),1,1,"")</f>
        <v>eady Study Go</v>
      </c>
    </row>
    <row r="62" spans="1:18" ht="15">
      <c r="A62" s="64" t="s">
        <v>205</v>
      </c>
      <c r="B62" s="64" t="s">
        <v>202</v>
      </c>
      <c r="C62" s="65" t="s">
        <v>4443</v>
      </c>
      <c r="D62" s="66">
        <v>3</v>
      </c>
      <c r="E62" s="67"/>
      <c r="F62" s="68">
        <v>40</v>
      </c>
      <c r="G62" s="65"/>
      <c r="H62" s="69"/>
      <c r="I62" s="70"/>
      <c r="J62" s="70"/>
      <c r="K62" s="34" t="s">
        <v>65</v>
      </c>
      <c r="L62" s="77">
        <v>62</v>
      </c>
      <c r="M62" s="77"/>
      <c r="N62" s="72"/>
      <c r="O62" s="79" t="s">
        <v>610</v>
      </c>
      <c r="P62" s="79">
        <v>1</v>
      </c>
      <c r="Q62" s="78" t="str">
        <f>REPLACE(INDEX(GroupVertices[Group],MATCH(Edges[[#This Row],[Vertex 1]],GroupVertices[Vertex],0)),1,1,"")</f>
        <v>nlineCEUCredit</v>
      </c>
      <c r="R62" s="78" t="str">
        <f>REPLACE(INDEX(GroupVertices[Group],MATCH(Edges[[#This Row],[Vertex 2]],GroupVertices[Vertex],0)),1,1,"")</f>
        <v>nlineCEUCredit</v>
      </c>
    </row>
    <row r="63" spans="1:18" ht="15">
      <c r="A63" s="64" t="s">
        <v>205</v>
      </c>
      <c r="B63" s="64" t="s">
        <v>252</v>
      </c>
      <c r="C63" s="65" t="s">
        <v>4443</v>
      </c>
      <c r="D63" s="66">
        <v>3</v>
      </c>
      <c r="E63" s="67"/>
      <c r="F63" s="68">
        <v>40</v>
      </c>
      <c r="G63" s="65"/>
      <c r="H63" s="69"/>
      <c r="I63" s="70"/>
      <c r="J63" s="70"/>
      <c r="K63" s="34" t="s">
        <v>65</v>
      </c>
      <c r="L63" s="77">
        <v>63</v>
      </c>
      <c r="M63" s="77"/>
      <c r="N63" s="72"/>
      <c r="O63" s="79" t="s">
        <v>610</v>
      </c>
      <c r="P63" s="79">
        <v>1</v>
      </c>
      <c r="Q63" s="78" t="str">
        <f>REPLACE(INDEX(GroupVertices[Group],MATCH(Edges[[#This Row],[Vertex 1]],GroupVertices[Vertex],0)),1,1,"")</f>
        <v>nlineCEUCredit</v>
      </c>
      <c r="R63" s="78" t="str">
        <f>REPLACE(INDEX(GroupVertices[Group],MATCH(Edges[[#This Row],[Vertex 2]],GroupVertices[Vertex],0)),1,1,"")</f>
        <v>G)I-DLE (여자)아이들 (Official YouTube Channel)</v>
      </c>
    </row>
    <row r="64" spans="1:18" ht="15">
      <c r="A64" s="64" t="s">
        <v>205</v>
      </c>
      <c r="B64" s="64" t="s">
        <v>253</v>
      </c>
      <c r="C64" s="65" t="s">
        <v>4443</v>
      </c>
      <c r="D64" s="66">
        <v>3</v>
      </c>
      <c r="E64" s="67"/>
      <c r="F64" s="68">
        <v>40</v>
      </c>
      <c r="G64" s="65"/>
      <c r="H64" s="69"/>
      <c r="I64" s="70"/>
      <c r="J64" s="70"/>
      <c r="K64" s="34" t="s">
        <v>65</v>
      </c>
      <c r="L64" s="77">
        <v>64</v>
      </c>
      <c r="M64" s="77"/>
      <c r="N64" s="72"/>
      <c r="O64" s="79" t="s">
        <v>610</v>
      </c>
      <c r="P64" s="79">
        <v>1</v>
      </c>
      <c r="Q64" s="78" t="str">
        <f>REPLACE(INDEX(GroupVertices[Group],MATCH(Edges[[#This Row],[Vertex 1]],GroupVertices[Vertex],0)),1,1,"")</f>
        <v>nlineCEUCredit</v>
      </c>
      <c r="R64" s="78" t="str">
        <f>REPLACE(INDEX(GroupVertices[Group],MATCH(Edges[[#This Row],[Vertex 2]],GroupVertices[Vertex],0)),1,1,"")</f>
        <v>etflix</v>
      </c>
    </row>
    <row r="65" spans="1:18" ht="15">
      <c r="A65" s="64" t="s">
        <v>205</v>
      </c>
      <c r="B65" s="64" t="s">
        <v>261</v>
      </c>
      <c r="C65" s="65" t="s">
        <v>4443</v>
      </c>
      <c r="D65" s="66">
        <v>3</v>
      </c>
      <c r="E65" s="67"/>
      <c r="F65" s="68">
        <v>40</v>
      </c>
      <c r="G65" s="65"/>
      <c r="H65" s="69"/>
      <c r="I65" s="70"/>
      <c r="J65" s="70"/>
      <c r="K65" s="34" t="s">
        <v>65</v>
      </c>
      <c r="L65" s="77">
        <v>65</v>
      </c>
      <c r="M65" s="77"/>
      <c r="N65" s="72"/>
      <c r="O65" s="79" t="s">
        <v>610</v>
      </c>
      <c r="P65" s="79">
        <v>1</v>
      </c>
      <c r="Q65" s="78" t="str">
        <f>REPLACE(INDEX(GroupVertices[Group],MATCH(Edges[[#This Row],[Vertex 1]],GroupVertices[Vertex],0)),1,1,"")</f>
        <v>nlineCEUCredit</v>
      </c>
      <c r="R65" s="78" t="str">
        <f>REPLACE(INDEX(GroupVertices[Group],MATCH(Edges[[#This Row],[Vertex 2]],GroupVertices[Vertex],0)),1,1,"")</f>
        <v>arkiplier</v>
      </c>
    </row>
    <row r="66" spans="1:18" ht="15">
      <c r="A66" s="64" t="s">
        <v>205</v>
      </c>
      <c r="B66" s="64" t="s">
        <v>262</v>
      </c>
      <c r="C66" s="65" t="s">
        <v>4443</v>
      </c>
      <c r="D66" s="66">
        <v>3</v>
      </c>
      <c r="E66" s="67"/>
      <c r="F66" s="68">
        <v>40</v>
      </c>
      <c r="G66" s="65"/>
      <c r="H66" s="69"/>
      <c r="I66" s="70"/>
      <c r="J66" s="70"/>
      <c r="K66" s="34" t="s">
        <v>65</v>
      </c>
      <c r="L66" s="77">
        <v>66</v>
      </c>
      <c r="M66" s="77"/>
      <c r="N66" s="72"/>
      <c r="O66" s="79" t="s">
        <v>610</v>
      </c>
      <c r="P66" s="79">
        <v>1</v>
      </c>
      <c r="Q66" s="78" t="str">
        <f>REPLACE(INDEX(GroupVertices[Group],MATCH(Edges[[#This Row],[Vertex 1]],GroupVertices[Vertex],0)),1,1,"")</f>
        <v>nlineCEUCredit</v>
      </c>
      <c r="R66" s="78" t="str">
        <f>REPLACE(INDEX(GroupVertices[Group],MATCH(Edges[[#This Row],[Vertex 2]],GroupVertices[Vertex],0)),1,1,"")</f>
        <v>ractical Engineering</v>
      </c>
    </row>
    <row r="67" spans="1:18" ht="15">
      <c r="A67" s="64" t="s">
        <v>205</v>
      </c>
      <c r="B67" s="64" t="s">
        <v>254</v>
      </c>
      <c r="C67" s="65" t="s">
        <v>4443</v>
      </c>
      <c r="D67" s="66">
        <v>3</v>
      </c>
      <c r="E67" s="67"/>
      <c r="F67" s="68">
        <v>40</v>
      </c>
      <c r="G67" s="65"/>
      <c r="H67" s="69"/>
      <c r="I67" s="70"/>
      <c r="J67" s="70"/>
      <c r="K67" s="34" t="s">
        <v>65</v>
      </c>
      <c r="L67" s="77">
        <v>67</v>
      </c>
      <c r="M67" s="77"/>
      <c r="N67" s="72"/>
      <c r="O67" s="79" t="s">
        <v>610</v>
      </c>
      <c r="P67" s="79">
        <v>1</v>
      </c>
      <c r="Q67" s="78" t="str">
        <f>REPLACE(INDEX(GroupVertices[Group],MATCH(Edges[[#This Row],[Vertex 1]],GroupVertices[Vertex],0)),1,1,"")</f>
        <v>nlineCEUCredit</v>
      </c>
      <c r="R67" s="78" t="str">
        <f>REPLACE(INDEX(GroupVertices[Group],MATCH(Edges[[#This Row],[Vertex 2]],GroupVertices[Vertex],0)),1,1,"")</f>
        <v>lash of Clans</v>
      </c>
    </row>
    <row r="68" spans="1:18" ht="15">
      <c r="A68" s="64" t="s">
        <v>205</v>
      </c>
      <c r="B68" s="64" t="s">
        <v>255</v>
      </c>
      <c r="C68" s="65" t="s">
        <v>4443</v>
      </c>
      <c r="D68" s="66">
        <v>3</v>
      </c>
      <c r="E68" s="67"/>
      <c r="F68" s="68">
        <v>40</v>
      </c>
      <c r="G68" s="65"/>
      <c r="H68" s="69"/>
      <c r="I68" s="70"/>
      <c r="J68" s="70"/>
      <c r="K68" s="34" t="s">
        <v>65</v>
      </c>
      <c r="L68" s="77">
        <v>68</v>
      </c>
      <c r="M68" s="77"/>
      <c r="N68" s="72"/>
      <c r="O68" s="79" t="s">
        <v>610</v>
      </c>
      <c r="P68" s="79">
        <v>1</v>
      </c>
      <c r="Q68" s="78" t="str">
        <f>REPLACE(INDEX(GroupVertices[Group],MATCH(Edges[[#This Row],[Vertex 1]],GroupVertices[Vertex],0)),1,1,"")</f>
        <v>nlineCEUCredit</v>
      </c>
      <c r="R68" s="78" t="str">
        <f>REPLACE(INDEX(GroupVertices[Group],MATCH(Edges[[#This Row],[Vertex 2]],GroupVertices[Vertex],0)),1,1,"")</f>
        <v>et's Game It Out</v>
      </c>
    </row>
    <row r="69" spans="1:18" ht="15">
      <c r="A69" s="64" t="s">
        <v>205</v>
      </c>
      <c r="B69" s="64" t="s">
        <v>263</v>
      </c>
      <c r="C69" s="65" t="s">
        <v>4443</v>
      </c>
      <c r="D69" s="66">
        <v>3</v>
      </c>
      <c r="E69" s="67"/>
      <c r="F69" s="68">
        <v>40</v>
      </c>
      <c r="G69" s="65"/>
      <c r="H69" s="69"/>
      <c r="I69" s="70"/>
      <c r="J69" s="70"/>
      <c r="K69" s="34" t="s">
        <v>65</v>
      </c>
      <c r="L69" s="77">
        <v>69</v>
      </c>
      <c r="M69" s="77"/>
      <c r="N69" s="72"/>
      <c r="O69" s="79" t="s">
        <v>610</v>
      </c>
      <c r="P69" s="79">
        <v>1</v>
      </c>
      <c r="Q69" s="78" t="str">
        <f>REPLACE(INDEX(GroupVertices[Group],MATCH(Edges[[#This Row],[Vertex 1]],GroupVertices[Vertex],0)),1,1,"")</f>
        <v>nlineCEUCredit</v>
      </c>
      <c r="R69" s="78" t="str">
        <f>REPLACE(INDEX(GroupVertices[Group],MATCH(Edges[[#This Row],[Vertex 2]],GroupVertices[Vertex],0)),1,1,"")</f>
        <v>ncognito Mode</v>
      </c>
    </row>
    <row r="70" spans="1:18" ht="15">
      <c r="A70" s="64" t="s">
        <v>205</v>
      </c>
      <c r="B70" s="64" t="s">
        <v>256</v>
      </c>
      <c r="C70" s="65" t="s">
        <v>4443</v>
      </c>
      <c r="D70" s="66">
        <v>3</v>
      </c>
      <c r="E70" s="67"/>
      <c r="F70" s="68">
        <v>40</v>
      </c>
      <c r="G70" s="65"/>
      <c r="H70" s="69"/>
      <c r="I70" s="70"/>
      <c r="J70" s="70"/>
      <c r="K70" s="34" t="s">
        <v>65</v>
      </c>
      <c r="L70" s="77">
        <v>70</v>
      </c>
      <c r="M70" s="77"/>
      <c r="N70" s="72"/>
      <c r="O70" s="79" t="s">
        <v>610</v>
      </c>
      <c r="P70" s="79">
        <v>1</v>
      </c>
      <c r="Q70" s="78" t="str">
        <f>REPLACE(INDEX(GroupVertices[Group],MATCH(Edges[[#This Row],[Vertex 1]],GroupVertices[Vertex],0)),1,1,"")</f>
        <v>nlineCEUCredit</v>
      </c>
      <c r="R70" s="78" t="str">
        <f>REPLACE(INDEX(GroupVertices[Group],MATCH(Edges[[#This Row],[Vertex 2]],GroupVertices[Vertex],0)),1,1,"")</f>
        <v>arques Brownlee</v>
      </c>
    </row>
    <row r="71" spans="1:18" ht="15">
      <c r="A71" s="64" t="s">
        <v>205</v>
      </c>
      <c r="B71" s="64" t="s">
        <v>257</v>
      </c>
      <c r="C71" s="65" t="s">
        <v>4443</v>
      </c>
      <c r="D71" s="66">
        <v>3</v>
      </c>
      <c r="E71" s="67"/>
      <c r="F71" s="68">
        <v>40</v>
      </c>
      <c r="G71" s="65"/>
      <c r="H71" s="69"/>
      <c r="I71" s="70"/>
      <c r="J71" s="70"/>
      <c r="K71" s="34" t="s">
        <v>65</v>
      </c>
      <c r="L71" s="77">
        <v>71</v>
      </c>
      <c r="M71" s="77"/>
      <c r="N71" s="72"/>
      <c r="O71" s="79" t="s">
        <v>610</v>
      </c>
      <c r="P71" s="79">
        <v>1</v>
      </c>
      <c r="Q71" s="78" t="str">
        <f>REPLACE(INDEX(GroupVertices[Group],MATCH(Edges[[#This Row],[Vertex 1]],GroupVertices[Vertex],0)),1,1,"")</f>
        <v>nlineCEUCredit</v>
      </c>
      <c r="R71" s="78" t="str">
        <f>REPLACE(INDEX(GroupVertices[Group],MATCH(Edges[[#This Row],[Vertex 2]],GroupVertices[Vertex],0)),1,1,"")</f>
        <v>rchitectural Digest</v>
      </c>
    </row>
    <row r="72" spans="1:18" ht="15">
      <c r="A72" s="64" t="s">
        <v>205</v>
      </c>
      <c r="B72" s="64" t="s">
        <v>258</v>
      </c>
      <c r="C72" s="65" t="s">
        <v>4443</v>
      </c>
      <c r="D72" s="66">
        <v>3</v>
      </c>
      <c r="E72" s="67"/>
      <c r="F72" s="68">
        <v>40</v>
      </c>
      <c r="G72" s="65"/>
      <c r="H72" s="69"/>
      <c r="I72" s="70"/>
      <c r="J72" s="70"/>
      <c r="K72" s="34" t="s">
        <v>65</v>
      </c>
      <c r="L72" s="77">
        <v>72</v>
      </c>
      <c r="M72" s="77"/>
      <c r="N72" s="72"/>
      <c r="O72" s="79" t="s">
        <v>610</v>
      </c>
      <c r="P72" s="79">
        <v>1</v>
      </c>
      <c r="Q72" s="78" t="str">
        <f>REPLACE(INDEX(GroupVertices[Group],MATCH(Edges[[#This Row],[Vertex 1]],GroupVertices[Vertex],0)),1,1,"")</f>
        <v>nlineCEUCredit</v>
      </c>
      <c r="R72" s="78" t="str">
        <f>REPLACE(INDEX(GroupVertices[Group],MATCH(Edges[[#This Row],[Vertex 2]],GroupVertices[Vertex],0)),1,1,"")</f>
        <v>alt Disney Studios</v>
      </c>
    </row>
    <row r="73" spans="1:18" ht="15">
      <c r="A73" s="64" t="s">
        <v>205</v>
      </c>
      <c r="B73" s="64" t="s">
        <v>259</v>
      </c>
      <c r="C73" s="65" t="s">
        <v>4443</v>
      </c>
      <c r="D73" s="66">
        <v>3</v>
      </c>
      <c r="E73" s="67"/>
      <c r="F73" s="68">
        <v>40</v>
      </c>
      <c r="G73" s="65"/>
      <c r="H73" s="69"/>
      <c r="I73" s="70"/>
      <c r="J73" s="70"/>
      <c r="K73" s="34" t="s">
        <v>65</v>
      </c>
      <c r="L73" s="77">
        <v>73</v>
      </c>
      <c r="M73" s="77"/>
      <c r="N73" s="72"/>
      <c r="O73" s="79" t="s">
        <v>610</v>
      </c>
      <c r="P73" s="79">
        <v>1</v>
      </c>
      <c r="Q73" s="78" t="str">
        <f>REPLACE(INDEX(GroupVertices[Group],MATCH(Edges[[#This Row],[Vertex 1]],GroupVertices[Vertex],0)),1,1,"")</f>
        <v>nlineCEUCredit</v>
      </c>
      <c r="R73" s="78" t="str">
        <f>REPLACE(INDEX(GroupVertices[Group],MATCH(Edges[[#This Row],[Vertex 2]],GroupVertices[Vertex],0)),1,1,"")</f>
        <v>kip and Shannon: UNDISPUTED</v>
      </c>
    </row>
    <row r="74" spans="1:18" ht="15">
      <c r="A74" s="64" t="s">
        <v>205</v>
      </c>
      <c r="B74" s="64" t="s">
        <v>260</v>
      </c>
      <c r="C74" s="65" t="s">
        <v>4443</v>
      </c>
      <c r="D74" s="66">
        <v>3</v>
      </c>
      <c r="E74" s="67"/>
      <c r="F74" s="68">
        <v>40</v>
      </c>
      <c r="G74" s="65"/>
      <c r="H74" s="69"/>
      <c r="I74" s="70"/>
      <c r="J74" s="70"/>
      <c r="K74" s="34" t="s">
        <v>65</v>
      </c>
      <c r="L74" s="77">
        <v>74</v>
      </c>
      <c r="M74" s="77"/>
      <c r="N74" s="72"/>
      <c r="O74" s="79" t="s">
        <v>610</v>
      </c>
      <c r="P74" s="79">
        <v>1</v>
      </c>
      <c r="Q74" s="78" t="str">
        <f>REPLACE(INDEX(GroupVertices[Group],MATCH(Edges[[#This Row],[Vertex 1]],GroupVertices[Vertex],0)),1,1,"")</f>
        <v>nlineCEUCredit</v>
      </c>
      <c r="R74" s="78" t="str">
        <f>REPLACE(INDEX(GroupVertices[Group],MATCH(Edges[[#This Row],[Vertex 2]],GroupVertices[Vertex],0)),1,1,"")</f>
        <v>hakira</v>
      </c>
    </row>
    <row r="75" spans="1:18" ht="15">
      <c r="A75" s="64" t="s">
        <v>220</v>
      </c>
      <c r="B75" s="64" t="s">
        <v>403</v>
      </c>
      <c r="C75" s="65" t="s">
        <v>4443</v>
      </c>
      <c r="D75" s="66">
        <v>3</v>
      </c>
      <c r="E75" s="67"/>
      <c r="F75" s="68">
        <v>40</v>
      </c>
      <c r="G75" s="65"/>
      <c r="H75" s="69"/>
      <c r="I75" s="70"/>
      <c r="J75" s="70"/>
      <c r="K75" s="34" t="s">
        <v>65</v>
      </c>
      <c r="L75" s="77">
        <v>75</v>
      </c>
      <c r="M75" s="77"/>
      <c r="N75" s="72"/>
      <c r="O75" s="79" t="s">
        <v>610</v>
      </c>
      <c r="P75" s="79">
        <v>1</v>
      </c>
      <c r="Q75" s="78" t="str">
        <f>REPLACE(INDEX(GroupVertices[Group],MATCH(Edges[[#This Row],[Vertex 1]],GroupVertices[Vertex],0)),1,1,"")</f>
        <v>r. Nasar Khan</v>
      </c>
      <c r="R75" s="78" t="str">
        <f>REPLACE(INDEX(GroupVertices[Group],MATCH(Edges[[#This Row],[Vertex 2]],GroupVertices[Vertex],0)),1,1,"")</f>
        <v>rickricardo guerrerodaquilema</v>
      </c>
    </row>
    <row r="76" spans="1:18" ht="15">
      <c r="A76" s="64" t="s">
        <v>220</v>
      </c>
      <c r="B76" s="64" t="s">
        <v>404</v>
      </c>
      <c r="C76" s="65" t="s">
        <v>4443</v>
      </c>
      <c r="D76" s="66">
        <v>3</v>
      </c>
      <c r="E76" s="67"/>
      <c r="F76" s="68">
        <v>40</v>
      </c>
      <c r="G76" s="65"/>
      <c r="H76" s="69"/>
      <c r="I76" s="70"/>
      <c r="J76" s="70"/>
      <c r="K76" s="34" t="s">
        <v>65</v>
      </c>
      <c r="L76" s="77">
        <v>76</v>
      </c>
      <c r="M76" s="77"/>
      <c r="N76" s="72"/>
      <c r="O76" s="79" t="s">
        <v>610</v>
      </c>
      <c r="P76" s="79">
        <v>1</v>
      </c>
      <c r="Q76" s="78" t="str">
        <f>REPLACE(INDEX(GroupVertices[Group],MATCH(Edges[[#This Row],[Vertex 1]],GroupVertices[Vertex],0)),1,1,"")</f>
        <v>r. Nasar Khan</v>
      </c>
      <c r="R76" s="78" t="str">
        <f>REPLACE(INDEX(GroupVertices[Group],MATCH(Edges[[#This Row],[Vertex 2]],GroupVertices[Vertex],0)),1,1,"")</f>
        <v>lemon Joseph</v>
      </c>
    </row>
    <row r="77" spans="1:18" ht="15">
      <c r="A77" s="64" t="s">
        <v>220</v>
      </c>
      <c r="B77" s="64" t="s">
        <v>402</v>
      </c>
      <c r="C77" s="65" t="s">
        <v>4443</v>
      </c>
      <c r="D77" s="66">
        <v>3</v>
      </c>
      <c r="E77" s="67"/>
      <c r="F77" s="68">
        <v>40</v>
      </c>
      <c r="G77" s="65"/>
      <c r="H77" s="69"/>
      <c r="I77" s="70"/>
      <c r="J77" s="70"/>
      <c r="K77" s="34" t="s">
        <v>65</v>
      </c>
      <c r="L77" s="77">
        <v>77</v>
      </c>
      <c r="M77" s="77"/>
      <c r="N77" s="72"/>
      <c r="O77" s="79" t="s">
        <v>610</v>
      </c>
      <c r="P77" s="79">
        <v>1</v>
      </c>
      <c r="Q77" s="78" t="str">
        <f>REPLACE(INDEX(GroupVertices[Group],MATCH(Edges[[#This Row],[Vertex 1]],GroupVertices[Vertex],0)),1,1,"")</f>
        <v>r. Nasar Khan</v>
      </c>
      <c r="R77" s="78" t="str">
        <f>REPLACE(INDEX(GroupVertices[Group],MATCH(Edges[[#This Row],[Vertex 2]],GroupVertices[Vertex],0)),1,1,"")</f>
        <v>arry Xie</v>
      </c>
    </row>
    <row r="78" spans="1:18" ht="15">
      <c r="A78" s="64" t="s">
        <v>220</v>
      </c>
      <c r="B78" s="64" t="s">
        <v>405</v>
      </c>
      <c r="C78" s="65" t="s">
        <v>4443</v>
      </c>
      <c r="D78" s="66">
        <v>3</v>
      </c>
      <c r="E78" s="67"/>
      <c r="F78" s="68">
        <v>40</v>
      </c>
      <c r="G78" s="65"/>
      <c r="H78" s="69"/>
      <c r="I78" s="70"/>
      <c r="J78" s="70"/>
      <c r="K78" s="34" t="s">
        <v>65</v>
      </c>
      <c r="L78" s="77">
        <v>78</v>
      </c>
      <c r="M78" s="77"/>
      <c r="N78" s="72"/>
      <c r="O78" s="79" t="s">
        <v>610</v>
      </c>
      <c r="P78" s="79">
        <v>1</v>
      </c>
      <c r="Q78" s="78" t="str">
        <f>REPLACE(INDEX(GroupVertices[Group],MATCH(Edges[[#This Row],[Vertex 1]],GroupVertices[Vertex],0)),1,1,"")</f>
        <v>r. Nasar Khan</v>
      </c>
      <c r="R78" s="78" t="str">
        <f>REPLACE(INDEX(GroupVertices[Group],MATCH(Edges[[#This Row],[Vertex 2]],GroupVertices[Vertex],0)),1,1,"")</f>
        <v>ditya Sharma</v>
      </c>
    </row>
    <row r="79" spans="1:18" ht="15">
      <c r="A79" s="64" t="s">
        <v>220</v>
      </c>
      <c r="B79" s="64" t="s">
        <v>406</v>
      </c>
      <c r="C79" s="65" t="s">
        <v>4443</v>
      </c>
      <c r="D79" s="66">
        <v>3</v>
      </c>
      <c r="E79" s="67"/>
      <c r="F79" s="68">
        <v>40</v>
      </c>
      <c r="G79" s="65"/>
      <c r="H79" s="69"/>
      <c r="I79" s="70"/>
      <c r="J79" s="70"/>
      <c r="K79" s="34" t="s">
        <v>65</v>
      </c>
      <c r="L79" s="77">
        <v>79</v>
      </c>
      <c r="M79" s="77"/>
      <c r="N79" s="72"/>
      <c r="O79" s="79" t="s">
        <v>610</v>
      </c>
      <c r="P79" s="79">
        <v>1</v>
      </c>
      <c r="Q79" s="78" t="str">
        <f>REPLACE(INDEX(GroupVertices[Group],MATCH(Edges[[#This Row],[Vertex 1]],GroupVertices[Vertex],0)),1,1,"")</f>
        <v>r. Nasar Khan</v>
      </c>
      <c r="R79" s="78" t="str">
        <f>REPLACE(INDEX(GroupVertices[Group],MATCH(Edges[[#This Row],[Vertex 2]],GroupVertices[Vertex],0)),1,1,"")</f>
        <v>hmad Shaharudin Abdul Latiff</v>
      </c>
    </row>
    <row r="80" spans="1:18" ht="15">
      <c r="A80" s="64" t="s">
        <v>220</v>
      </c>
      <c r="B80" s="64" t="s">
        <v>409</v>
      </c>
      <c r="C80" s="65" t="s">
        <v>4443</v>
      </c>
      <c r="D80" s="66">
        <v>3</v>
      </c>
      <c r="E80" s="67"/>
      <c r="F80" s="68">
        <v>40</v>
      </c>
      <c r="G80" s="65"/>
      <c r="H80" s="69"/>
      <c r="I80" s="70"/>
      <c r="J80" s="70"/>
      <c r="K80" s="34" t="s">
        <v>65</v>
      </c>
      <c r="L80" s="77">
        <v>80</v>
      </c>
      <c r="M80" s="77"/>
      <c r="N80" s="72"/>
      <c r="O80" s="79" t="s">
        <v>610</v>
      </c>
      <c r="P80" s="79">
        <v>1</v>
      </c>
      <c r="Q80" s="78" t="str">
        <f>REPLACE(INDEX(GroupVertices[Group],MATCH(Edges[[#This Row],[Vertex 1]],GroupVertices[Vertex],0)),1,1,"")</f>
        <v>r. Nasar Khan</v>
      </c>
      <c r="R80" s="78" t="str">
        <f>REPLACE(INDEX(GroupVertices[Group],MATCH(Edges[[#This Row],[Vertex 2]],GroupVertices[Vertex],0)),1,1,"")</f>
        <v>rofessor K Analyzes</v>
      </c>
    </row>
    <row r="81" spans="1:18" ht="15">
      <c r="A81" s="64" t="s">
        <v>220</v>
      </c>
      <c r="B81" s="64" t="s">
        <v>408</v>
      </c>
      <c r="C81" s="65" t="s">
        <v>4443</v>
      </c>
      <c r="D81" s="66">
        <v>3</v>
      </c>
      <c r="E81" s="67"/>
      <c r="F81" s="68">
        <v>40</v>
      </c>
      <c r="G81" s="65"/>
      <c r="H81" s="69"/>
      <c r="I81" s="70"/>
      <c r="J81" s="70"/>
      <c r="K81" s="34" t="s">
        <v>65</v>
      </c>
      <c r="L81" s="77">
        <v>81</v>
      </c>
      <c r="M81" s="77"/>
      <c r="N81" s="72"/>
      <c r="O81" s="79" t="s">
        <v>610</v>
      </c>
      <c r="P81" s="79">
        <v>1</v>
      </c>
      <c r="Q81" s="78" t="str">
        <f>REPLACE(INDEX(GroupVertices[Group],MATCH(Edges[[#This Row],[Vertex 1]],GroupVertices[Vertex],0)),1,1,"")</f>
        <v>r. Nasar Khan</v>
      </c>
      <c r="R81" s="78" t="str">
        <f>REPLACE(INDEX(GroupVertices[Group],MATCH(Edges[[#This Row],[Vertex 2]],GroupVertices[Vertex],0)),1,1,"")</f>
        <v>ornell International Arbitration Society</v>
      </c>
    </row>
    <row r="82" spans="1:18" ht="15">
      <c r="A82" s="64" t="s">
        <v>220</v>
      </c>
      <c r="B82" s="64" t="s">
        <v>407</v>
      </c>
      <c r="C82" s="65" t="s">
        <v>4443</v>
      </c>
      <c r="D82" s="66">
        <v>3</v>
      </c>
      <c r="E82" s="67"/>
      <c r="F82" s="68">
        <v>40</v>
      </c>
      <c r="G82" s="65"/>
      <c r="H82" s="69"/>
      <c r="I82" s="70"/>
      <c r="J82" s="70"/>
      <c r="K82" s="34" t="s">
        <v>65</v>
      </c>
      <c r="L82" s="77">
        <v>82</v>
      </c>
      <c r="M82" s="77"/>
      <c r="N82" s="72"/>
      <c r="O82" s="79" t="s">
        <v>610</v>
      </c>
      <c r="P82" s="79">
        <v>1</v>
      </c>
      <c r="Q82" s="78" t="str">
        <f>REPLACE(INDEX(GroupVertices[Group],MATCH(Edges[[#This Row],[Vertex 1]],GroupVertices[Vertex],0)),1,1,"")</f>
        <v>r. Nasar Khan</v>
      </c>
      <c r="R82" s="78" t="str">
        <f>REPLACE(INDEX(GroupVertices[Group],MATCH(Edges[[#This Row],[Vertex 2]],GroupVertices[Vertex],0)),1,1,"")</f>
        <v>SCTE Conhecimento &amp; Inovação</v>
      </c>
    </row>
    <row r="83" spans="1:18" ht="15">
      <c r="A83" s="64" t="s">
        <v>220</v>
      </c>
      <c r="B83" s="64" t="s">
        <v>400</v>
      </c>
      <c r="C83" s="65" t="s">
        <v>4443</v>
      </c>
      <c r="D83" s="66">
        <v>3</v>
      </c>
      <c r="E83" s="67"/>
      <c r="F83" s="68">
        <v>40</v>
      </c>
      <c r="G83" s="65"/>
      <c r="H83" s="69"/>
      <c r="I83" s="70"/>
      <c r="J83" s="70"/>
      <c r="K83" s="34" t="s">
        <v>65</v>
      </c>
      <c r="L83" s="77">
        <v>83</v>
      </c>
      <c r="M83" s="77"/>
      <c r="N83" s="72"/>
      <c r="O83" s="79" t="s">
        <v>610</v>
      </c>
      <c r="P83" s="79">
        <v>1</v>
      </c>
      <c r="Q83" s="78" t="str">
        <f>REPLACE(INDEX(GroupVertices[Group],MATCH(Edges[[#This Row],[Vertex 1]],GroupVertices[Vertex],0)),1,1,"")</f>
        <v>r. Nasar Khan</v>
      </c>
      <c r="R83" s="78" t="str">
        <f>REPLACE(INDEX(GroupVertices[Group],MATCH(Edges[[#This Row],[Vertex 2]],GroupVertices[Vertex],0)),1,1,"")</f>
        <v>hare IT</v>
      </c>
    </row>
    <row r="84" spans="1:18" ht="15">
      <c r="A84" s="64" t="s">
        <v>220</v>
      </c>
      <c r="B84" s="64" t="s">
        <v>410</v>
      </c>
      <c r="C84" s="65" t="s">
        <v>4443</v>
      </c>
      <c r="D84" s="66">
        <v>3</v>
      </c>
      <c r="E84" s="67"/>
      <c r="F84" s="68">
        <v>40</v>
      </c>
      <c r="G84" s="65"/>
      <c r="H84" s="69"/>
      <c r="I84" s="70"/>
      <c r="J84" s="70"/>
      <c r="K84" s="34" t="s">
        <v>65</v>
      </c>
      <c r="L84" s="77">
        <v>84</v>
      </c>
      <c r="M84" s="77"/>
      <c r="N84" s="72"/>
      <c r="O84" s="79" t="s">
        <v>610</v>
      </c>
      <c r="P84" s="79">
        <v>1</v>
      </c>
      <c r="Q84" s="78" t="str">
        <f>REPLACE(INDEX(GroupVertices[Group],MATCH(Edges[[#This Row],[Vertex 1]],GroupVertices[Vertex],0)),1,1,"")</f>
        <v>r. Nasar Khan</v>
      </c>
      <c r="R84" s="78" t="str">
        <f>REPLACE(INDEX(GroupVertices[Group],MATCH(Edges[[#This Row],[Vertex 2]],GroupVertices[Vertex],0)),1,1,"")</f>
        <v>everly Rodgers</v>
      </c>
    </row>
    <row r="85" spans="1:18" ht="15">
      <c r="A85" s="64" t="s">
        <v>220</v>
      </c>
      <c r="B85" s="64" t="s">
        <v>411</v>
      </c>
      <c r="C85" s="65" t="s">
        <v>4443</v>
      </c>
      <c r="D85" s="66">
        <v>3</v>
      </c>
      <c r="E85" s="67"/>
      <c r="F85" s="68">
        <v>40</v>
      </c>
      <c r="G85" s="65"/>
      <c r="H85" s="69"/>
      <c r="I85" s="70"/>
      <c r="J85" s="70"/>
      <c r="K85" s="34" t="s">
        <v>65</v>
      </c>
      <c r="L85" s="77">
        <v>85</v>
      </c>
      <c r="M85" s="77"/>
      <c r="N85" s="72"/>
      <c r="O85" s="79" t="s">
        <v>610</v>
      </c>
      <c r="P85" s="79">
        <v>1</v>
      </c>
      <c r="Q85" s="78" t="str">
        <f>REPLACE(INDEX(GroupVertices[Group],MATCH(Edges[[#This Row],[Vertex 1]],GroupVertices[Vertex],0)),1,1,"")</f>
        <v>r. Nasar Khan</v>
      </c>
      <c r="R85" s="78" t="str">
        <f>REPLACE(INDEX(GroupVertices[Group],MATCH(Edges[[#This Row],[Vertex 2]],GroupVertices[Vertex],0)),1,1,"")</f>
        <v>enzie San</v>
      </c>
    </row>
    <row r="86" spans="1:18" ht="15">
      <c r="A86" s="64" t="s">
        <v>220</v>
      </c>
      <c r="B86" s="64" t="s">
        <v>401</v>
      </c>
      <c r="C86" s="65" t="s">
        <v>4443</v>
      </c>
      <c r="D86" s="66">
        <v>3</v>
      </c>
      <c r="E86" s="67"/>
      <c r="F86" s="68">
        <v>40</v>
      </c>
      <c r="G86" s="65"/>
      <c r="H86" s="69"/>
      <c r="I86" s="70"/>
      <c r="J86" s="70"/>
      <c r="K86" s="34" t="s">
        <v>65</v>
      </c>
      <c r="L86" s="77">
        <v>86</v>
      </c>
      <c r="M86" s="77"/>
      <c r="N86" s="72"/>
      <c r="O86" s="79" t="s">
        <v>610</v>
      </c>
      <c r="P86" s="79">
        <v>1</v>
      </c>
      <c r="Q86" s="78" t="str">
        <f>REPLACE(INDEX(GroupVertices[Group],MATCH(Edges[[#This Row],[Vertex 1]],GroupVertices[Vertex],0)),1,1,"")</f>
        <v>r. Nasar Khan</v>
      </c>
      <c r="R86" s="78" t="str">
        <f>REPLACE(INDEX(GroupVertices[Group],MATCH(Edges[[#This Row],[Vertex 2]],GroupVertices[Vertex],0)),1,1,"")</f>
        <v>r. Nasar Khan</v>
      </c>
    </row>
    <row r="87" spans="1:18" ht="15">
      <c r="A87" s="64" t="s">
        <v>217</v>
      </c>
      <c r="B87" s="64" t="s">
        <v>397</v>
      </c>
      <c r="C87" s="65" t="s">
        <v>4443</v>
      </c>
      <c r="D87" s="66">
        <v>3</v>
      </c>
      <c r="E87" s="67"/>
      <c r="F87" s="68">
        <v>40</v>
      </c>
      <c r="G87" s="65"/>
      <c r="H87" s="69"/>
      <c r="I87" s="70"/>
      <c r="J87" s="70"/>
      <c r="K87" s="34" t="s">
        <v>65</v>
      </c>
      <c r="L87" s="77">
        <v>87</v>
      </c>
      <c r="M87" s="77"/>
      <c r="N87" s="72"/>
      <c r="O87" s="79" t="s">
        <v>610</v>
      </c>
      <c r="P87" s="79">
        <v>1</v>
      </c>
      <c r="Q87" s="78" t="str">
        <f>REPLACE(INDEX(GroupVertices[Group],MATCH(Edges[[#This Row],[Vertex 1]],GroupVertices[Vertex],0)),1,1,"")</f>
        <v>roy Reiner</v>
      </c>
      <c r="R87" s="78" t="str">
        <f>REPLACE(INDEX(GroupVertices[Group],MATCH(Edges[[#This Row],[Vertex 2]],GroupVertices[Vertex],0)),1,1,"")</f>
        <v>roy Reiner</v>
      </c>
    </row>
    <row r="88" spans="1:18" ht="15">
      <c r="A88" s="64" t="s">
        <v>217</v>
      </c>
      <c r="B88" s="64" t="s">
        <v>252</v>
      </c>
      <c r="C88" s="65" t="s">
        <v>4443</v>
      </c>
      <c r="D88" s="66">
        <v>3</v>
      </c>
      <c r="E88" s="67"/>
      <c r="F88" s="68">
        <v>40</v>
      </c>
      <c r="G88" s="65"/>
      <c r="H88" s="69"/>
      <c r="I88" s="70"/>
      <c r="J88" s="70"/>
      <c r="K88" s="34" t="s">
        <v>65</v>
      </c>
      <c r="L88" s="77">
        <v>88</v>
      </c>
      <c r="M88" s="77"/>
      <c r="N88" s="72"/>
      <c r="O88" s="79" t="s">
        <v>610</v>
      </c>
      <c r="P88" s="79">
        <v>1</v>
      </c>
      <c r="Q88" s="78" t="str">
        <f>REPLACE(INDEX(GroupVertices[Group],MATCH(Edges[[#This Row],[Vertex 1]],GroupVertices[Vertex],0)),1,1,"")</f>
        <v>roy Reiner</v>
      </c>
      <c r="R88" s="78" t="str">
        <f>REPLACE(INDEX(GroupVertices[Group],MATCH(Edges[[#This Row],[Vertex 2]],GroupVertices[Vertex],0)),1,1,"")</f>
        <v>G)I-DLE (여자)아이들 (Official YouTube Channel)</v>
      </c>
    </row>
    <row r="89" spans="1:18" ht="15">
      <c r="A89" s="64" t="s">
        <v>217</v>
      </c>
      <c r="B89" s="64" t="s">
        <v>253</v>
      </c>
      <c r="C89" s="65" t="s">
        <v>4443</v>
      </c>
      <c r="D89" s="66">
        <v>3</v>
      </c>
      <c r="E89" s="67"/>
      <c r="F89" s="68">
        <v>40</v>
      </c>
      <c r="G89" s="65"/>
      <c r="H89" s="69"/>
      <c r="I89" s="70"/>
      <c r="J89" s="70"/>
      <c r="K89" s="34" t="s">
        <v>65</v>
      </c>
      <c r="L89" s="77">
        <v>89</v>
      </c>
      <c r="M89" s="77"/>
      <c r="N89" s="72"/>
      <c r="O89" s="79" t="s">
        <v>610</v>
      </c>
      <c r="P89" s="79">
        <v>1</v>
      </c>
      <c r="Q89" s="78" t="str">
        <f>REPLACE(INDEX(GroupVertices[Group],MATCH(Edges[[#This Row],[Vertex 1]],GroupVertices[Vertex],0)),1,1,"")</f>
        <v>roy Reiner</v>
      </c>
      <c r="R89" s="78" t="str">
        <f>REPLACE(INDEX(GroupVertices[Group],MATCH(Edges[[#This Row],[Vertex 2]],GroupVertices[Vertex],0)),1,1,"")</f>
        <v>etflix</v>
      </c>
    </row>
    <row r="90" spans="1:18" ht="15">
      <c r="A90" s="64" t="s">
        <v>217</v>
      </c>
      <c r="B90" s="64" t="s">
        <v>261</v>
      </c>
      <c r="C90" s="65" t="s">
        <v>4443</v>
      </c>
      <c r="D90" s="66">
        <v>3</v>
      </c>
      <c r="E90" s="67"/>
      <c r="F90" s="68">
        <v>40</v>
      </c>
      <c r="G90" s="65"/>
      <c r="H90" s="69"/>
      <c r="I90" s="70"/>
      <c r="J90" s="70"/>
      <c r="K90" s="34" t="s">
        <v>65</v>
      </c>
      <c r="L90" s="77">
        <v>90</v>
      </c>
      <c r="M90" s="77"/>
      <c r="N90" s="72"/>
      <c r="O90" s="79" t="s">
        <v>610</v>
      </c>
      <c r="P90" s="79">
        <v>1</v>
      </c>
      <c r="Q90" s="78" t="str">
        <f>REPLACE(INDEX(GroupVertices[Group],MATCH(Edges[[#This Row],[Vertex 1]],GroupVertices[Vertex],0)),1,1,"")</f>
        <v>roy Reiner</v>
      </c>
      <c r="R90" s="78" t="str">
        <f>REPLACE(INDEX(GroupVertices[Group],MATCH(Edges[[#This Row],[Vertex 2]],GroupVertices[Vertex],0)),1,1,"")</f>
        <v>arkiplier</v>
      </c>
    </row>
    <row r="91" spans="1:18" ht="15">
      <c r="A91" s="64" t="s">
        <v>217</v>
      </c>
      <c r="B91" s="64" t="s">
        <v>262</v>
      </c>
      <c r="C91" s="65" t="s">
        <v>4443</v>
      </c>
      <c r="D91" s="66">
        <v>3</v>
      </c>
      <c r="E91" s="67"/>
      <c r="F91" s="68">
        <v>40</v>
      </c>
      <c r="G91" s="65"/>
      <c r="H91" s="69"/>
      <c r="I91" s="70"/>
      <c r="J91" s="70"/>
      <c r="K91" s="34" t="s">
        <v>65</v>
      </c>
      <c r="L91" s="77">
        <v>91</v>
      </c>
      <c r="M91" s="77"/>
      <c r="N91" s="72"/>
      <c r="O91" s="79" t="s">
        <v>610</v>
      </c>
      <c r="P91" s="79">
        <v>1</v>
      </c>
      <c r="Q91" s="78" t="str">
        <f>REPLACE(INDEX(GroupVertices[Group],MATCH(Edges[[#This Row],[Vertex 1]],GroupVertices[Vertex],0)),1,1,"")</f>
        <v>roy Reiner</v>
      </c>
      <c r="R91" s="78" t="str">
        <f>REPLACE(INDEX(GroupVertices[Group],MATCH(Edges[[#This Row],[Vertex 2]],GroupVertices[Vertex],0)),1,1,"")</f>
        <v>ractical Engineering</v>
      </c>
    </row>
    <row r="92" spans="1:18" ht="15">
      <c r="A92" s="64" t="s">
        <v>217</v>
      </c>
      <c r="B92" s="64" t="s">
        <v>254</v>
      </c>
      <c r="C92" s="65" t="s">
        <v>4443</v>
      </c>
      <c r="D92" s="66">
        <v>3</v>
      </c>
      <c r="E92" s="67"/>
      <c r="F92" s="68">
        <v>40</v>
      </c>
      <c r="G92" s="65"/>
      <c r="H92" s="69"/>
      <c r="I92" s="70"/>
      <c r="J92" s="70"/>
      <c r="K92" s="34" t="s">
        <v>65</v>
      </c>
      <c r="L92" s="77">
        <v>92</v>
      </c>
      <c r="M92" s="77"/>
      <c r="N92" s="72"/>
      <c r="O92" s="79" t="s">
        <v>610</v>
      </c>
      <c r="P92" s="79">
        <v>1</v>
      </c>
      <c r="Q92" s="78" t="str">
        <f>REPLACE(INDEX(GroupVertices[Group],MATCH(Edges[[#This Row],[Vertex 1]],GroupVertices[Vertex],0)),1,1,"")</f>
        <v>roy Reiner</v>
      </c>
      <c r="R92" s="78" t="str">
        <f>REPLACE(INDEX(GroupVertices[Group],MATCH(Edges[[#This Row],[Vertex 2]],GroupVertices[Vertex],0)),1,1,"")</f>
        <v>lash of Clans</v>
      </c>
    </row>
    <row r="93" spans="1:18" ht="15">
      <c r="A93" s="64" t="s">
        <v>217</v>
      </c>
      <c r="B93" s="64" t="s">
        <v>255</v>
      </c>
      <c r="C93" s="65" t="s">
        <v>4443</v>
      </c>
      <c r="D93" s="66">
        <v>3</v>
      </c>
      <c r="E93" s="67"/>
      <c r="F93" s="68">
        <v>40</v>
      </c>
      <c r="G93" s="65"/>
      <c r="H93" s="69"/>
      <c r="I93" s="70"/>
      <c r="J93" s="70"/>
      <c r="K93" s="34" t="s">
        <v>65</v>
      </c>
      <c r="L93" s="77">
        <v>93</v>
      </c>
      <c r="M93" s="77"/>
      <c r="N93" s="72"/>
      <c r="O93" s="79" t="s">
        <v>610</v>
      </c>
      <c r="P93" s="79">
        <v>1</v>
      </c>
      <c r="Q93" s="78" t="str">
        <f>REPLACE(INDEX(GroupVertices[Group],MATCH(Edges[[#This Row],[Vertex 1]],GroupVertices[Vertex],0)),1,1,"")</f>
        <v>roy Reiner</v>
      </c>
      <c r="R93" s="78" t="str">
        <f>REPLACE(INDEX(GroupVertices[Group],MATCH(Edges[[#This Row],[Vertex 2]],GroupVertices[Vertex],0)),1,1,"")</f>
        <v>et's Game It Out</v>
      </c>
    </row>
    <row r="94" spans="1:18" ht="15">
      <c r="A94" s="64" t="s">
        <v>217</v>
      </c>
      <c r="B94" s="64" t="s">
        <v>263</v>
      </c>
      <c r="C94" s="65" t="s">
        <v>4443</v>
      </c>
      <c r="D94" s="66">
        <v>3</v>
      </c>
      <c r="E94" s="67"/>
      <c r="F94" s="68">
        <v>40</v>
      </c>
      <c r="G94" s="65"/>
      <c r="H94" s="69"/>
      <c r="I94" s="70"/>
      <c r="J94" s="70"/>
      <c r="K94" s="34" t="s">
        <v>65</v>
      </c>
      <c r="L94" s="77">
        <v>94</v>
      </c>
      <c r="M94" s="77"/>
      <c r="N94" s="72"/>
      <c r="O94" s="79" t="s">
        <v>610</v>
      </c>
      <c r="P94" s="79">
        <v>1</v>
      </c>
      <c r="Q94" s="78" t="str">
        <f>REPLACE(INDEX(GroupVertices[Group],MATCH(Edges[[#This Row],[Vertex 1]],GroupVertices[Vertex],0)),1,1,"")</f>
        <v>roy Reiner</v>
      </c>
      <c r="R94" s="78" t="str">
        <f>REPLACE(INDEX(GroupVertices[Group],MATCH(Edges[[#This Row],[Vertex 2]],GroupVertices[Vertex],0)),1,1,"")</f>
        <v>ncognito Mode</v>
      </c>
    </row>
    <row r="95" spans="1:18" ht="15">
      <c r="A95" s="64" t="s">
        <v>217</v>
      </c>
      <c r="B95" s="64" t="s">
        <v>256</v>
      </c>
      <c r="C95" s="65" t="s">
        <v>4443</v>
      </c>
      <c r="D95" s="66">
        <v>3</v>
      </c>
      <c r="E95" s="67"/>
      <c r="F95" s="68">
        <v>40</v>
      </c>
      <c r="G95" s="65"/>
      <c r="H95" s="69"/>
      <c r="I95" s="70"/>
      <c r="J95" s="70"/>
      <c r="K95" s="34" t="s">
        <v>65</v>
      </c>
      <c r="L95" s="77">
        <v>95</v>
      </c>
      <c r="M95" s="77"/>
      <c r="N95" s="72"/>
      <c r="O95" s="79" t="s">
        <v>610</v>
      </c>
      <c r="P95" s="79">
        <v>1</v>
      </c>
      <c r="Q95" s="78" t="str">
        <f>REPLACE(INDEX(GroupVertices[Group],MATCH(Edges[[#This Row],[Vertex 1]],GroupVertices[Vertex],0)),1,1,"")</f>
        <v>roy Reiner</v>
      </c>
      <c r="R95" s="78" t="str">
        <f>REPLACE(INDEX(GroupVertices[Group],MATCH(Edges[[#This Row],[Vertex 2]],GroupVertices[Vertex],0)),1,1,"")</f>
        <v>arques Brownlee</v>
      </c>
    </row>
    <row r="96" spans="1:18" ht="15">
      <c r="A96" s="64" t="s">
        <v>217</v>
      </c>
      <c r="B96" s="64" t="s">
        <v>257</v>
      </c>
      <c r="C96" s="65" t="s">
        <v>4443</v>
      </c>
      <c r="D96" s="66">
        <v>3</v>
      </c>
      <c r="E96" s="67"/>
      <c r="F96" s="68">
        <v>40</v>
      </c>
      <c r="G96" s="65"/>
      <c r="H96" s="69"/>
      <c r="I96" s="70"/>
      <c r="J96" s="70"/>
      <c r="K96" s="34" t="s">
        <v>65</v>
      </c>
      <c r="L96" s="77">
        <v>96</v>
      </c>
      <c r="M96" s="77"/>
      <c r="N96" s="72"/>
      <c r="O96" s="79" t="s">
        <v>610</v>
      </c>
      <c r="P96" s="79">
        <v>1</v>
      </c>
      <c r="Q96" s="78" t="str">
        <f>REPLACE(INDEX(GroupVertices[Group],MATCH(Edges[[#This Row],[Vertex 1]],GroupVertices[Vertex],0)),1,1,"")</f>
        <v>roy Reiner</v>
      </c>
      <c r="R96" s="78" t="str">
        <f>REPLACE(INDEX(GroupVertices[Group],MATCH(Edges[[#This Row],[Vertex 2]],GroupVertices[Vertex],0)),1,1,"")</f>
        <v>rchitectural Digest</v>
      </c>
    </row>
    <row r="97" spans="1:18" ht="15">
      <c r="A97" s="64" t="s">
        <v>217</v>
      </c>
      <c r="B97" s="64" t="s">
        <v>258</v>
      </c>
      <c r="C97" s="65" t="s">
        <v>4443</v>
      </c>
      <c r="D97" s="66">
        <v>3</v>
      </c>
      <c r="E97" s="67"/>
      <c r="F97" s="68">
        <v>40</v>
      </c>
      <c r="G97" s="65"/>
      <c r="H97" s="69"/>
      <c r="I97" s="70"/>
      <c r="J97" s="70"/>
      <c r="K97" s="34" t="s">
        <v>65</v>
      </c>
      <c r="L97" s="77">
        <v>97</v>
      </c>
      <c r="M97" s="77"/>
      <c r="N97" s="72"/>
      <c r="O97" s="79" t="s">
        <v>610</v>
      </c>
      <c r="P97" s="79">
        <v>1</v>
      </c>
      <c r="Q97" s="78" t="str">
        <f>REPLACE(INDEX(GroupVertices[Group],MATCH(Edges[[#This Row],[Vertex 1]],GroupVertices[Vertex],0)),1,1,"")</f>
        <v>roy Reiner</v>
      </c>
      <c r="R97" s="78" t="str">
        <f>REPLACE(INDEX(GroupVertices[Group],MATCH(Edges[[#This Row],[Vertex 2]],GroupVertices[Vertex],0)),1,1,"")</f>
        <v>alt Disney Studios</v>
      </c>
    </row>
    <row r="98" spans="1:18" ht="15">
      <c r="A98" s="64" t="s">
        <v>217</v>
      </c>
      <c r="B98" s="64" t="s">
        <v>259</v>
      </c>
      <c r="C98" s="65" t="s">
        <v>4443</v>
      </c>
      <c r="D98" s="66">
        <v>3</v>
      </c>
      <c r="E98" s="67"/>
      <c r="F98" s="68">
        <v>40</v>
      </c>
      <c r="G98" s="65"/>
      <c r="H98" s="69"/>
      <c r="I98" s="70"/>
      <c r="J98" s="70"/>
      <c r="K98" s="34" t="s">
        <v>65</v>
      </c>
      <c r="L98" s="77">
        <v>98</v>
      </c>
      <c r="M98" s="77"/>
      <c r="N98" s="72"/>
      <c r="O98" s="79" t="s">
        <v>610</v>
      </c>
      <c r="P98" s="79">
        <v>1</v>
      </c>
      <c r="Q98" s="78" t="str">
        <f>REPLACE(INDEX(GroupVertices[Group],MATCH(Edges[[#This Row],[Vertex 1]],GroupVertices[Vertex],0)),1,1,"")</f>
        <v>roy Reiner</v>
      </c>
      <c r="R98" s="78" t="str">
        <f>REPLACE(INDEX(GroupVertices[Group],MATCH(Edges[[#This Row],[Vertex 2]],GroupVertices[Vertex],0)),1,1,"")</f>
        <v>kip and Shannon: UNDISPUTED</v>
      </c>
    </row>
    <row r="99" spans="1:18" ht="15">
      <c r="A99" s="64" t="s">
        <v>217</v>
      </c>
      <c r="B99" s="64" t="s">
        <v>260</v>
      </c>
      <c r="C99" s="65" t="s">
        <v>4443</v>
      </c>
      <c r="D99" s="66">
        <v>3</v>
      </c>
      <c r="E99" s="67"/>
      <c r="F99" s="68">
        <v>40</v>
      </c>
      <c r="G99" s="65"/>
      <c r="H99" s="69"/>
      <c r="I99" s="70"/>
      <c r="J99" s="70"/>
      <c r="K99" s="34" t="s">
        <v>65</v>
      </c>
      <c r="L99" s="77">
        <v>99</v>
      </c>
      <c r="M99" s="77"/>
      <c r="N99" s="72"/>
      <c r="O99" s="79" t="s">
        <v>610</v>
      </c>
      <c r="P99" s="79">
        <v>1</v>
      </c>
      <c r="Q99" s="78" t="str">
        <f>REPLACE(INDEX(GroupVertices[Group],MATCH(Edges[[#This Row],[Vertex 1]],GroupVertices[Vertex],0)),1,1,"")</f>
        <v>roy Reiner</v>
      </c>
      <c r="R99" s="78" t="str">
        <f>REPLACE(INDEX(GroupVertices[Group],MATCH(Edges[[#This Row],[Vertex 2]],GroupVertices[Vertex],0)),1,1,"")</f>
        <v>hakira</v>
      </c>
    </row>
    <row r="100" spans="1:18" ht="15">
      <c r="A100" s="64" t="s">
        <v>214</v>
      </c>
      <c r="B100" s="64" t="s">
        <v>386</v>
      </c>
      <c r="C100" s="65" t="s">
        <v>4443</v>
      </c>
      <c r="D100" s="66">
        <v>3</v>
      </c>
      <c r="E100" s="67"/>
      <c r="F100" s="68">
        <v>40</v>
      </c>
      <c r="G100" s="65"/>
      <c r="H100" s="69"/>
      <c r="I100" s="70"/>
      <c r="J100" s="70"/>
      <c r="K100" s="34" t="s">
        <v>65</v>
      </c>
      <c r="L100" s="77">
        <v>100</v>
      </c>
      <c r="M100" s="77"/>
      <c r="N100" s="72"/>
      <c r="O100" s="79" t="s">
        <v>610</v>
      </c>
      <c r="P100" s="79">
        <v>1</v>
      </c>
      <c r="Q100" s="78" t="str">
        <f>REPLACE(INDEX(GroupVertices[Group],MATCH(Edges[[#This Row],[Vertex 1]],GroupVertices[Vertex],0)),1,1,"")</f>
        <v>nlineCEUCredit</v>
      </c>
      <c r="R100" s="78" t="str">
        <f>REPLACE(INDEX(GroupVertices[Group],MATCH(Edges[[#This Row],[Vertex 2]],GroupVertices[Vertex],0)),1,1,"")</f>
        <v>nlineCEUCredit</v>
      </c>
    </row>
    <row r="101" spans="1:18" ht="15">
      <c r="A101" s="64" t="s">
        <v>214</v>
      </c>
      <c r="B101" s="64" t="s">
        <v>326</v>
      </c>
      <c r="C101" s="65" t="s">
        <v>4443</v>
      </c>
      <c r="D101" s="66">
        <v>3</v>
      </c>
      <c r="E101" s="67"/>
      <c r="F101" s="68">
        <v>40</v>
      </c>
      <c r="G101" s="65"/>
      <c r="H101" s="69"/>
      <c r="I101" s="70"/>
      <c r="J101" s="70"/>
      <c r="K101" s="34" t="s">
        <v>65</v>
      </c>
      <c r="L101" s="77">
        <v>101</v>
      </c>
      <c r="M101" s="77"/>
      <c r="N101" s="72"/>
      <c r="O101" s="79" t="s">
        <v>610</v>
      </c>
      <c r="P101" s="79">
        <v>1</v>
      </c>
      <c r="Q101" s="78" t="str">
        <f>REPLACE(INDEX(GroupVertices[Group],MATCH(Edges[[#This Row],[Vertex 1]],GroupVertices[Vertex],0)),1,1,"")</f>
        <v>nlineCEUCredit</v>
      </c>
      <c r="R101" s="78" t="str">
        <f>REPLACE(INDEX(GroupVertices[Group],MATCH(Edges[[#This Row],[Vertex 2]],GroupVertices[Vertex],0)),1,1,"")</f>
        <v>eady Study Go</v>
      </c>
    </row>
    <row r="102" spans="1:18" ht="15">
      <c r="A102" s="64" t="s">
        <v>214</v>
      </c>
      <c r="B102" s="64" t="s">
        <v>346</v>
      </c>
      <c r="C102" s="65" t="s">
        <v>4443</v>
      </c>
      <c r="D102" s="66">
        <v>3</v>
      </c>
      <c r="E102" s="67"/>
      <c r="F102" s="68">
        <v>40</v>
      </c>
      <c r="G102" s="65"/>
      <c r="H102" s="69"/>
      <c r="I102" s="70"/>
      <c r="J102" s="70"/>
      <c r="K102" s="34" t="s">
        <v>65</v>
      </c>
      <c r="L102" s="77">
        <v>102</v>
      </c>
      <c r="M102" s="77"/>
      <c r="N102" s="72"/>
      <c r="O102" s="79" t="s">
        <v>610</v>
      </c>
      <c r="P102" s="79">
        <v>1</v>
      </c>
      <c r="Q102" s="78" t="str">
        <f>REPLACE(INDEX(GroupVertices[Group],MATCH(Edges[[#This Row],[Vertex 1]],GroupVertices[Vertex],0)),1,1,"")</f>
        <v>nlineCEUCredit</v>
      </c>
      <c r="R102" s="78" t="str">
        <f>REPLACE(INDEX(GroupVertices[Group],MATCH(Edges[[#This Row],[Vertex 2]],GroupVertices[Vertex],0)),1,1,"")</f>
        <v>nlineCEUCredit</v>
      </c>
    </row>
    <row r="103" spans="1:18" ht="15">
      <c r="A103" s="64" t="s">
        <v>214</v>
      </c>
      <c r="B103" s="64" t="s">
        <v>327</v>
      </c>
      <c r="C103" s="65" t="s">
        <v>4443</v>
      </c>
      <c r="D103" s="66">
        <v>3</v>
      </c>
      <c r="E103" s="67"/>
      <c r="F103" s="68">
        <v>40</v>
      </c>
      <c r="G103" s="65"/>
      <c r="H103" s="69"/>
      <c r="I103" s="70"/>
      <c r="J103" s="70"/>
      <c r="K103" s="34" t="s">
        <v>65</v>
      </c>
      <c r="L103" s="77">
        <v>103</v>
      </c>
      <c r="M103" s="77"/>
      <c r="N103" s="72"/>
      <c r="O103" s="79" t="s">
        <v>610</v>
      </c>
      <c r="P103" s="79">
        <v>1</v>
      </c>
      <c r="Q103" s="78" t="str">
        <f>REPLACE(INDEX(GroupVertices[Group],MATCH(Edges[[#This Row],[Vertex 1]],GroupVertices[Vertex],0)),1,1,"")</f>
        <v>nlineCEUCredit</v>
      </c>
      <c r="R103" s="78" t="str">
        <f>REPLACE(INDEX(GroupVertices[Group],MATCH(Edges[[#This Row],[Vertex 2]],GroupVertices[Vertex],0)),1,1,"")</f>
        <v>nlineCEUCredit</v>
      </c>
    </row>
    <row r="104" spans="1:18" ht="15">
      <c r="A104" s="64" t="s">
        <v>214</v>
      </c>
      <c r="B104" s="64" t="s">
        <v>328</v>
      </c>
      <c r="C104" s="65" t="s">
        <v>4443</v>
      </c>
      <c r="D104" s="66">
        <v>3</v>
      </c>
      <c r="E104" s="67"/>
      <c r="F104" s="68">
        <v>40</v>
      </c>
      <c r="G104" s="65"/>
      <c r="H104" s="69"/>
      <c r="I104" s="70"/>
      <c r="J104" s="70"/>
      <c r="K104" s="34" t="s">
        <v>65</v>
      </c>
      <c r="L104" s="77">
        <v>104</v>
      </c>
      <c r="M104" s="77"/>
      <c r="N104" s="72"/>
      <c r="O104" s="79" t="s">
        <v>610</v>
      </c>
      <c r="P104" s="79">
        <v>1</v>
      </c>
      <c r="Q104" s="78" t="str">
        <f>REPLACE(INDEX(GroupVertices[Group],MATCH(Edges[[#This Row],[Vertex 1]],GroupVertices[Vertex],0)),1,1,"")</f>
        <v>nlineCEUCredit</v>
      </c>
      <c r="R104" s="78" t="str">
        <f>REPLACE(INDEX(GroupVertices[Group],MATCH(Edges[[#This Row],[Vertex 2]],GroupVertices[Vertex],0)),1,1,"")</f>
        <v>nlineCEUCredit</v>
      </c>
    </row>
    <row r="105" spans="1:18" ht="15">
      <c r="A105" s="64" t="s">
        <v>214</v>
      </c>
      <c r="B105" s="64" t="s">
        <v>329</v>
      </c>
      <c r="C105" s="65" t="s">
        <v>4443</v>
      </c>
      <c r="D105" s="66">
        <v>3</v>
      </c>
      <c r="E105" s="67"/>
      <c r="F105" s="68">
        <v>40</v>
      </c>
      <c r="G105" s="65"/>
      <c r="H105" s="69"/>
      <c r="I105" s="70"/>
      <c r="J105" s="70"/>
      <c r="K105" s="34" t="s">
        <v>65</v>
      </c>
      <c r="L105" s="77">
        <v>105</v>
      </c>
      <c r="M105" s="77"/>
      <c r="N105" s="72"/>
      <c r="O105" s="79" t="s">
        <v>610</v>
      </c>
      <c r="P105" s="79">
        <v>1</v>
      </c>
      <c r="Q105" s="78" t="str">
        <f>REPLACE(INDEX(GroupVertices[Group],MATCH(Edges[[#This Row],[Vertex 1]],GroupVertices[Vertex],0)),1,1,"")</f>
        <v>nlineCEUCredit</v>
      </c>
      <c r="R105" s="78" t="str">
        <f>REPLACE(INDEX(GroupVertices[Group],MATCH(Edges[[#This Row],[Vertex 2]],GroupVertices[Vertex],0)),1,1,"")</f>
        <v>nlineCEUCredit</v>
      </c>
    </row>
    <row r="106" spans="1:18" ht="15">
      <c r="A106" s="64" t="s">
        <v>214</v>
      </c>
      <c r="B106" s="64" t="s">
        <v>338</v>
      </c>
      <c r="C106" s="65" t="s">
        <v>4443</v>
      </c>
      <c r="D106" s="66">
        <v>3</v>
      </c>
      <c r="E106" s="67"/>
      <c r="F106" s="68">
        <v>40</v>
      </c>
      <c r="G106" s="65"/>
      <c r="H106" s="69"/>
      <c r="I106" s="70"/>
      <c r="J106" s="70"/>
      <c r="K106" s="34" t="s">
        <v>65</v>
      </c>
      <c r="L106" s="77">
        <v>106</v>
      </c>
      <c r="M106" s="77"/>
      <c r="N106" s="72"/>
      <c r="O106" s="79" t="s">
        <v>610</v>
      </c>
      <c r="P106" s="79">
        <v>1</v>
      </c>
      <c r="Q106" s="78" t="str">
        <f>REPLACE(INDEX(GroupVertices[Group],MATCH(Edges[[#This Row],[Vertex 1]],GroupVertices[Vertex],0)),1,1,"")</f>
        <v>nlineCEUCredit</v>
      </c>
      <c r="R106" s="78" t="str">
        <f>REPLACE(INDEX(GroupVertices[Group],MATCH(Edges[[#This Row],[Vertex 2]],GroupVertices[Vertex],0)),1,1,"")</f>
        <v>nlineCEUCredit</v>
      </c>
    </row>
    <row r="107" spans="1:18" ht="15">
      <c r="A107" s="64" t="s">
        <v>214</v>
      </c>
      <c r="B107" s="64" t="s">
        <v>330</v>
      </c>
      <c r="C107" s="65" t="s">
        <v>4443</v>
      </c>
      <c r="D107" s="66">
        <v>3</v>
      </c>
      <c r="E107" s="67"/>
      <c r="F107" s="68">
        <v>40</v>
      </c>
      <c r="G107" s="65"/>
      <c r="H107" s="69"/>
      <c r="I107" s="70"/>
      <c r="J107" s="70"/>
      <c r="K107" s="34" t="s">
        <v>65</v>
      </c>
      <c r="L107" s="77">
        <v>107</v>
      </c>
      <c r="M107" s="77"/>
      <c r="N107" s="72"/>
      <c r="O107" s="79" t="s">
        <v>610</v>
      </c>
      <c r="P107" s="79">
        <v>1</v>
      </c>
      <c r="Q107" s="78" t="str">
        <f>REPLACE(INDEX(GroupVertices[Group],MATCH(Edges[[#This Row],[Vertex 1]],GroupVertices[Vertex],0)),1,1,"")</f>
        <v>nlineCEUCredit</v>
      </c>
      <c r="R107" s="78" t="str">
        <f>REPLACE(INDEX(GroupVertices[Group],MATCH(Edges[[#This Row],[Vertex 2]],GroupVertices[Vertex],0)),1,1,"")</f>
        <v>nlineCEUCredit</v>
      </c>
    </row>
    <row r="108" spans="1:18" ht="15">
      <c r="A108" s="64" t="s">
        <v>214</v>
      </c>
      <c r="B108" s="64" t="s">
        <v>334</v>
      </c>
      <c r="C108" s="65" t="s">
        <v>4443</v>
      </c>
      <c r="D108" s="66">
        <v>3</v>
      </c>
      <c r="E108" s="67"/>
      <c r="F108" s="68">
        <v>40</v>
      </c>
      <c r="G108" s="65"/>
      <c r="H108" s="69"/>
      <c r="I108" s="70"/>
      <c r="J108" s="70"/>
      <c r="K108" s="34" t="s">
        <v>65</v>
      </c>
      <c r="L108" s="77">
        <v>108</v>
      </c>
      <c r="M108" s="77"/>
      <c r="N108" s="72"/>
      <c r="O108" s="79" t="s">
        <v>610</v>
      </c>
      <c r="P108" s="79">
        <v>1</v>
      </c>
      <c r="Q108" s="78" t="str">
        <f>REPLACE(INDEX(GroupVertices[Group],MATCH(Edges[[#This Row],[Vertex 1]],GroupVertices[Vertex],0)),1,1,"")</f>
        <v>nlineCEUCredit</v>
      </c>
      <c r="R108" s="78" t="str">
        <f>REPLACE(INDEX(GroupVertices[Group],MATCH(Edges[[#This Row],[Vertex 2]],GroupVertices[Vertex],0)),1,1,"")</f>
        <v>nlineCEUCredit</v>
      </c>
    </row>
    <row r="109" spans="1:18" ht="15">
      <c r="A109" s="64" t="s">
        <v>214</v>
      </c>
      <c r="B109" s="64" t="s">
        <v>345</v>
      </c>
      <c r="C109" s="65" t="s">
        <v>4443</v>
      </c>
      <c r="D109" s="66">
        <v>3</v>
      </c>
      <c r="E109" s="67"/>
      <c r="F109" s="68">
        <v>40</v>
      </c>
      <c r="G109" s="65"/>
      <c r="H109" s="69"/>
      <c r="I109" s="70"/>
      <c r="J109" s="70"/>
      <c r="K109" s="34" t="s">
        <v>65</v>
      </c>
      <c r="L109" s="77">
        <v>109</v>
      </c>
      <c r="M109" s="77"/>
      <c r="N109" s="72"/>
      <c r="O109" s="79" t="s">
        <v>610</v>
      </c>
      <c r="P109" s="79">
        <v>1</v>
      </c>
      <c r="Q109" s="78" t="str">
        <f>REPLACE(INDEX(GroupVertices[Group],MATCH(Edges[[#This Row],[Vertex 1]],GroupVertices[Vertex],0)),1,1,"")</f>
        <v>nlineCEUCredit</v>
      </c>
      <c r="R109" s="78" t="str">
        <f>REPLACE(INDEX(GroupVertices[Group],MATCH(Edges[[#This Row],[Vertex 2]],GroupVertices[Vertex],0)),1,1,"")</f>
        <v>nlineCEUCredit</v>
      </c>
    </row>
    <row r="110" spans="1:18" ht="15">
      <c r="A110" s="64" t="s">
        <v>214</v>
      </c>
      <c r="B110" s="64" t="s">
        <v>332</v>
      </c>
      <c r="C110" s="65" t="s">
        <v>4443</v>
      </c>
      <c r="D110" s="66">
        <v>3</v>
      </c>
      <c r="E110" s="67"/>
      <c r="F110" s="68">
        <v>40</v>
      </c>
      <c r="G110" s="65"/>
      <c r="H110" s="69"/>
      <c r="I110" s="70"/>
      <c r="J110" s="70"/>
      <c r="K110" s="34" t="s">
        <v>65</v>
      </c>
      <c r="L110" s="77">
        <v>110</v>
      </c>
      <c r="M110" s="77"/>
      <c r="N110" s="72"/>
      <c r="O110" s="79" t="s">
        <v>610</v>
      </c>
      <c r="P110" s="79">
        <v>1</v>
      </c>
      <c r="Q110" s="78" t="str">
        <f>REPLACE(INDEX(GroupVertices[Group],MATCH(Edges[[#This Row],[Vertex 1]],GroupVertices[Vertex],0)),1,1,"")</f>
        <v>nlineCEUCredit</v>
      </c>
      <c r="R110" s="78" t="str">
        <f>REPLACE(INDEX(GroupVertices[Group],MATCH(Edges[[#This Row],[Vertex 2]],GroupVertices[Vertex],0)),1,1,"")</f>
        <v>nlineCEUCredit</v>
      </c>
    </row>
    <row r="111" spans="1:18" ht="15">
      <c r="A111" s="64" t="s">
        <v>214</v>
      </c>
      <c r="B111" s="64" t="s">
        <v>333</v>
      </c>
      <c r="C111" s="65" t="s">
        <v>4443</v>
      </c>
      <c r="D111" s="66">
        <v>3</v>
      </c>
      <c r="E111" s="67"/>
      <c r="F111" s="68">
        <v>40</v>
      </c>
      <c r="G111" s="65"/>
      <c r="H111" s="69"/>
      <c r="I111" s="70"/>
      <c r="J111" s="70"/>
      <c r="K111" s="34" t="s">
        <v>65</v>
      </c>
      <c r="L111" s="77">
        <v>111</v>
      </c>
      <c r="M111" s="77"/>
      <c r="N111" s="72"/>
      <c r="O111" s="79" t="s">
        <v>610</v>
      </c>
      <c r="P111" s="79">
        <v>1</v>
      </c>
      <c r="Q111" s="78" t="str">
        <f>REPLACE(INDEX(GroupVertices[Group],MATCH(Edges[[#This Row],[Vertex 1]],GroupVertices[Vertex],0)),1,1,"")</f>
        <v>nlineCEUCredit</v>
      </c>
      <c r="R111" s="78" t="str">
        <f>REPLACE(INDEX(GroupVertices[Group],MATCH(Edges[[#This Row],[Vertex 2]],GroupVertices[Vertex],0)),1,1,"")</f>
        <v>nlineCEUCredit</v>
      </c>
    </row>
    <row r="112" spans="1:18" ht="15">
      <c r="A112" s="64" t="s">
        <v>214</v>
      </c>
      <c r="B112" s="64" t="s">
        <v>348</v>
      </c>
      <c r="C112" s="65" t="s">
        <v>4443</v>
      </c>
      <c r="D112" s="66">
        <v>3</v>
      </c>
      <c r="E112" s="67"/>
      <c r="F112" s="68">
        <v>40</v>
      </c>
      <c r="G112" s="65"/>
      <c r="H112" s="69"/>
      <c r="I112" s="70"/>
      <c r="J112" s="70"/>
      <c r="K112" s="34" t="s">
        <v>65</v>
      </c>
      <c r="L112" s="77">
        <v>112</v>
      </c>
      <c r="M112" s="77"/>
      <c r="N112" s="72"/>
      <c r="O112" s="79" t="s">
        <v>610</v>
      </c>
      <c r="P112" s="79">
        <v>1</v>
      </c>
      <c r="Q112" s="78" t="str">
        <f>REPLACE(INDEX(GroupVertices[Group],MATCH(Edges[[#This Row],[Vertex 1]],GroupVertices[Vertex],0)),1,1,"")</f>
        <v>nlineCEUCredit</v>
      </c>
      <c r="R112" s="78" t="str">
        <f>REPLACE(INDEX(GroupVertices[Group],MATCH(Edges[[#This Row],[Vertex 2]],GroupVertices[Vertex],0)),1,1,"")</f>
        <v>nlineCEUCredit</v>
      </c>
    </row>
    <row r="113" spans="1:18" ht="15">
      <c r="A113" s="64" t="s">
        <v>214</v>
      </c>
      <c r="B113" s="64" t="s">
        <v>335</v>
      </c>
      <c r="C113" s="65" t="s">
        <v>4443</v>
      </c>
      <c r="D113" s="66">
        <v>3</v>
      </c>
      <c r="E113" s="67"/>
      <c r="F113" s="68">
        <v>40</v>
      </c>
      <c r="G113" s="65"/>
      <c r="H113" s="69"/>
      <c r="I113" s="70"/>
      <c r="J113" s="70"/>
      <c r="K113" s="34" t="s">
        <v>65</v>
      </c>
      <c r="L113" s="77">
        <v>113</v>
      </c>
      <c r="M113" s="77"/>
      <c r="N113" s="72"/>
      <c r="O113" s="79" t="s">
        <v>610</v>
      </c>
      <c r="P113" s="79">
        <v>1</v>
      </c>
      <c r="Q113" s="78" t="str">
        <f>REPLACE(INDEX(GroupVertices[Group],MATCH(Edges[[#This Row],[Vertex 1]],GroupVertices[Vertex],0)),1,1,"")</f>
        <v>nlineCEUCredit</v>
      </c>
      <c r="R113" s="78" t="str">
        <f>REPLACE(INDEX(GroupVertices[Group],MATCH(Edges[[#This Row],[Vertex 2]],GroupVertices[Vertex],0)),1,1,"")</f>
        <v>nlineCEUCredit</v>
      </c>
    </row>
    <row r="114" spans="1:18" ht="15">
      <c r="A114" s="64" t="s">
        <v>214</v>
      </c>
      <c r="B114" s="64" t="s">
        <v>336</v>
      </c>
      <c r="C114" s="65" t="s">
        <v>4443</v>
      </c>
      <c r="D114" s="66">
        <v>3</v>
      </c>
      <c r="E114" s="67"/>
      <c r="F114" s="68">
        <v>40</v>
      </c>
      <c r="G114" s="65"/>
      <c r="H114" s="69"/>
      <c r="I114" s="70"/>
      <c r="J114" s="70"/>
      <c r="K114" s="34" t="s">
        <v>65</v>
      </c>
      <c r="L114" s="77">
        <v>114</v>
      </c>
      <c r="M114" s="77"/>
      <c r="N114" s="72"/>
      <c r="O114" s="79" t="s">
        <v>610</v>
      </c>
      <c r="P114" s="79">
        <v>1</v>
      </c>
      <c r="Q114" s="78" t="str">
        <f>REPLACE(INDEX(GroupVertices[Group],MATCH(Edges[[#This Row],[Vertex 1]],GroupVertices[Vertex],0)),1,1,"")</f>
        <v>nlineCEUCredit</v>
      </c>
      <c r="R114" s="78" t="str">
        <f>REPLACE(INDEX(GroupVertices[Group],MATCH(Edges[[#This Row],[Vertex 2]],GroupVertices[Vertex],0)),1,1,"")</f>
        <v>nlineCEUCredit</v>
      </c>
    </row>
    <row r="115" spans="1:18" ht="15">
      <c r="A115" s="64" t="s">
        <v>214</v>
      </c>
      <c r="B115" s="64" t="s">
        <v>331</v>
      </c>
      <c r="C115" s="65" t="s">
        <v>4443</v>
      </c>
      <c r="D115" s="66">
        <v>3</v>
      </c>
      <c r="E115" s="67"/>
      <c r="F115" s="68">
        <v>40</v>
      </c>
      <c r="G115" s="65"/>
      <c r="H115" s="69"/>
      <c r="I115" s="70"/>
      <c r="J115" s="70"/>
      <c r="K115" s="34" t="s">
        <v>65</v>
      </c>
      <c r="L115" s="77">
        <v>115</v>
      </c>
      <c r="M115" s="77"/>
      <c r="N115" s="72"/>
      <c r="O115" s="79" t="s">
        <v>610</v>
      </c>
      <c r="P115" s="79">
        <v>1</v>
      </c>
      <c r="Q115" s="78" t="str">
        <f>REPLACE(INDEX(GroupVertices[Group],MATCH(Edges[[#This Row],[Vertex 1]],GroupVertices[Vertex],0)),1,1,"")</f>
        <v>nlineCEUCredit</v>
      </c>
      <c r="R115" s="78" t="str">
        <f>REPLACE(INDEX(GroupVertices[Group],MATCH(Edges[[#This Row],[Vertex 2]],GroupVertices[Vertex],0)),1,1,"")</f>
        <v>nlineCEUCredit</v>
      </c>
    </row>
    <row r="116" spans="1:18" ht="15">
      <c r="A116" s="64" t="s">
        <v>214</v>
      </c>
      <c r="B116" s="64" t="s">
        <v>341</v>
      </c>
      <c r="C116" s="65" t="s">
        <v>4443</v>
      </c>
      <c r="D116" s="66">
        <v>3</v>
      </c>
      <c r="E116" s="67"/>
      <c r="F116" s="68">
        <v>40</v>
      </c>
      <c r="G116" s="65"/>
      <c r="H116" s="69"/>
      <c r="I116" s="70"/>
      <c r="J116" s="70"/>
      <c r="K116" s="34" t="s">
        <v>65</v>
      </c>
      <c r="L116" s="77">
        <v>116</v>
      </c>
      <c r="M116" s="77"/>
      <c r="N116" s="72"/>
      <c r="O116" s="79" t="s">
        <v>610</v>
      </c>
      <c r="P116" s="79">
        <v>1</v>
      </c>
      <c r="Q116" s="78" t="str">
        <f>REPLACE(INDEX(GroupVertices[Group],MATCH(Edges[[#This Row],[Vertex 1]],GroupVertices[Vertex],0)),1,1,"")</f>
        <v>nlineCEUCredit</v>
      </c>
      <c r="R116" s="78" t="str">
        <f>REPLACE(INDEX(GroupVertices[Group],MATCH(Edges[[#This Row],[Vertex 2]],GroupVertices[Vertex],0)),1,1,"")</f>
        <v>nlineCEUCredit</v>
      </c>
    </row>
    <row r="117" spans="1:18" ht="15">
      <c r="A117" s="64" t="s">
        <v>214</v>
      </c>
      <c r="B117" s="64" t="s">
        <v>339</v>
      </c>
      <c r="C117" s="65" t="s">
        <v>4443</v>
      </c>
      <c r="D117" s="66">
        <v>3</v>
      </c>
      <c r="E117" s="67"/>
      <c r="F117" s="68">
        <v>40</v>
      </c>
      <c r="G117" s="65"/>
      <c r="H117" s="69"/>
      <c r="I117" s="70"/>
      <c r="J117" s="70"/>
      <c r="K117" s="34" t="s">
        <v>65</v>
      </c>
      <c r="L117" s="77">
        <v>117</v>
      </c>
      <c r="M117" s="77"/>
      <c r="N117" s="72"/>
      <c r="O117" s="79" t="s">
        <v>610</v>
      </c>
      <c r="P117" s="79">
        <v>1</v>
      </c>
      <c r="Q117" s="78" t="str">
        <f>REPLACE(INDEX(GroupVertices[Group],MATCH(Edges[[#This Row],[Vertex 1]],GroupVertices[Vertex],0)),1,1,"")</f>
        <v>nlineCEUCredit</v>
      </c>
      <c r="R117" s="78" t="str">
        <f>REPLACE(INDEX(GroupVertices[Group],MATCH(Edges[[#This Row],[Vertex 2]],GroupVertices[Vertex],0)),1,1,"")</f>
        <v>nlineCEUCredit</v>
      </c>
    </row>
    <row r="118" spans="1:18" ht="15">
      <c r="A118" s="64" t="s">
        <v>214</v>
      </c>
      <c r="B118" s="64" t="s">
        <v>344</v>
      </c>
      <c r="C118" s="65" t="s">
        <v>4443</v>
      </c>
      <c r="D118" s="66">
        <v>3</v>
      </c>
      <c r="E118" s="67"/>
      <c r="F118" s="68">
        <v>40</v>
      </c>
      <c r="G118" s="65"/>
      <c r="H118" s="69"/>
      <c r="I118" s="70"/>
      <c r="J118" s="70"/>
      <c r="K118" s="34" t="s">
        <v>65</v>
      </c>
      <c r="L118" s="77">
        <v>118</v>
      </c>
      <c r="M118" s="77"/>
      <c r="N118" s="72"/>
      <c r="O118" s="79" t="s">
        <v>610</v>
      </c>
      <c r="P118" s="79">
        <v>1</v>
      </c>
      <c r="Q118" s="78" t="str">
        <f>REPLACE(INDEX(GroupVertices[Group],MATCH(Edges[[#This Row],[Vertex 1]],GroupVertices[Vertex],0)),1,1,"")</f>
        <v>nlineCEUCredit</v>
      </c>
      <c r="R118" s="78" t="str">
        <f>REPLACE(INDEX(GroupVertices[Group],MATCH(Edges[[#This Row],[Vertex 2]],GroupVertices[Vertex],0)),1,1,"")</f>
        <v>nlineCEUCredit</v>
      </c>
    </row>
    <row r="119" spans="1:18" ht="15">
      <c r="A119" s="64" t="s">
        <v>214</v>
      </c>
      <c r="B119" s="64" t="s">
        <v>340</v>
      </c>
      <c r="C119" s="65" t="s">
        <v>4443</v>
      </c>
      <c r="D119" s="66">
        <v>3</v>
      </c>
      <c r="E119" s="67"/>
      <c r="F119" s="68">
        <v>40</v>
      </c>
      <c r="G119" s="65"/>
      <c r="H119" s="69"/>
      <c r="I119" s="70"/>
      <c r="J119" s="70"/>
      <c r="K119" s="34" t="s">
        <v>65</v>
      </c>
      <c r="L119" s="77">
        <v>119</v>
      </c>
      <c r="M119" s="77"/>
      <c r="N119" s="72"/>
      <c r="O119" s="79" t="s">
        <v>610</v>
      </c>
      <c r="P119" s="79">
        <v>1</v>
      </c>
      <c r="Q119" s="78" t="str">
        <f>REPLACE(INDEX(GroupVertices[Group],MATCH(Edges[[#This Row],[Vertex 1]],GroupVertices[Vertex],0)),1,1,"")</f>
        <v>nlineCEUCredit</v>
      </c>
      <c r="R119" s="78" t="str">
        <f>REPLACE(INDEX(GroupVertices[Group],MATCH(Edges[[#This Row],[Vertex 2]],GroupVertices[Vertex],0)),1,1,"")</f>
        <v>nlineCEUCredit</v>
      </c>
    </row>
    <row r="120" spans="1:18" ht="15">
      <c r="A120" s="64" t="s">
        <v>202</v>
      </c>
      <c r="B120" s="64" t="s">
        <v>210</v>
      </c>
      <c r="C120" s="65" t="s">
        <v>4443</v>
      </c>
      <c r="D120" s="66">
        <v>3</v>
      </c>
      <c r="E120" s="67"/>
      <c r="F120" s="68">
        <v>40</v>
      </c>
      <c r="G120" s="65"/>
      <c r="H120" s="69"/>
      <c r="I120" s="70"/>
      <c r="J120" s="70"/>
      <c r="K120" s="34" t="s">
        <v>65</v>
      </c>
      <c r="L120" s="77">
        <v>120</v>
      </c>
      <c r="M120" s="77"/>
      <c r="N120" s="72"/>
      <c r="O120" s="79" t="s">
        <v>610</v>
      </c>
      <c r="P120" s="79">
        <v>1</v>
      </c>
      <c r="Q120" s="78" t="str">
        <f>REPLACE(INDEX(GroupVertices[Group],MATCH(Edges[[#This Row],[Vertex 1]],GroupVertices[Vertex],0)),1,1,"")</f>
        <v>nlineCEUCredit</v>
      </c>
      <c r="R120" s="78" t="str">
        <f>REPLACE(INDEX(GroupVertices[Group],MATCH(Edges[[#This Row],[Vertex 2]],GroupVertices[Vertex],0)),1,1,"")</f>
        <v>nlineCEUCredit</v>
      </c>
    </row>
    <row r="121" spans="1:18" ht="15">
      <c r="A121" s="64" t="s">
        <v>202</v>
      </c>
      <c r="B121" s="64" t="s">
        <v>346</v>
      </c>
      <c r="C121" s="65" t="s">
        <v>4443</v>
      </c>
      <c r="D121" s="66">
        <v>3</v>
      </c>
      <c r="E121" s="67"/>
      <c r="F121" s="68">
        <v>40</v>
      </c>
      <c r="G121" s="65"/>
      <c r="H121" s="69"/>
      <c r="I121" s="70"/>
      <c r="J121" s="70"/>
      <c r="K121" s="34" t="s">
        <v>65</v>
      </c>
      <c r="L121" s="77">
        <v>121</v>
      </c>
      <c r="M121" s="77"/>
      <c r="N121" s="72"/>
      <c r="O121" s="79" t="s">
        <v>610</v>
      </c>
      <c r="P121" s="79">
        <v>1</v>
      </c>
      <c r="Q121" s="78" t="str">
        <f>REPLACE(INDEX(GroupVertices[Group],MATCH(Edges[[#This Row],[Vertex 1]],GroupVertices[Vertex],0)),1,1,"")</f>
        <v>nlineCEUCredit</v>
      </c>
      <c r="R121" s="78" t="str">
        <f>REPLACE(INDEX(GroupVertices[Group],MATCH(Edges[[#This Row],[Vertex 2]],GroupVertices[Vertex],0)),1,1,"")</f>
        <v>nlineCEUCredit</v>
      </c>
    </row>
    <row r="122" spans="1:18" ht="15">
      <c r="A122" s="64" t="s">
        <v>202</v>
      </c>
      <c r="B122" s="64" t="s">
        <v>334</v>
      </c>
      <c r="C122" s="65" t="s">
        <v>4443</v>
      </c>
      <c r="D122" s="66">
        <v>3</v>
      </c>
      <c r="E122" s="67"/>
      <c r="F122" s="68">
        <v>40</v>
      </c>
      <c r="G122" s="65"/>
      <c r="H122" s="69"/>
      <c r="I122" s="70"/>
      <c r="J122" s="70"/>
      <c r="K122" s="34" t="s">
        <v>65</v>
      </c>
      <c r="L122" s="77">
        <v>122</v>
      </c>
      <c r="M122" s="77"/>
      <c r="N122" s="72"/>
      <c r="O122" s="79" t="s">
        <v>610</v>
      </c>
      <c r="P122" s="79">
        <v>1</v>
      </c>
      <c r="Q122" s="78" t="str">
        <f>REPLACE(INDEX(GroupVertices[Group],MATCH(Edges[[#This Row],[Vertex 1]],GroupVertices[Vertex],0)),1,1,"")</f>
        <v>nlineCEUCredit</v>
      </c>
      <c r="R122" s="78" t="str">
        <f>REPLACE(INDEX(GroupVertices[Group],MATCH(Edges[[#This Row],[Vertex 2]],GroupVertices[Vertex],0)),1,1,"")</f>
        <v>nlineCEUCredit</v>
      </c>
    </row>
    <row r="123" spans="1:18" ht="15">
      <c r="A123" s="64" t="s">
        <v>202</v>
      </c>
      <c r="B123" s="64" t="s">
        <v>333</v>
      </c>
      <c r="C123" s="65" t="s">
        <v>4443</v>
      </c>
      <c r="D123" s="66">
        <v>3</v>
      </c>
      <c r="E123" s="67"/>
      <c r="F123" s="68">
        <v>40</v>
      </c>
      <c r="G123" s="65"/>
      <c r="H123" s="69"/>
      <c r="I123" s="70"/>
      <c r="J123" s="70"/>
      <c r="K123" s="34" t="s">
        <v>65</v>
      </c>
      <c r="L123" s="77">
        <v>123</v>
      </c>
      <c r="M123" s="77"/>
      <c r="N123" s="72"/>
      <c r="O123" s="79" t="s">
        <v>610</v>
      </c>
      <c r="P123" s="79">
        <v>1</v>
      </c>
      <c r="Q123" s="78" t="str">
        <f>REPLACE(INDEX(GroupVertices[Group],MATCH(Edges[[#This Row],[Vertex 1]],GroupVertices[Vertex],0)),1,1,"")</f>
        <v>nlineCEUCredit</v>
      </c>
      <c r="R123" s="78" t="str">
        <f>REPLACE(INDEX(GroupVertices[Group],MATCH(Edges[[#This Row],[Vertex 2]],GroupVertices[Vertex],0)),1,1,"")</f>
        <v>nlineCEUCredit</v>
      </c>
    </row>
    <row r="124" spans="1:18" ht="15">
      <c r="A124" s="64" t="s">
        <v>202</v>
      </c>
      <c r="B124" s="64" t="s">
        <v>336</v>
      </c>
      <c r="C124" s="65" t="s">
        <v>4443</v>
      </c>
      <c r="D124" s="66">
        <v>3</v>
      </c>
      <c r="E124" s="67"/>
      <c r="F124" s="68">
        <v>40</v>
      </c>
      <c r="G124" s="65"/>
      <c r="H124" s="69"/>
      <c r="I124" s="70"/>
      <c r="J124" s="70"/>
      <c r="K124" s="34" t="s">
        <v>65</v>
      </c>
      <c r="L124" s="77">
        <v>124</v>
      </c>
      <c r="M124" s="77"/>
      <c r="N124" s="72"/>
      <c r="O124" s="79" t="s">
        <v>610</v>
      </c>
      <c r="P124" s="79">
        <v>1</v>
      </c>
      <c r="Q124" s="78" t="str">
        <f>REPLACE(INDEX(GroupVertices[Group],MATCH(Edges[[#This Row],[Vertex 1]],GroupVertices[Vertex],0)),1,1,"")</f>
        <v>nlineCEUCredit</v>
      </c>
      <c r="R124" s="78" t="str">
        <f>REPLACE(INDEX(GroupVertices[Group],MATCH(Edges[[#This Row],[Vertex 2]],GroupVertices[Vertex],0)),1,1,"")</f>
        <v>nlineCEUCredit</v>
      </c>
    </row>
    <row r="125" spans="1:18" ht="15">
      <c r="A125" s="64" t="s">
        <v>202</v>
      </c>
      <c r="B125" s="64" t="s">
        <v>338</v>
      </c>
      <c r="C125" s="65" t="s">
        <v>4443</v>
      </c>
      <c r="D125" s="66">
        <v>3</v>
      </c>
      <c r="E125" s="67"/>
      <c r="F125" s="68">
        <v>40</v>
      </c>
      <c r="G125" s="65"/>
      <c r="H125" s="69"/>
      <c r="I125" s="70"/>
      <c r="J125" s="70"/>
      <c r="K125" s="34" t="s">
        <v>65</v>
      </c>
      <c r="L125" s="77">
        <v>125</v>
      </c>
      <c r="M125" s="77"/>
      <c r="N125" s="72"/>
      <c r="O125" s="79" t="s">
        <v>610</v>
      </c>
      <c r="P125" s="79">
        <v>1</v>
      </c>
      <c r="Q125" s="78" t="str">
        <f>REPLACE(INDEX(GroupVertices[Group],MATCH(Edges[[#This Row],[Vertex 1]],GroupVertices[Vertex],0)),1,1,"")</f>
        <v>nlineCEUCredit</v>
      </c>
      <c r="R125" s="78" t="str">
        <f>REPLACE(INDEX(GroupVertices[Group],MATCH(Edges[[#This Row],[Vertex 2]],GroupVertices[Vertex],0)),1,1,"")</f>
        <v>nlineCEUCredit</v>
      </c>
    </row>
    <row r="126" spans="1:18" ht="15">
      <c r="A126" s="64" t="s">
        <v>202</v>
      </c>
      <c r="B126" s="64" t="s">
        <v>340</v>
      </c>
      <c r="C126" s="65" t="s">
        <v>4443</v>
      </c>
      <c r="D126" s="66">
        <v>3</v>
      </c>
      <c r="E126" s="67"/>
      <c r="F126" s="68">
        <v>40</v>
      </c>
      <c r="G126" s="65"/>
      <c r="H126" s="69"/>
      <c r="I126" s="70"/>
      <c r="J126" s="70"/>
      <c r="K126" s="34" t="s">
        <v>65</v>
      </c>
      <c r="L126" s="77">
        <v>126</v>
      </c>
      <c r="M126" s="77"/>
      <c r="N126" s="72"/>
      <c r="O126" s="79" t="s">
        <v>610</v>
      </c>
      <c r="P126" s="79">
        <v>1</v>
      </c>
      <c r="Q126" s="78" t="str">
        <f>REPLACE(INDEX(GroupVertices[Group],MATCH(Edges[[#This Row],[Vertex 1]],GroupVertices[Vertex],0)),1,1,"")</f>
        <v>nlineCEUCredit</v>
      </c>
      <c r="R126" s="78" t="str">
        <f>REPLACE(INDEX(GroupVertices[Group],MATCH(Edges[[#This Row],[Vertex 2]],GroupVertices[Vertex],0)),1,1,"")</f>
        <v>nlineCEUCredit</v>
      </c>
    </row>
    <row r="127" spans="1:18" ht="15">
      <c r="A127" s="64" t="s">
        <v>202</v>
      </c>
      <c r="B127" s="64" t="s">
        <v>327</v>
      </c>
      <c r="C127" s="65" t="s">
        <v>4443</v>
      </c>
      <c r="D127" s="66">
        <v>3</v>
      </c>
      <c r="E127" s="67"/>
      <c r="F127" s="68">
        <v>40</v>
      </c>
      <c r="G127" s="65"/>
      <c r="H127" s="69"/>
      <c r="I127" s="70"/>
      <c r="J127" s="70"/>
      <c r="K127" s="34" t="s">
        <v>65</v>
      </c>
      <c r="L127" s="77">
        <v>127</v>
      </c>
      <c r="M127" s="77"/>
      <c r="N127" s="72"/>
      <c r="O127" s="79" t="s">
        <v>610</v>
      </c>
      <c r="P127" s="79">
        <v>1</v>
      </c>
      <c r="Q127" s="78" t="str">
        <f>REPLACE(INDEX(GroupVertices[Group],MATCH(Edges[[#This Row],[Vertex 1]],GroupVertices[Vertex],0)),1,1,"")</f>
        <v>nlineCEUCredit</v>
      </c>
      <c r="R127" s="78" t="str">
        <f>REPLACE(INDEX(GroupVertices[Group],MATCH(Edges[[#This Row],[Vertex 2]],GroupVertices[Vertex],0)),1,1,"")</f>
        <v>nlineCEUCredit</v>
      </c>
    </row>
    <row r="128" spans="1:18" ht="15">
      <c r="A128" s="64" t="s">
        <v>202</v>
      </c>
      <c r="B128" s="64" t="s">
        <v>329</v>
      </c>
      <c r="C128" s="65" t="s">
        <v>4443</v>
      </c>
      <c r="D128" s="66">
        <v>3</v>
      </c>
      <c r="E128" s="67"/>
      <c r="F128" s="68">
        <v>40</v>
      </c>
      <c r="G128" s="65"/>
      <c r="H128" s="69"/>
      <c r="I128" s="70"/>
      <c r="J128" s="70"/>
      <c r="K128" s="34" t="s">
        <v>65</v>
      </c>
      <c r="L128" s="77">
        <v>128</v>
      </c>
      <c r="M128" s="77"/>
      <c r="N128" s="72"/>
      <c r="O128" s="79" t="s">
        <v>610</v>
      </c>
      <c r="P128" s="79">
        <v>1</v>
      </c>
      <c r="Q128" s="78" t="str">
        <f>REPLACE(INDEX(GroupVertices[Group],MATCH(Edges[[#This Row],[Vertex 1]],GroupVertices[Vertex],0)),1,1,"")</f>
        <v>nlineCEUCredit</v>
      </c>
      <c r="R128" s="78" t="str">
        <f>REPLACE(INDEX(GroupVertices[Group],MATCH(Edges[[#This Row],[Vertex 2]],GroupVertices[Vertex],0)),1,1,"")</f>
        <v>nlineCEUCredit</v>
      </c>
    </row>
    <row r="129" spans="1:18" ht="15">
      <c r="A129" s="64" t="s">
        <v>202</v>
      </c>
      <c r="B129" s="64" t="s">
        <v>332</v>
      </c>
      <c r="C129" s="65" t="s">
        <v>4443</v>
      </c>
      <c r="D129" s="66">
        <v>3</v>
      </c>
      <c r="E129" s="67"/>
      <c r="F129" s="68">
        <v>40</v>
      </c>
      <c r="G129" s="65"/>
      <c r="H129" s="69"/>
      <c r="I129" s="70"/>
      <c r="J129" s="70"/>
      <c r="K129" s="34" t="s">
        <v>65</v>
      </c>
      <c r="L129" s="77">
        <v>129</v>
      </c>
      <c r="M129" s="77"/>
      <c r="N129" s="72"/>
      <c r="O129" s="79" t="s">
        <v>610</v>
      </c>
      <c r="P129" s="79">
        <v>1</v>
      </c>
      <c r="Q129" s="78" t="str">
        <f>REPLACE(INDEX(GroupVertices[Group],MATCH(Edges[[#This Row],[Vertex 1]],GroupVertices[Vertex],0)),1,1,"")</f>
        <v>nlineCEUCredit</v>
      </c>
      <c r="R129" s="78" t="str">
        <f>REPLACE(INDEX(GroupVertices[Group],MATCH(Edges[[#This Row],[Vertex 2]],GroupVertices[Vertex],0)),1,1,"")</f>
        <v>nlineCEUCredit</v>
      </c>
    </row>
    <row r="130" spans="1:18" ht="15">
      <c r="A130" s="64" t="s">
        <v>202</v>
      </c>
      <c r="B130" s="64" t="s">
        <v>335</v>
      </c>
      <c r="C130" s="65" t="s">
        <v>4443</v>
      </c>
      <c r="D130" s="66">
        <v>3</v>
      </c>
      <c r="E130" s="67"/>
      <c r="F130" s="68">
        <v>40</v>
      </c>
      <c r="G130" s="65"/>
      <c r="H130" s="69"/>
      <c r="I130" s="70"/>
      <c r="J130" s="70"/>
      <c r="K130" s="34" t="s">
        <v>65</v>
      </c>
      <c r="L130" s="77">
        <v>130</v>
      </c>
      <c r="M130" s="77"/>
      <c r="N130" s="72"/>
      <c r="O130" s="79" t="s">
        <v>610</v>
      </c>
      <c r="P130" s="79">
        <v>1</v>
      </c>
      <c r="Q130" s="78" t="str">
        <f>REPLACE(INDEX(GroupVertices[Group],MATCH(Edges[[#This Row],[Vertex 1]],GroupVertices[Vertex],0)),1,1,"")</f>
        <v>nlineCEUCredit</v>
      </c>
      <c r="R130" s="78" t="str">
        <f>REPLACE(INDEX(GroupVertices[Group],MATCH(Edges[[#This Row],[Vertex 2]],GroupVertices[Vertex],0)),1,1,"")</f>
        <v>nlineCEUCredit</v>
      </c>
    </row>
    <row r="131" spans="1:18" ht="15">
      <c r="A131" s="64" t="s">
        <v>202</v>
      </c>
      <c r="B131" s="64" t="s">
        <v>328</v>
      </c>
      <c r="C131" s="65" t="s">
        <v>4443</v>
      </c>
      <c r="D131" s="66">
        <v>3</v>
      </c>
      <c r="E131" s="67"/>
      <c r="F131" s="68">
        <v>40</v>
      </c>
      <c r="G131" s="65"/>
      <c r="H131" s="69"/>
      <c r="I131" s="70"/>
      <c r="J131" s="70"/>
      <c r="K131" s="34" t="s">
        <v>65</v>
      </c>
      <c r="L131" s="77">
        <v>131</v>
      </c>
      <c r="M131" s="77"/>
      <c r="N131" s="72"/>
      <c r="O131" s="79" t="s">
        <v>610</v>
      </c>
      <c r="P131" s="79">
        <v>1</v>
      </c>
      <c r="Q131" s="78" t="str">
        <f>REPLACE(INDEX(GroupVertices[Group],MATCH(Edges[[#This Row],[Vertex 1]],GroupVertices[Vertex],0)),1,1,"")</f>
        <v>nlineCEUCredit</v>
      </c>
      <c r="R131" s="78" t="str">
        <f>REPLACE(INDEX(GroupVertices[Group],MATCH(Edges[[#This Row],[Vertex 2]],GroupVertices[Vertex],0)),1,1,"")</f>
        <v>nlineCEUCredit</v>
      </c>
    </row>
    <row r="132" spans="1:18" ht="15">
      <c r="A132" s="64" t="s">
        <v>202</v>
      </c>
      <c r="B132" s="64" t="s">
        <v>337</v>
      </c>
      <c r="C132" s="65" t="s">
        <v>4443</v>
      </c>
      <c r="D132" s="66">
        <v>3</v>
      </c>
      <c r="E132" s="67"/>
      <c r="F132" s="68">
        <v>40</v>
      </c>
      <c r="G132" s="65"/>
      <c r="H132" s="69"/>
      <c r="I132" s="70"/>
      <c r="J132" s="70"/>
      <c r="K132" s="34" t="s">
        <v>65</v>
      </c>
      <c r="L132" s="77">
        <v>132</v>
      </c>
      <c r="M132" s="77"/>
      <c r="N132" s="72"/>
      <c r="O132" s="79" t="s">
        <v>610</v>
      </c>
      <c r="P132" s="79">
        <v>1</v>
      </c>
      <c r="Q132" s="78" t="str">
        <f>REPLACE(INDEX(GroupVertices[Group],MATCH(Edges[[#This Row],[Vertex 1]],GroupVertices[Vertex],0)),1,1,"")</f>
        <v>nlineCEUCredit</v>
      </c>
      <c r="R132" s="78" t="str">
        <f>REPLACE(INDEX(GroupVertices[Group],MATCH(Edges[[#This Row],[Vertex 2]],GroupVertices[Vertex],0)),1,1,"")</f>
        <v>nlineCEUCredit</v>
      </c>
    </row>
    <row r="133" spans="1:18" ht="15">
      <c r="A133" s="64" t="s">
        <v>202</v>
      </c>
      <c r="B133" s="64" t="s">
        <v>331</v>
      </c>
      <c r="C133" s="65" t="s">
        <v>4443</v>
      </c>
      <c r="D133" s="66">
        <v>3</v>
      </c>
      <c r="E133" s="67"/>
      <c r="F133" s="68">
        <v>40</v>
      </c>
      <c r="G133" s="65"/>
      <c r="H133" s="69"/>
      <c r="I133" s="70"/>
      <c r="J133" s="70"/>
      <c r="K133" s="34" t="s">
        <v>65</v>
      </c>
      <c r="L133" s="77">
        <v>133</v>
      </c>
      <c r="M133" s="77"/>
      <c r="N133" s="72"/>
      <c r="O133" s="79" t="s">
        <v>610</v>
      </c>
      <c r="P133" s="79">
        <v>1</v>
      </c>
      <c r="Q133" s="78" t="str">
        <f>REPLACE(INDEX(GroupVertices[Group],MATCH(Edges[[#This Row],[Vertex 1]],GroupVertices[Vertex],0)),1,1,"")</f>
        <v>nlineCEUCredit</v>
      </c>
      <c r="R133" s="78" t="str">
        <f>REPLACE(INDEX(GroupVertices[Group],MATCH(Edges[[#This Row],[Vertex 2]],GroupVertices[Vertex],0)),1,1,"")</f>
        <v>nlineCEUCredit</v>
      </c>
    </row>
    <row r="134" spans="1:18" ht="15">
      <c r="A134" s="64" t="s">
        <v>202</v>
      </c>
      <c r="B134" s="64" t="s">
        <v>341</v>
      </c>
      <c r="C134" s="65" t="s">
        <v>4443</v>
      </c>
      <c r="D134" s="66">
        <v>3</v>
      </c>
      <c r="E134" s="67"/>
      <c r="F134" s="68">
        <v>40</v>
      </c>
      <c r="G134" s="65"/>
      <c r="H134" s="69"/>
      <c r="I134" s="70"/>
      <c r="J134" s="70"/>
      <c r="K134" s="34" t="s">
        <v>65</v>
      </c>
      <c r="L134" s="77">
        <v>134</v>
      </c>
      <c r="M134" s="77"/>
      <c r="N134" s="72"/>
      <c r="O134" s="79" t="s">
        <v>610</v>
      </c>
      <c r="P134" s="79">
        <v>1</v>
      </c>
      <c r="Q134" s="78" t="str">
        <f>REPLACE(INDEX(GroupVertices[Group],MATCH(Edges[[#This Row],[Vertex 1]],GroupVertices[Vertex],0)),1,1,"")</f>
        <v>nlineCEUCredit</v>
      </c>
      <c r="R134" s="78" t="str">
        <f>REPLACE(INDEX(GroupVertices[Group],MATCH(Edges[[#This Row],[Vertex 2]],GroupVertices[Vertex],0)),1,1,"")</f>
        <v>nlineCEUCredit</v>
      </c>
    </row>
    <row r="135" spans="1:18" ht="15">
      <c r="A135" s="64" t="s">
        <v>202</v>
      </c>
      <c r="B135" s="64" t="s">
        <v>339</v>
      </c>
      <c r="C135" s="65" t="s">
        <v>4443</v>
      </c>
      <c r="D135" s="66">
        <v>3</v>
      </c>
      <c r="E135" s="67"/>
      <c r="F135" s="68">
        <v>40</v>
      </c>
      <c r="G135" s="65"/>
      <c r="H135" s="69"/>
      <c r="I135" s="70"/>
      <c r="J135" s="70"/>
      <c r="K135" s="34" t="s">
        <v>65</v>
      </c>
      <c r="L135" s="77">
        <v>135</v>
      </c>
      <c r="M135" s="77"/>
      <c r="N135" s="72"/>
      <c r="O135" s="79" t="s">
        <v>610</v>
      </c>
      <c r="P135" s="79">
        <v>1</v>
      </c>
      <c r="Q135" s="78" t="str">
        <f>REPLACE(INDEX(GroupVertices[Group],MATCH(Edges[[#This Row],[Vertex 1]],GroupVertices[Vertex],0)),1,1,"")</f>
        <v>nlineCEUCredit</v>
      </c>
      <c r="R135" s="78" t="str">
        <f>REPLACE(INDEX(GroupVertices[Group],MATCH(Edges[[#This Row],[Vertex 2]],GroupVertices[Vertex],0)),1,1,"")</f>
        <v>nlineCEUCredit</v>
      </c>
    </row>
    <row r="136" spans="1:18" ht="15">
      <c r="A136" s="64" t="s">
        <v>202</v>
      </c>
      <c r="B136" s="64" t="s">
        <v>326</v>
      </c>
      <c r="C136" s="65" t="s">
        <v>4443</v>
      </c>
      <c r="D136" s="66">
        <v>3</v>
      </c>
      <c r="E136" s="67"/>
      <c r="F136" s="68">
        <v>40</v>
      </c>
      <c r="G136" s="65"/>
      <c r="H136" s="69"/>
      <c r="I136" s="70"/>
      <c r="J136" s="70"/>
      <c r="K136" s="34" t="s">
        <v>65</v>
      </c>
      <c r="L136" s="77">
        <v>136</v>
      </c>
      <c r="M136" s="77"/>
      <c r="N136" s="72"/>
      <c r="O136" s="79" t="s">
        <v>610</v>
      </c>
      <c r="P136" s="79">
        <v>1</v>
      </c>
      <c r="Q136" s="78" t="str">
        <f>REPLACE(INDEX(GroupVertices[Group],MATCH(Edges[[#This Row],[Vertex 1]],GroupVertices[Vertex],0)),1,1,"")</f>
        <v>nlineCEUCredit</v>
      </c>
      <c r="R136" s="78" t="str">
        <f>REPLACE(INDEX(GroupVertices[Group],MATCH(Edges[[#This Row],[Vertex 2]],GroupVertices[Vertex],0)),1,1,"")</f>
        <v>eady Study Go</v>
      </c>
    </row>
    <row r="137" spans="1:18" ht="15">
      <c r="A137" s="64" t="s">
        <v>211</v>
      </c>
      <c r="B137" s="64" t="s">
        <v>346</v>
      </c>
      <c r="C137" s="65" t="s">
        <v>4443</v>
      </c>
      <c r="D137" s="66">
        <v>3</v>
      </c>
      <c r="E137" s="67"/>
      <c r="F137" s="68">
        <v>40</v>
      </c>
      <c r="G137" s="65"/>
      <c r="H137" s="69"/>
      <c r="I137" s="70"/>
      <c r="J137" s="70"/>
      <c r="K137" s="34" t="s">
        <v>65</v>
      </c>
      <c r="L137" s="77">
        <v>137</v>
      </c>
      <c r="M137" s="77"/>
      <c r="N137" s="72"/>
      <c r="O137" s="79" t="s">
        <v>610</v>
      </c>
      <c r="P137" s="79">
        <v>1</v>
      </c>
      <c r="Q137" s="78" t="str">
        <f>REPLACE(INDEX(GroupVertices[Group],MATCH(Edges[[#This Row],[Vertex 1]],GroupVertices[Vertex],0)),1,1,"")</f>
        <v>nlineCEUCredit</v>
      </c>
      <c r="R137" s="78" t="str">
        <f>REPLACE(INDEX(GroupVertices[Group],MATCH(Edges[[#This Row],[Vertex 2]],GroupVertices[Vertex],0)),1,1,"")</f>
        <v>nlineCEUCredit</v>
      </c>
    </row>
    <row r="138" spans="1:18" ht="15">
      <c r="A138" s="64" t="s">
        <v>211</v>
      </c>
      <c r="B138" s="64" t="s">
        <v>334</v>
      </c>
      <c r="C138" s="65" t="s">
        <v>4443</v>
      </c>
      <c r="D138" s="66">
        <v>3</v>
      </c>
      <c r="E138" s="67"/>
      <c r="F138" s="68">
        <v>40</v>
      </c>
      <c r="G138" s="65"/>
      <c r="H138" s="69"/>
      <c r="I138" s="70"/>
      <c r="J138" s="70"/>
      <c r="K138" s="34" t="s">
        <v>65</v>
      </c>
      <c r="L138" s="77">
        <v>138</v>
      </c>
      <c r="M138" s="77"/>
      <c r="N138" s="72"/>
      <c r="O138" s="79" t="s">
        <v>610</v>
      </c>
      <c r="P138" s="79">
        <v>1</v>
      </c>
      <c r="Q138" s="78" t="str">
        <f>REPLACE(INDEX(GroupVertices[Group],MATCH(Edges[[#This Row],[Vertex 1]],GroupVertices[Vertex],0)),1,1,"")</f>
        <v>nlineCEUCredit</v>
      </c>
      <c r="R138" s="78" t="str">
        <f>REPLACE(INDEX(GroupVertices[Group],MATCH(Edges[[#This Row],[Vertex 2]],GroupVertices[Vertex],0)),1,1,"")</f>
        <v>nlineCEUCredit</v>
      </c>
    </row>
    <row r="139" spans="1:18" ht="15">
      <c r="A139" s="64" t="s">
        <v>211</v>
      </c>
      <c r="B139" s="64" t="s">
        <v>333</v>
      </c>
      <c r="C139" s="65" t="s">
        <v>4443</v>
      </c>
      <c r="D139" s="66">
        <v>3</v>
      </c>
      <c r="E139" s="67"/>
      <c r="F139" s="68">
        <v>40</v>
      </c>
      <c r="G139" s="65"/>
      <c r="H139" s="69"/>
      <c r="I139" s="70"/>
      <c r="J139" s="70"/>
      <c r="K139" s="34" t="s">
        <v>65</v>
      </c>
      <c r="L139" s="77">
        <v>139</v>
      </c>
      <c r="M139" s="77"/>
      <c r="N139" s="72"/>
      <c r="O139" s="79" t="s">
        <v>610</v>
      </c>
      <c r="P139" s="79">
        <v>1</v>
      </c>
      <c r="Q139" s="78" t="str">
        <f>REPLACE(INDEX(GroupVertices[Group],MATCH(Edges[[#This Row],[Vertex 1]],GroupVertices[Vertex],0)),1,1,"")</f>
        <v>nlineCEUCredit</v>
      </c>
      <c r="R139" s="78" t="str">
        <f>REPLACE(INDEX(GroupVertices[Group],MATCH(Edges[[#This Row],[Vertex 2]],GroupVertices[Vertex],0)),1,1,"")</f>
        <v>nlineCEUCredit</v>
      </c>
    </row>
    <row r="140" spans="1:18" ht="15">
      <c r="A140" s="64" t="s">
        <v>211</v>
      </c>
      <c r="B140" s="64" t="s">
        <v>345</v>
      </c>
      <c r="C140" s="65" t="s">
        <v>4443</v>
      </c>
      <c r="D140" s="66">
        <v>3</v>
      </c>
      <c r="E140" s="67"/>
      <c r="F140" s="68">
        <v>40</v>
      </c>
      <c r="G140" s="65"/>
      <c r="H140" s="69"/>
      <c r="I140" s="70"/>
      <c r="J140" s="70"/>
      <c r="K140" s="34" t="s">
        <v>65</v>
      </c>
      <c r="L140" s="77">
        <v>140</v>
      </c>
      <c r="M140" s="77"/>
      <c r="N140" s="72"/>
      <c r="O140" s="79" t="s">
        <v>610</v>
      </c>
      <c r="P140" s="79">
        <v>1</v>
      </c>
      <c r="Q140" s="78" t="str">
        <f>REPLACE(INDEX(GroupVertices[Group],MATCH(Edges[[#This Row],[Vertex 1]],GroupVertices[Vertex],0)),1,1,"")</f>
        <v>nlineCEUCredit</v>
      </c>
      <c r="R140" s="78" t="str">
        <f>REPLACE(INDEX(GroupVertices[Group],MATCH(Edges[[#This Row],[Vertex 2]],GroupVertices[Vertex],0)),1,1,"")</f>
        <v>nlineCEUCredit</v>
      </c>
    </row>
    <row r="141" spans="1:18" ht="15">
      <c r="A141" s="64" t="s">
        <v>211</v>
      </c>
      <c r="B141" s="64" t="s">
        <v>336</v>
      </c>
      <c r="C141" s="65" t="s">
        <v>4443</v>
      </c>
      <c r="D141" s="66">
        <v>3</v>
      </c>
      <c r="E141" s="67"/>
      <c r="F141" s="68">
        <v>40</v>
      </c>
      <c r="G141" s="65"/>
      <c r="H141" s="69"/>
      <c r="I141" s="70"/>
      <c r="J141" s="70"/>
      <c r="K141" s="34" t="s">
        <v>65</v>
      </c>
      <c r="L141" s="77">
        <v>141</v>
      </c>
      <c r="M141" s="77"/>
      <c r="N141" s="72"/>
      <c r="O141" s="79" t="s">
        <v>610</v>
      </c>
      <c r="P141" s="79">
        <v>1</v>
      </c>
      <c r="Q141" s="78" t="str">
        <f>REPLACE(INDEX(GroupVertices[Group],MATCH(Edges[[#This Row],[Vertex 1]],GroupVertices[Vertex],0)),1,1,"")</f>
        <v>nlineCEUCredit</v>
      </c>
      <c r="R141" s="78" t="str">
        <f>REPLACE(INDEX(GroupVertices[Group],MATCH(Edges[[#This Row],[Vertex 2]],GroupVertices[Vertex],0)),1,1,"")</f>
        <v>nlineCEUCredit</v>
      </c>
    </row>
    <row r="142" spans="1:18" ht="15">
      <c r="A142" s="64" t="s">
        <v>211</v>
      </c>
      <c r="B142" s="64" t="s">
        <v>348</v>
      </c>
      <c r="C142" s="65" t="s">
        <v>4443</v>
      </c>
      <c r="D142" s="66">
        <v>3</v>
      </c>
      <c r="E142" s="67"/>
      <c r="F142" s="68">
        <v>40</v>
      </c>
      <c r="G142" s="65"/>
      <c r="H142" s="69"/>
      <c r="I142" s="70"/>
      <c r="J142" s="70"/>
      <c r="K142" s="34" t="s">
        <v>65</v>
      </c>
      <c r="L142" s="77">
        <v>142</v>
      </c>
      <c r="M142" s="77"/>
      <c r="N142" s="72"/>
      <c r="O142" s="79" t="s">
        <v>610</v>
      </c>
      <c r="P142" s="79">
        <v>1</v>
      </c>
      <c r="Q142" s="78" t="str">
        <f>REPLACE(INDEX(GroupVertices[Group],MATCH(Edges[[#This Row],[Vertex 1]],GroupVertices[Vertex],0)),1,1,"")</f>
        <v>nlineCEUCredit</v>
      </c>
      <c r="R142" s="78" t="str">
        <f>REPLACE(INDEX(GroupVertices[Group],MATCH(Edges[[#This Row],[Vertex 2]],GroupVertices[Vertex],0)),1,1,"")</f>
        <v>nlineCEUCredit</v>
      </c>
    </row>
    <row r="143" spans="1:18" ht="15">
      <c r="A143" s="64" t="s">
        <v>211</v>
      </c>
      <c r="B143" s="64" t="s">
        <v>344</v>
      </c>
      <c r="C143" s="65" t="s">
        <v>4443</v>
      </c>
      <c r="D143" s="66">
        <v>3</v>
      </c>
      <c r="E143" s="67"/>
      <c r="F143" s="68">
        <v>40</v>
      </c>
      <c r="G143" s="65"/>
      <c r="H143" s="69"/>
      <c r="I143" s="70"/>
      <c r="J143" s="70"/>
      <c r="K143" s="34" t="s">
        <v>65</v>
      </c>
      <c r="L143" s="77">
        <v>143</v>
      </c>
      <c r="M143" s="77"/>
      <c r="N143" s="72"/>
      <c r="O143" s="79" t="s">
        <v>610</v>
      </c>
      <c r="P143" s="79">
        <v>1</v>
      </c>
      <c r="Q143" s="78" t="str">
        <f>REPLACE(INDEX(GroupVertices[Group],MATCH(Edges[[#This Row],[Vertex 1]],GroupVertices[Vertex],0)),1,1,"")</f>
        <v>nlineCEUCredit</v>
      </c>
      <c r="R143" s="78" t="str">
        <f>REPLACE(INDEX(GroupVertices[Group],MATCH(Edges[[#This Row],[Vertex 2]],GroupVertices[Vertex],0)),1,1,"")</f>
        <v>nlineCEUCredit</v>
      </c>
    </row>
    <row r="144" spans="1:18" ht="15">
      <c r="A144" s="64" t="s">
        <v>211</v>
      </c>
      <c r="B144" s="64" t="s">
        <v>340</v>
      </c>
      <c r="C144" s="65" t="s">
        <v>4443</v>
      </c>
      <c r="D144" s="66">
        <v>3</v>
      </c>
      <c r="E144" s="67"/>
      <c r="F144" s="68">
        <v>40</v>
      </c>
      <c r="G144" s="65"/>
      <c r="H144" s="69"/>
      <c r="I144" s="70"/>
      <c r="J144" s="70"/>
      <c r="K144" s="34" t="s">
        <v>65</v>
      </c>
      <c r="L144" s="77">
        <v>144</v>
      </c>
      <c r="M144" s="77"/>
      <c r="N144" s="72"/>
      <c r="O144" s="79" t="s">
        <v>610</v>
      </c>
      <c r="P144" s="79">
        <v>1</v>
      </c>
      <c r="Q144" s="78" t="str">
        <f>REPLACE(INDEX(GroupVertices[Group],MATCH(Edges[[#This Row],[Vertex 1]],GroupVertices[Vertex],0)),1,1,"")</f>
        <v>nlineCEUCredit</v>
      </c>
      <c r="R144" s="78" t="str">
        <f>REPLACE(INDEX(GroupVertices[Group],MATCH(Edges[[#This Row],[Vertex 2]],GroupVertices[Vertex],0)),1,1,"")</f>
        <v>nlineCEUCredit</v>
      </c>
    </row>
    <row r="145" spans="1:18" ht="15">
      <c r="A145" s="64" t="s">
        <v>211</v>
      </c>
      <c r="B145" s="64" t="s">
        <v>326</v>
      </c>
      <c r="C145" s="65" t="s">
        <v>4443</v>
      </c>
      <c r="D145" s="66">
        <v>3</v>
      </c>
      <c r="E145" s="67"/>
      <c r="F145" s="68">
        <v>40</v>
      </c>
      <c r="G145" s="65"/>
      <c r="H145" s="69"/>
      <c r="I145" s="70"/>
      <c r="J145" s="70"/>
      <c r="K145" s="34" t="s">
        <v>65</v>
      </c>
      <c r="L145" s="77">
        <v>145</v>
      </c>
      <c r="M145" s="77"/>
      <c r="N145" s="72"/>
      <c r="O145" s="79" t="s">
        <v>610</v>
      </c>
      <c r="P145" s="79">
        <v>1</v>
      </c>
      <c r="Q145" s="78" t="str">
        <f>REPLACE(INDEX(GroupVertices[Group],MATCH(Edges[[#This Row],[Vertex 1]],GroupVertices[Vertex],0)),1,1,"")</f>
        <v>nlineCEUCredit</v>
      </c>
      <c r="R145" s="78" t="str">
        <f>REPLACE(INDEX(GroupVertices[Group],MATCH(Edges[[#This Row],[Vertex 2]],GroupVertices[Vertex],0)),1,1,"")</f>
        <v>eady Study Go</v>
      </c>
    </row>
    <row r="146" spans="1:18" ht="15">
      <c r="A146" s="64" t="s">
        <v>211</v>
      </c>
      <c r="B146" s="64" t="s">
        <v>328</v>
      </c>
      <c r="C146" s="65" t="s">
        <v>4443</v>
      </c>
      <c r="D146" s="66">
        <v>3</v>
      </c>
      <c r="E146" s="67"/>
      <c r="F146" s="68">
        <v>40</v>
      </c>
      <c r="G146" s="65"/>
      <c r="H146" s="69"/>
      <c r="I146" s="70"/>
      <c r="J146" s="70"/>
      <c r="K146" s="34" t="s">
        <v>65</v>
      </c>
      <c r="L146" s="77">
        <v>146</v>
      </c>
      <c r="M146" s="77"/>
      <c r="N146" s="72"/>
      <c r="O146" s="79" t="s">
        <v>610</v>
      </c>
      <c r="P146" s="79">
        <v>1</v>
      </c>
      <c r="Q146" s="78" t="str">
        <f>REPLACE(INDEX(GroupVertices[Group],MATCH(Edges[[#This Row],[Vertex 1]],GroupVertices[Vertex],0)),1,1,"")</f>
        <v>nlineCEUCredit</v>
      </c>
      <c r="R146" s="78" t="str">
        <f>REPLACE(INDEX(GroupVertices[Group],MATCH(Edges[[#This Row],[Vertex 2]],GroupVertices[Vertex],0)),1,1,"")</f>
        <v>nlineCEUCredit</v>
      </c>
    </row>
    <row r="147" spans="1:18" ht="15">
      <c r="A147" s="64" t="s">
        <v>211</v>
      </c>
      <c r="B147" s="64" t="s">
        <v>327</v>
      </c>
      <c r="C147" s="65" t="s">
        <v>4443</v>
      </c>
      <c r="D147" s="66">
        <v>3</v>
      </c>
      <c r="E147" s="67"/>
      <c r="F147" s="68">
        <v>40</v>
      </c>
      <c r="G147" s="65"/>
      <c r="H147" s="69"/>
      <c r="I147" s="70"/>
      <c r="J147" s="70"/>
      <c r="K147" s="34" t="s">
        <v>65</v>
      </c>
      <c r="L147" s="77">
        <v>147</v>
      </c>
      <c r="M147" s="77"/>
      <c r="N147" s="72"/>
      <c r="O147" s="79" t="s">
        <v>610</v>
      </c>
      <c r="P147" s="79">
        <v>1</v>
      </c>
      <c r="Q147" s="78" t="str">
        <f>REPLACE(INDEX(GroupVertices[Group],MATCH(Edges[[#This Row],[Vertex 1]],GroupVertices[Vertex],0)),1,1,"")</f>
        <v>nlineCEUCredit</v>
      </c>
      <c r="R147" s="78" t="str">
        <f>REPLACE(INDEX(GroupVertices[Group],MATCH(Edges[[#This Row],[Vertex 2]],GroupVertices[Vertex],0)),1,1,"")</f>
        <v>nlineCEUCredit</v>
      </c>
    </row>
    <row r="148" spans="1:18" ht="15">
      <c r="A148" s="64" t="s">
        <v>211</v>
      </c>
      <c r="B148" s="64" t="s">
        <v>329</v>
      </c>
      <c r="C148" s="65" t="s">
        <v>4443</v>
      </c>
      <c r="D148" s="66">
        <v>3</v>
      </c>
      <c r="E148" s="67"/>
      <c r="F148" s="68">
        <v>40</v>
      </c>
      <c r="G148" s="65"/>
      <c r="H148" s="69"/>
      <c r="I148" s="70"/>
      <c r="J148" s="70"/>
      <c r="K148" s="34" t="s">
        <v>65</v>
      </c>
      <c r="L148" s="77">
        <v>148</v>
      </c>
      <c r="M148" s="77"/>
      <c r="N148" s="72"/>
      <c r="O148" s="79" t="s">
        <v>610</v>
      </c>
      <c r="P148" s="79">
        <v>1</v>
      </c>
      <c r="Q148" s="78" t="str">
        <f>REPLACE(INDEX(GroupVertices[Group],MATCH(Edges[[#This Row],[Vertex 1]],GroupVertices[Vertex],0)),1,1,"")</f>
        <v>nlineCEUCredit</v>
      </c>
      <c r="R148" s="78" t="str">
        <f>REPLACE(INDEX(GroupVertices[Group],MATCH(Edges[[#This Row],[Vertex 2]],GroupVertices[Vertex],0)),1,1,"")</f>
        <v>nlineCEUCredit</v>
      </c>
    </row>
    <row r="149" spans="1:18" ht="15">
      <c r="A149" s="64" t="s">
        <v>211</v>
      </c>
      <c r="B149" s="64" t="s">
        <v>347</v>
      </c>
      <c r="C149" s="65" t="s">
        <v>4443</v>
      </c>
      <c r="D149" s="66">
        <v>3</v>
      </c>
      <c r="E149" s="67"/>
      <c r="F149" s="68">
        <v>40</v>
      </c>
      <c r="G149" s="65"/>
      <c r="H149" s="69"/>
      <c r="I149" s="70"/>
      <c r="J149" s="70"/>
      <c r="K149" s="34" t="s">
        <v>65</v>
      </c>
      <c r="L149" s="77">
        <v>149</v>
      </c>
      <c r="M149" s="77"/>
      <c r="N149" s="72"/>
      <c r="O149" s="79" t="s">
        <v>610</v>
      </c>
      <c r="P149" s="79">
        <v>1</v>
      </c>
      <c r="Q149" s="78" t="str">
        <f>REPLACE(INDEX(GroupVertices[Group],MATCH(Edges[[#This Row],[Vertex 1]],GroupVertices[Vertex],0)),1,1,"")</f>
        <v>nlineCEUCredit</v>
      </c>
      <c r="R149" s="78" t="str">
        <f>REPLACE(INDEX(GroupVertices[Group],MATCH(Edges[[#This Row],[Vertex 2]],GroupVertices[Vertex],0)),1,1,"")</f>
        <v>nlineCEUCredit</v>
      </c>
    </row>
    <row r="150" spans="1:18" ht="15">
      <c r="A150" s="64" t="s">
        <v>211</v>
      </c>
      <c r="B150" s="64" t="s">
        <v>330</v>
      </c>
      <c r="C150" s="65" t="s">
        <v>4443</v>
      </c>
      <c r="D150" s="66">
        <v>3</v>
      </c>
      <c r="E150" s="67"/>
      <c r="F150" s="68">
        <v>40</v>
      </c>
      <c r="G150" s="65"/>
      <c r="H150" s="69"/>
      <c r="I150" s="70"/>
      <c r="J150" s="70"/>
      <c r="K150" s="34" t="s">
        <v>65</v>
      </c>
      <c r="L150" s="77">
        <v>150</v>
      </c>
      <c r="M150" s="77"/>
      <c r="N150" s="72"/>
      <c r="O150" s="79" t="s">
        <v>610</v>
      </c>
      <c r="P150" s="79">
        <v>1</v>
      </c>
      <c r="Q150" s="78" t="str">
        <f>REPLACE(INDEX(GroupVertices[Group],MATCH(Edges[[#This Row],[Vertex 1]],GroupVertices[Vertex],0)),1,1,"")</f>
        <v>nlineCEUCredit</v>
      </c>
      <c r="R150" s="78" t="str">
        <f>REPLACE(INDEX(GroupVertices[Group],MATCH(Edges[[#This Row],[Vertex 2]],GroupVertices[Vertex],0)),1,1,"")</f>
        <v>nlineCEUCredit</v>
      </c>
    </row>
    <row r="151" spans="1:18" ht="15">
      <c r="A151" s="64" t="s">
        <v>211</v>
      </c>
      <c r="B151" s="64" t="s">
        <v>332</v>
      </c>
      <c r="C151" s="65" t="s">
        <v>4443</v>
      </c>
      <c r="D151" s="66">
        <v>3</v>
      </c>
      <c r="E151" s="67"/>
      <c r="F151" s="68">
        <v>40</v>
      </c>
      <c r="G151" s="65"/>
      <c r="H151" s="69"/>
      <c r="I151" s="70"/>
      <c r="J151" s="70"/>
      <c r="K151" s="34" t="s">
        <v>65</v>
      </c>
      <c r="L151" s="77">
        <v>151</v>
      </c>
      <c r="M151" s="77"/>
      <c r="N151" s="72"/>
      <c r="O151" s="79" t="s">
        <v>610</v>
      </c>
      <c r="P151" s="79">
        <v>1</v>
      </c>
      <c r="Q151" s="78" t="str">
        <f>REPLACE(INDEX(GroupVertices[Group],MATCH(Edges[[#This Row],[Vertex 1]],GroupVertices[Vertex],0)),1,1,"")</f>
        <v>nlineCEUCredit</v>
      </c>
      <c r="R151" s="78" t="str">
        <f>REPLACE(INDEX(GroupVertices[Group],MATCH(Edges[[#This Row],[Vertex 2]],GroupVertices[Vertex],0)),1,1,"")</f>
        <v>nlineCEUCredit</v>
      </c>
    </row>
    <row r="152" spans="1:18" ht="15">
      <c r="A152" s="64" t="s">
        <v>211</v>
      </c>
      <c r="B152" s="64" t="s">
        <v>335</v>
      </c>
      <c r="C152" s="65" t="s">
        <v>4443</v>
      </c>
      <c r="D152" s="66">
        <v>3</v>
      </c>
      <c r="E152" s="67"/>
      <c r="F152" s="68">
        <v>40</v>
      </c>
      <c r="G152" s="65"/>
      <c r="H152" s="69"/>
      <c r="I152" s="70"/>
      <c r="J152" s="70"/>
      <c r="K152" s="34" t="s">
        <v>65</v>
      </c>
      <c r="L152" s="77">
        <v>152</v>
      </c>
      <c r="M152" s="77"/>
      <c r="N152" s="72"/>
      <c r="O152" s="79" t="s">
        <v>610</v>
      </c>
      <c r="P152" s="79">
        <v>1</v>
      </c>
      <c r="Q152" s="78" t="str">
        <f>REPLACE(INDEX(GroupVertices[Group],MATCH(Edges[[#This Row],[Vertex 1]],GroupVertices[Vertex],0)),1,1,"")</f>
        <v>nlineCEUCredit</v>
      </c>
      <c r="R152" s="78" t="str">
        <f>REPLACE(INDEX(GroupVertices[Group],MATCH(Edges[[#This Row],[Vertex 2]],GroupVertices[Vertex],0)),1,1,"")</f>
        <v>nlineCEUCredit</v>
      </c>
    </row>
    <row r="153" spans="1:18" ht="15">
      <c r="A153" s="64" t="s">
        <v>211</v>
      </c>
      <c r="B153" s="64" t="s">
        <v>331</v>
      </c>
      <c r="C153" s="65" t="s">
        <v>4443</v>
      </c>
      <c r="D153" s="66">
        <v>3</v>
      </c>
      <c r="E153" s="67"/>
      <c r="F153" s="68">
        <v>40</v>
      </c>
      <c r="G153" s="65"/>
      <c r="H153" s="69"/>
      <c r="I153" s="70"/>
      <c r="J153" s="70"/>
      <c r="K153" s="34" t="s">
        <v>65</v>
      </c>
      <c r="L153" s="77">
        <v>153</v>
      </c>
      <c r="M153" s="77"/>
      <c r="N153" s="72"/>
      <c r="O153" s="79" t="s">
        <v>610</v>
      </c>
      <c r="P153" s="79">
        <v>1</v>
      </c>
      <c r="Q153" s="78" t="str">
        <f>REPLACE(INDEX(GroupVertices[Group],MATCH(Edges[[#This Row],[Vertex 1]],GroupVertices[Vertex],0)),1,1,"")</f>
        <v>nlineCEUCredit</v>
      </c>
      <c r="R153" s="78" t="str">
        <f>REPLACE(INDEX(GroupVertices[Group],MATCH(Edges[[#This Row],[Vertex 2]],GroupVertices[Vertex],0)),1,1,"")</f>
        <v>nlineCEUCredit</v>
      </c>
    </row>
    <row r="154" spans="1:18" ht="15">
      <c r="A154" s="64" t="s">
        <v>211</v>
      </c>
      <c r="B154" s="64" t="s">
        <v>337</v>
      </c>
      <c r="C154" s="65" t="s">
        <v>4443</v>
      </c>
      <c r="D154" s="66">
        <v>3</v>
      </c>
      <c r="E154" s="67"/>
      <c r="F154" s="68">
        <v>40</v>
      </c>
      <c r="G154" s="65"/>
      <c r="H154" s="69"/>
      <c r="I154" s="70"/>
      <c r="J154" s="70"/>
      <c r="K154" s="34" t="s">
        <v>65</v>
      </c>
      <c r="L154" s="77">
        <v>154</v>
      </c>
      <c r="M154" s="77"/>
      <c r="N154" s="72"/>
      <c r="O154" s="79" t="s">
        <v>610</v>
      </c>
      <c r="P154" s="79">
        <v>1</v>
      </c>
      <c r="Q154" s="78" t="str">
        <f>REPLACE(INDEX(GroupVertices[Group],MATCH(Edges[[#This Row],[Vertex 1]],GroupVertices[Vertex],0)),1,1,"")</f>
        <v>nlineCEUCredit</v>
      </c>
      <c r="R154" s="78" t="str">
        <f>REPLACE(INDEX(GroupVertices[Group],MATCH(Edges[[#This Row],[Vertex 2]],GroupVertices[Vertex],0)),1,1,"")</f>
        <v>nlineCEUCredit</v>
      </c>
    </row>
    <row r="155" spans="1:18" ht="15">
      <c r="A155" s="64" t="s">
        <v>211</v>
      </c>
      <c r="B155" s="64" t="s">
        <v>341</v>
      </c>
      <c r="C155" s="65" t="s">
        <v>4443</v>
      </c>
      <c r="D155" s="66">
        <v>3</v>
      </c>
      <c r="E155" s="67"/>
      <c r="F155" s="68">
        <v>40</v>
      </c>
      <c r="G155" s="65"/>
      <c r="H155" s="69"/>
      <c r="I155" s="70"/>
      <c r="J155" s="70"/>
      <c r="K155" s="34" t="s">
        <v>65</v>
      </c>
      <c r="L155" s="77">
        <v>155</v>
      </c>
      <c r="M155" s="77"/>
      <c r="N155" s="72"/>
      <c r="O155" s="79" t="s">
        <v>610</v>
      </c>
      <c r="P155" s="79">
        <v>1</v>
      </c>
      <c r="Q155" s="78" t="str">
        <f>REPLACE(INDEX(GroupVertices[Group],MATCH(Edges[[#This Row],[Vertex 1]],GroupVertices[Vertex],0)),1,1,"")</f>
        <v>nlineCEUCredit</v>
      </c>
      <c r="R155" s="78" t="str">
        <f>REPLACE(INDEX(GroupVertices[Group],MATCH(Edges[[#This Row],[Vertex 2]],GroupVertices[Vertex],0)),1,1,"")</f>
        <v>nlineCEUCredit</v>
      </c>
    </row>
    <row r="156" spans="1:18" ht="15">
      <c r="A156" s="64" t="s">
        <v>211</v>
      </c>
      <c r="B156" s="64" t="s">
        <v>205</v>
      </c>
      <c r="C156" s="65" t="s">
        <v>4443</v>
      </c>
      <c r="D156" s="66">
        <v>3</v>
      </c>
      <c r="E156" s="67"/>
      <c r="F156" s="68">
        <v>40</v>
      </c>
      <c r="G156" s="65"/>
      <c r="H156" s="69"/>
      <c r="I156" s="70"/>
      <c r="J156" s="70"/>
      <c r="K156" s="34" t="s">
        <v>65</v>
      </c>
      <c r="L156" s="77">
        <v>156</v>
      </c>
      <c r="M156" s="77"/>
      <c r="N156" s="72"/>
      <c r="O156" s="79" t="s">
        <v>610</v>
      </c>
      <c r="P156" s="79">
        <v>1</v>
      </c>
      <c r="Q156" s="78" t="str">
        <f>REPLACE(INDEX(GroupVertices[Group],MATCH(Edges[[#This Row],[Vertex 1]],GroupVertices[Vertex],0)),1,1,"")</f>
        <v>nlineCEUCredit</v>
      </c>
      <c r="R156" s="78" t="str">
        <f>REPLACE(INDEX(GroupVertices[Group],MATCH(Edges[[#This Row],[Vertex 2]],GroupVertices[Vertex],0)),1,1,"")</f>
        <v>nlineCEUCredit</v>
      </c>
    </row>
    <row r="157" spans="1:18" ht="15">
      <c r="A157" s="64" t="s">
        <v>236</v>
      </c>
      <c r="B157" s="64" t="s">
        <v>2396</v>
      </c>
      <c r="C157" s="65" t="s">
        <v>4443</v>
      </c>
      <c r="D157" s="66">
        <v>3</v>
      </c>
      <c r="E157" s="67"/>
      <c r="F157" s="68">
        <v>40</v>
      </c>
      <c r="G157" s="65"/>
      <c r="H157" s="69"/>
      <c r="I157" s="70"/>
      <c r="J157" s="70"/>
      <c r="K157" s="34" t="s">
        <v>65</v>
      </c>
      <c r="L157" s="77">
        <v>157</v>
      </c>
      <c r="M157" s="77"/>
      <c r="N157" s="72"/>
      <c r="O157" s="79" t="s">
        <v>610</v>
      </c>
      <c r="P157" s="79">
        <v>1</v>
      </c>
      <c r="Q157" s="78" t="str">
        <f>REPLACE(INDEX(GroupVertices[Group],MATCH(Edges[[#This Row],[Vertex 1]],GroupVertices[Vertex],0)),1,1,"")</f>
        <v>PARK</v>
      </c>
      <c r="R157" s="78" t="str">
        <f>REPLACE(INDEX(GroupVertices[Group],MATCH(Edges[[#This Row],[Vertex 2]],GroupVertices[Vertex],0)),1,1,"")</f>
        <v>GU YUN LIN</v>
      </c>
    </row>
    <row r="158" spans="1:18" ht="15">
      <c r="A158" s="64" t="s">
        <v>236</v>
      </c>
      <c r="B158" s="64" t="s">
        <v>2315</v>
      </c>
      <c r="C158" s="65" t="s">
        <v>4443</v>
      </c>
      <c r="D158" s="66">
        <v>3</v>
      </c>
      <c r="E158" s="67"/>
      <c r="F158" s="68">
        <v>40</v>
      </c>
      <c r="G158" s="65"/>
      <c r="H158" s="69"/>
      <c r="I158" s="70"/>
      <c r="J158" s="70"/>
      <c r="K158" s="34" t="s">
        <v>65</v>
      </c>
      <c r="L158" s="77">
        <v>158</v>
      </c>
      <c r="M158" s="77"/>
      <c r="N158" s="72"/>
      <c r="O158" s="79" t="s">
        <v>610</v>
      </c>
      <c r="P158" s="79">
        <v>1</v>
      </c>
      <c r="Q158" s="78" t="str">
        <f>REPLACE(INDEX(GroupVertices[Group],MATCH(Edges[[#This Row],[Vertex 1]],GroupVertices[Vertex],0)),1,1,"")</f>
        <v>PARK</v>
      </c>
      <c r="R158" s="78" t="str">
        <f>REPLACE(INDEX(GroupVertices[Group],MATCH(Edges[[#This Row],[Vertex 2]],GroupVertices[Vertex],0)),1,1,"")</f>
        <v>ur Izazi</v>
      </c>
    </row>
    <row r="159" spans="1:18" ht="15">
      <c r="A159" s="64" t="s">
        <v>236</v>
      </c>
      <c r="B159" s="64" t="s">
        <v>2397</v>
      </c>
      <c r="C159" s="65" t="s">
        <v>4443</v>
      </c>
      <c r="D159" s="66">
        <v>3</v>
      </c>
      <c r="E159" s="67"/>
      <c r="F159" s="68">
        <v>40</v>
      </c>
      <c r="G159" s="65"/>
      <c r="H159" s="69"/>
      <c r="I159" s="70"/>
      <c r="J159" s="70"/>
      <c r="K159" s="34" t="s">
        <v>65</v>
      </c>
      <c r="L159" s="77">
        <v>159</v>
      </c>
      <c r="M159" s="77"/>
      <c r="N159" s="72"/>
      <c r="O159" s="79" t="s">
        <v>610</v>
      </c>
      <c r="P159" s="79">
        <v>1</v>
      </c>
      <c r="Q159" s="78" t="str">
        <f>REPLACE(INDEX(GroupVertices[Group],MATCH(Edges[[#This Row],[Vertex 1]],GroupVertices[Vertex],0)),1,1,"")</f>
        <v>PARK</v>
      </c>
      <c r="R159" s="78" t="str">
        <f>REPLACE(INDEX(GroupVertices[Group],MATCH(Edges[[#This Row],[Vertex 2]],GroupVertices[Vertex],0)),1,1,"")</f>
        <v>ary Clarence Caballero</v>
      </c>
    </row>
    <row r="160" spans="1:18" ht="15">
      <c r="A160" s="64" t="s">
        <v>236</v>
      </c>
      <c r="B160" s="64" t="s">
        <v>2398</v>
      </c>
      <c r="C160" s="65" t="s">
        <v>4443</v>
      </c>
      <c r="D160" s="66">
        <v>3</v>
      </c>
      <c r="E160" s="67"/>
      <c r="F160" s="68">
        <v>40</v>
      </c>
      <c r="G160" s="65"/>
      <c r="H160" s="69"/>
      <c r="I160" s="70"/>
      <c r="J160" s="70"/>
      <c r="K160" s="34" t="s">
        <v>65</v>
      </c>
      <c r="L160" s="77">
        <v>160</v>
      </c>
      <c r="M160" s="77"/>
      <c r="N160" s="72"/>
      <c r="O160" s="79" t="s">
        <v>610</v>
      </c>
      <c r="P160" s="79">
        <v>1</v>
      </c>
      <c r="Q160" s="78" t="str">
        <f>REPLACE(INDEX(GroupVertices[Group],MATCH(Edges[[#This Row],[Vertex 1]],GroupVertices[Vertex],0)),1,1,"")</f>
        <v>PARK</v>
      </c>
      <c r="R160" s="78" t="str">
        <f>REPLACE(INDEX(GroupVertices[Group],MATCH(Edges[[#This Row],[Vertex 2]],GroupVertices[Vertex],0)),1,1,"")</f>
        <v>brar Pathan</v>
      </c>
    </row>
    <row r="161" spans="1:18" ht="15">
      <c r="A161" s="64" t="s">
        <v>236</v>
      </c>
      <c r="B161" s="64" t="s">
        <v>2399</v>
      </c>
      <c r="C161" s="65" t="s">
        <v>4443</v>
      </c>
      <c r="D161" s="66">
        <v>3</v>
      </c>
      <c r="E161" s="67"/>
      <c r="F161" s="68">
        <v>40</v>
      </c>
      <c r="G161" s="65"/>
      <c r="H161" s="69"/>
      <c r="I161" s="70"/>
      <c r="J161" s="70"/>
      <c r="K161" s="34" t="s">
        <v>65</v>
      </c>
      <c r="L161" s="77">
        <v>161</v>
      </c>
      <c r="M161" s="77"/>
      <c r="N161" s="72"/>
      <c r="O161" s="79" t="s">
        <v>610</v>
      </c>
      <c r="P161" s="79">
        <v>1</v>
      </c>
      <c r="Q161" s="78" t="str">
        <f>REPLACE(INDEX(GroupVertices[Group],MATCH(Edges[[#This Row],[Vertex 1]],GroupVertices[Vertex],0)),1,1,"")</f>
        <v>PARK</v>
      </c>
      <c r="R161" s="78" t="str">
        <f>REPLACE(INDEX(GroupVertices[Group],MATCH(Edges[[#This Row],[Vertex 2]],GroupVertices[Vertex],0)),1,1,"")</f>
        <v>earn with me</v>
      </c>
    </row>
    <row r="162" spans="1:18" ht="15">
      <c r="A162" s="64" t="s">
        <v>236</v>
      </c>
      <c r="B162" s="64" t="s">
        <v>2400</v>
      </c>
      <c r="C162" s="65" t="s">
        <v>4443</v>
      </c>
      <c r="D162" s="66">
        <v>3</v>
      </c>
      <c r="E162" s="67"/>
      <c r="F162" s="68">
        <v>40</v>
      </c>
      <c r="G162" s="65"/>
      <c r="H162" s="69"/>
      <c r="I162" s="70"/>
      <c r="J162" s="70"/>
      <c r="K162" s="34" t="s">
        <v>65</v>
      </c>
      <c r="L162" s="77">
        <v>162</v>
      </c>
      <c r="M162" s="77"/>
      <c r="N162" s="72"/>
      <c r="O162" s="79" t="s">
        <v>610</v>
      </c>
      <c r="P162" s="79">
        <v>1</v>
      </c>
      <c r="Q162" s="78" t="str">
        <f>REPLACE(INDEX(GroupVertices[Group],MATCH(Edges[[#This Row],[Vertex 1]],GroupVertices[Vertex],0)),1,1,"")</f>
        <v>PARK</v>
      </c>
      <c r="R162" s="78" t="str">
        <f>REPLACE(INDEX(GroupVertices[Group],MATCH(Edges[[#This Row],[Vertex 2]],GroupVertices[Vertex],0)),1,1,"")</f>
        <v>sychology classes</v>
      </c>
    </row>
    <row r="163" spans="1:18" ht="15">
      <c r="A163" s="64" t="s">
        <v>236</v>
      </c>
      <c r="B163" s="64" t="s">
        <v>2401</v>
      </c>
      <c r="C163" s="65" t="s">
        <v>4443</v>
      </c>
      <c r="D163" s="66">
        <v>3</v>
      </c>
      <c r="E163" s="67"/>
      <c r="F163" s="68">
        <v>40</v>
      </c>
      <c r="G163" s="65"/>
      <c r="H163" s="69"/>
      <c r="I163" s="70"/>
      <c r="J163" s="70"/>
      <c r="K163" s="34" t="s">
        <v>65</v>
      </c>
      <c r="L163" s="77">
        <v>163</v>
      </c>
      <c r="M163" s="77"/>
      <c r="N163" s="72"/>
      <c r="O163" s="79" t="s">
        <v>610</v>
      </c>
      <c r="P163" s="79">
        <v>1</v>
      </c>
      <c r="Q163" s="78" t="str">
        <f>REPLACE(INDEX(GroupVertices[Group],MATCH(Edges[[#This Row],[Vertex 1]],GroupVertices[Vertex],0)),1,1,"")</f>
        <v>PARK</v>
      </c>
      <c r="R163" s="78" t="str">
        <f>REPLACE(INDEX(GroupVertices[Group],MATCH(Edges[[#This Row],[Vertex 2]],GroupVertices[Vertex],0)),1,1,"")</f>
        <v>ogical Guru</v>
      </c>
    </row>
    <row r="164" spans="1:18" ht="15">
      <c r="A164" s="64" t="s">
        <v>236</v>
      </c>
      <c r="B164" s="64" t="s">
        <v>2402</v>
      </c>
      <c r="C164" s="65" t="s">
        <v>4443</v>
      </c>
      <c r="D164" s="66">
        <v>3</v>
      </c>
      <c r="E164" s="67"/>
      <c r="F164" s="68">
        <v>40</v>
      </c>
      <c r="G164" s="65"/>
      <c r="H164" s="69"/>
      <c r="I164" s="70"/>
      <c r="J164" s="70"/>
      <c r="K164" s="34" t="s">
        <v>65</v>
      </c>
      <c r="L164" s="77">
        <v>164</v>
      </c>
      <c r="M164" s="77"/>
      <c r="N164" s="72"/>
      <c r="O164" s="79" t="s">
        <v>610</v>
      </c>
      <c r="P164" s="79">
        <v>1</v>
      </c>
      <c r="Q164" s="78" t="str">
        <f>REPLACE(INDEX(GroupVertices[Group],MATCH(Edges[[#This Row],[Vertex 1]],GroupVertices[Vertex],0)),1,1,"")</f>
        <v>PARK</v>
      </c>
      <c r="R164" s="78" t="str">
        <f>REPLACE(INDEX(GroupVertices[Group],MATCH(Edges[[#This Row],[Vertex 2]],GroupVertices[Vertex],0)),1,1,"")</f>
        <v>hysio Club</v>
      </c>
    </row>
    <row r="165" spans="1:18" ht="15">
      <c r="A165" s="64" t="s">
        <v>236</v>
      </c>
      <c r="B165" s="64" t="s">
        <v>533</v>
      </c>
      <c r="C165" s="65" t="s">
        <v>4443</v>
      </c>
      <c r="D165" s="66">
        <v>3</v>
      </c>
      <c r="E165" s="67"/>
      <c r="F165" s="68">
        <v>40</v>
      </c>
      <c r="G165" s="65"/>
      <c r="H165" s="69"/>
      <c r="I165" s="70"/>
      <c r="J165" s="70"/>
      <c r="K165" s="34" t="s">
        <v>65</v>
      </c>
      <c r="L165" s="77">
        <v>165</v>
      </c>
      <c r="M165" s="77"/>
      <c r="N165" s="72"/>
      <c r="O165" s="79" t="s">
        <v>610</v>
      </c>
      <c r="P165" s="79">
        <v>1</v>
      </c>
      <c r="Q165" s="78" t="str">
        <f>REPLACE(INDEX(GroupVertices[Group],MATCH(Edges[[#This Row],[Vertex 1]],GroupVertices[Vertex],0)),1,1,"")</f>
        <v>PARK</v>
      </c>
      <c r="R165" s="78" t="str">
        <f>REPLACE(INDEX(GroupVertices[Group],MATCH(Edges[[#This Row],[Vertex 2]],GroupVertices[Vertex],0)),1,1,"")</f>
        <v>PARK</v>
      </c>
    </row>
    <row r="166" spans="1:18" ht="15">
      <c r="A166" s="64" t="s">
        <v>236</v>
      </c>
      <c r="B166" s="64" t="s">
        <v>2403</v>
      </c>
      <c r="C166" s="65" t="s">
        <v>4443</v>
      </c>
      <c r="D166" s="66">
        <v>3</v>
      </c>
      <c r="E166" s="67"/>
      <c r="F166" s="68">
        <v>40</v>
      </c>
      <c r="G166" s="65"/>
      <c r="H166" s="69"/>
      <c r="I166" s="70"/>
      <c r="J166" s="70"/>
      <c r="K166" s="34" t="s">
        <v>65</v>
      </c>
      <c r="L166" s="77">
        <v>166</v>
      </c>
      <c r="M166" s="77"/>
      <c r="N166" s="72"/>
      <c r="O166" s="79" t="s">
        <v>610</v>
      </c>
      <c r="P166" s="79">
        <v>1</v>
      </c>
      <c r="Q166" s="78" t="str">
        <f>REPLACE(INDEX(GroupVertices[Group],MATCH(Edges[[#This Row],[Vertex 1]],GroupVertices[Vertex],0)),1,1,"")</f>
        <v>PARK</v>
      </c>
      <c r="R166" s="78" t="str">
        <f>REPLACE(INDEX(GroupVertices[Group],MATCH(Edges[[#This Row],[Vertex 2]],GroupVertices[Vertex],0)),1,1,"")</f>
        <v>PARK</v>
      </c>
    </row>
    <row r="167" spans="1:18" ht="15">
      <c r="A167" s="64" t="s">
        <v>236</v>
      </c>
      <c r="B167" s="64" t="s">
        <v>538</v>
      </c>
      <c r="C167" s="65" t="s">
        <v>4443</v>
      </c>
      <c r="D167" s="66">
        <v>3</v>
      </c>
      <c r="E167" s="67"/>
      <c r="F167" s="68">
        <v>40</v>
      </c>
      <c r="G167" s="65"/>
      <c r="H167" s="69"/>
      <c r="I167" s="70"/>
      <c r="J167" s="70"/>
      <c r="K167" s="34" t="s">
        <v>65</v>
      </c>
      <c r="L167" s="77">
        <v>167</v>
      </c>
      <c r="M167" s="77"/>
      <c r="N167" s="72"/>
      <c r="O167" s="79" t="s">
        <v>610</v>
      </c>
      <c r="P167" s="79">
        <v>1</v>
      </c>
      <c r="Q167" s="78" t="str">
        <f>REPLACE(INDEX(GroupVertices[Group],MATCH(Edges[[#This Row],[Vertex 1]],GroupVertices[Vertex],0)),1,1,"")</f>
        <v>PARK</v>
      </c>
      <c r="R167" s="78" t="str">
        <f>REPLACE(INDEX(GroupVertices[Group],MATCH(Edges[[#This Row],[Vertex 2]],GroupVertices[Vertex],0)),1,1,"")</f>
        <v>PARK</v>
      </c>
    </row>
    <row r="168" spans="1:18" ht="15">
      <c r="A168" s="64" t="s">
        <v>236</v>
      </c>
      <c r="B168" s="64" t="s">
        <v>539</v>
      </c>
      <c r="C168" s="65" t="s">
        <v>4443</v>
      </c>
      <c r="D168" s="66">
        <v>3</v>
      </c>
      <c r="E168" s="67"/>
      <c r="F168" s="68">
        <v>40</v>
      </c>
      <c r="G168" s="65"/>
      <c r="H168" s="69"/>
      <c r="I168" s="70"/>
      <c r="J168" s="70"/>
      <c r="K168" s="34" t="s">
        <v>65</v>
      </c>
      <c r="L168" s="77">
        <v>168</v>
      </c>
      <c r="M168" s="77"/>
      <c r="N168" s="72"/>
      <c r="O168" s="79" t="s">
        <v>610</v>
      </c>
      <c r="P168" s="79">
        <v>1</v>
      </c>
      <c r="Q168" s="78" t="str">
        <f>REPLACE(INDEX(GroupVertices[Group],MATCH(Edges[[#This Row],[Vertex 1]],GroupVertices[Vertex],0)),1,1,"")</f>
        <v>PARK</v>
      </c>
      <c r="R168" s="78" t="str">
        <f>REPLACE(INDEX(GroupVertices[Group],MATCH(Edges[[#This Row],[Vertex 2]],GroupVertices[Vertex],0)),1,1,"")</f>
        <v>PARK</v>
      </c>
    </row>
    <row r="169" spans="1:18" ht="15">
      <c r="A169" s="64" t="s">
        <v>236</v>
      </c>
      <c r="B169" s="64" t="s">
        <v>535</v>
      </c>
      <c r="C169" s="65" t="s">
        <v>4443</v>
      </c>
      <c r="D169" s="66">
        <v>3</v>
      </c>
      <c r="E169" s="67"/>
      <c r="F169" s="68">
        <v>40</v>
      </c>
      <c r="G169" s="65"/>
      <c r="H169" s="69"/>
      <c r="I169" s="70"/>
      <c r="J169" s="70"/>
      <c r="K169" s="34" t="s">
        <v>65</v>
      </c>
      <c r="L169" s="77">
        <v>169</v>
      </c>
      <c r="M169" s="77"/>
      <c r="N169" s="72"/>
      <c r="O169" s="79" t="s">
        <v>610</v>
      </c>
      <c r="P169" s="79">
        <v>1</v>
      </c>
      <c r="Q169" s="78" t="str">
        <f>REPLACE(INDEX(GroupVertices[Group],MATCH(Edges[[#This Row],[Vertex 1]],GroupVertices[Vertex],0)),1,1,"")</f>
        <v>PARK</v>
      </c>
      <c r="R169" s="78" t="str">
        <f>REPLACE(INDEX(GroupVertices[Group],MATCH(Edges[[#This Row],[Vertex 2]],GroupVertices[Vertex],0)),1,1,"")</f>
        <v>PARK</v>
      </c>
    </row>
    <row r="170" spans="1:18" ht="15">
      <c r="A170" s="64" t="s">
        <v>236</v>
      </c>
      <c r="B170" s="64" t="s">
        <v>536</v>
      </c>
      <c r="C170" s="65" t="s">
        <v>4443</v>
      </c>
      <c r="D170" s="66">
        <v>3</v>
      </c>
      <c r="E170" s="67"/>
      <c r="F170" s="68">
        <v>40</v>
      </c>
      <c r="G170" s="65"/>
      <c r="H170" s="69"/>
      <c r="I170" s="70"/>
      <c r="J170" s="70"/>
      <c r="K170" s="34" t="s">
        <v>65</v>
      </c>
      <c r="L170" s="77">
        <v>170</v>
      </c>
      <c r="M170" s="77"/>
      <c r="N170" s="72"/>
      <c r="O170" s="79" t="s">
        <v>610</v>
      </c>
      <c r="P170" s="79">
        <v>1</v>
      </c>
      <c r="Q170" s="78" t="str">
        <f>REPLACE(INDEX(GroupVertices[Group],MATCH(Edges[[#This Row],[Vertex 1]],GroupVertices[Vertex],0)),1,1,"")</f>
        <v>PARK</v>
      </c>
      <c r="R170" s="78" t="str">
        <f>REPLACE(INDEX(GroupVertices[Group],MATCH(Edges[[#This Row],[Vertex 2]],GroupVertices[Vertex],0)),1,1,"")</f>
        <v>PARK</v>
      </c>
    </row>
    <row r="171" spans="1:18" ht="15">
      <c r="A171" s="64" t="s">
        <v>236</v>
      </c>
      <c r="B171" s="64" t="s">
        <v>534</v>
      </c>
      <c r="C171" s="65" t="s">
        <v>4443</v>
      </c>
      <c r="D171" s="66">
        <v>3</v>
      </c>
      <c r="E171" s="67"/>
      <c r="F171" s="68">
        <v>40</v>
      </c>
      <c r="G171" s="65"/>
      <c r="H171" s="69"/>
      <c r="I171" s="70"/>
      <c r="J171" s="70"/>
      <c r="K171" s="34" t="s">
        <v>65</v>
      </c>
      <c r="L171" s="77">
        <v>171</v>
      </c>
      <c r="M171" s="77"/>
      <c r="N171" s="72"/>
      <c r="O171" s="79" t="s">
        <v>610</v>
      </c>
      <c r="P171" s="79">
        <v>1</v>
      </c>
      <c r="Q171" s="78" t="str">
        <f>REPLACE(INDEX(GroupVertices[Group],MATCH(Edges[[#This Row],[Vertex 1]],GroupVertices[Vertex],0)),1,1,"")</f>
        <v>PARK</v>
      </c>
      <c r="R171" s="78" t="str">
        <f>REPLACE(INDEX(GroupVertices[Group],MATCH(Edges[[#This Row],[Vertex 2]],GroupVertices[Vertex],0)),1,1,"")</f>
        <v>PARK</v>
      </c>
    </row>
    <row r="172" spans="1:18" ht="15">
      <c r="A172" s="64" t="s">
        <v>236</v>
      </c>
      <c r="B172" s="64" t="s">
        <v>540</v>
      </c>
      <c r="C172" s="65" t="s">
        <v>4443</v>
      </c>
      <c r="D172" s="66">
        <v>3</v>
      </c>
      <c r="E172" s="67"/>
      <c r="F172" s="68">
        <v>40</v>
      </c>
      <c r="G172" s="65"/>
      <c r="H172" s="69"/>
      <c r="I172" s="70"/>
      <c r="J172" s="70"/>
      <c r="K172" s="34" t="s">
        <v>65</v>
      </c>
      <c r="L172" s="77">
        <v>172</v>
      </c>
      <c r="M172" s="77"/>
      <c r="N172" s="72"/>
      <c r="O172" s="79" t="s">
        <v>610</v>
      </c>
      <c r="P172" s="79">
        <v>1</v>
      </c>
      <c r="Q172" s="78" t="str">
        <f>REPLACE(INDEX(GroupVertices[Group],MATCH(Edges[[#This Row],[Vertex 1]],GroupVertices[Vertex],0)),1,1,"")</f>
        <v>PARK</v>
      </c>
      <c r="R172" s="78" t="str">
        <f>REPLACE(INDEX(GroupVertices[Group],MATCH(Edges[[#This Row],[Vertex 2]],GroupVertices[Vertex],0)),1,1,"")</f>
        <v>PARK</v>
      </c>
    </row>
    <row r="173" spans="1:18" ht="15">
      <c r="A173" s="64" t="s">
        <v>236</v>
      </c>
      <c r="B173" s="64" t="s">
        <v>542</v>
      </c>
      <c r="C173" s="65" t="s">
        <v>4443</v>
      </c>
      <c r="D173" s="66">
        <v>3</v>
      </c>
      <c r="E173" s="67"/>
      <c r="F173" s="68">
        <v>40</v>
      </c>
      <c r="G173" s="65"/>
      <c r="H173" s="69"/>
      <c r="I173" s="70"/>
      <c r="J173" s="70"/>
      <c r="K173" s="34" t="s">
        <v>65</v>
      </c>
      <c r="L173" s="77">
        <v>173</v>
      </c>
      <c r="M173" s="77"/>
      <c r="N173" s="72"/>
      <c r="O173" s="79" t="s">
        <v>610</v>
      </c>
      <c r="P173" s="79">
        <v>1</v>
      </c>
      <c r="Q173" s="78" t="str">
        <f>REPLACE(INDEX(GroupVertices[Group],MATCH(Edges[[#This Row],[Vertex 1]],GroupVertices[Vertex],0)),1,1,"")</f>
        <v>PARK</v>
      </c>
      <c r="R173" s="78" t="str">
        <f>REPLACE(INDEX(GroupVertices[Group],MATCH(Edges[[#This Row],[Vertex 2]],GroupVertices[Vertex],0)),1,1,"")</f>
        <v>PARK</v>
      </c>
    </row>
    <row r="174" spans="1:18" ht="15">
      <c r="A174" s="64" t="s">
        <v>236</v>
      </c>
      <c r="B174" s="64" t="s">
        <v>2404</v>
      </c>
      <c r="C174" s="65" t="s">
        <v>4443</v>
      </c>
      <c r="D174" s="66">
        <v>3</v>
      </c>
      <c r="E174" s="67"/>
      <c r="F174" s="68">
        <v>40</v>
      </c>
      <c r="G174" s="65"/>
      <c r="H174" s="69"/>
      <c r="I174" s="70"/>
      <c r="J174" s="70"/>
      <c r="K174" s="34" t="s">
        <v>65</v>
      </c>
      <c r="L174" s="77">
        <v>174</v>
      </c>
      <c r="M174" s="77"/>
      <c r="N174" s="72"/>
      <c r="O174" s="79" t="s">
        <v>610</v>
      </c>
      <c r="P174" s="79">
        <v>1</v>
      </c>
      <c r="Q174" s="78" t="str">
        <f>REPLACE(INDEX(GroupVertices[Group],MATCH(Edges[[#This Row],[Vertex 1]],GroupVertices[Vertex],0)),1,1,"")</f>
        <v>PARK</v>
      </c>
      <c r="R174" s="78" t="str">
        <f>REPLACE(INDEX(GroupVertices[Group],MATCH(Edges[[#This Row],[Vertex 2]],GroupVertices[Vertex],0)),1,1,"")</f>
        <v>PARK</v>
      </c>
    </row>
    <row r="175" spans="1:18" ht="15">
      <c r="A175" s="64" t="s">
        <v>236</v>
      </c>
      <c r="B175" s="64" t="s">
        <v>537</v>
      </c>
      <c r="C175" s="65" t="s">
        <v>4443</v>
      </c>
      <c r="D175" s="66">
        <v>3</v>
      </c>
      <c r="E175" s="67"/>
      <c r="F175" s="68">
        <v>40</v>
      </c>
      <c r="G175" s="65"/>
      <c r="H175" s="69"/>
      <c r="I175" s="70"/>
      <c r="J175" s="70"/>
      <c r="K175" s="34" t="s">
        <v>65</v>
      </c>
      <c r="L175" s="77">
        <v>175</v>
      </c>
      <c r="M175" s="77"/>
      <c r="N175" s="72"/>
      <c r="O175" s="79" t="s">
        <v>610</v>
      </c>
      <c r="P175" s="79">
        <v>1</v>
      </c>
      <c r="Q175" s="78" t="str">
        <f>REPLACE(INDEX(GroupVertices[Group],MATCH(Edges[[#This Row],[Vertex 1]],GroupVertices[Vertex],0)),1,1,"")</f>
        <v>PARK</v>
      </c>
      <c r="R175" s="78" t="str">
        <f>REPLACE(INDEX(GroupVertices[Group],MATCH(Edges[[#This Row],[Vertex 2]],GroupVertices[Vertex],0)),1,1,"")</f>
        <v>PARK</v>
      </c>
    </row>
    <row r="176" spans="1:18" ht="15">
      <c r="A176" s="64" t="s">
        <v>236</v>
      </c>
      <c r="B176" s="64" t="s">
        <v>543</v>
      </c>
      <c r="C176" s="65" t="s">
        <v>4443</v>
      </c>
      <c r="D176" s="66">
        <v>3</v>
      </c>
      <c r="E176" s="67"/>
      <c r="F176" s="68">
        <v>40</v>
      </c>
      <c r="G176" s="65"/>
      <c r="H176" s="69"/>
      <c r="I176" s="70"/>
      <c r="J176" s="70"/>
      <c r="K176" s="34" t="s">
        <v>65</v>
      </c>
      <c r="L176" s="77">
        <v>176</v>
      </c>
      <c r="M176" s="77"/>
      <c r="N176" s="72"/>
      <c r="O176" s="79" t="s">
        <v>610</v>
      </c>
      <c r="P176" s="79">
        <v>1</v>
      </c>
      <c r="Q176" s="78" t="str">
        <f>REPLACE(INDEX(GroupVertices[Group],MATCH(Edges[[#This Row],[Vertex 1]],GroupVertices[Vertex],0)),1,1,"")</f>
        <v>PARK</v>
      </c>
      <c r="R176" s="78" t="str">
        <f>REPLACE(INDEX(GroupVertices[Group],MATCH(Edges[[#This Row],[Vertex 2]],GroupVertices[Vertex],0)),1,1,"")</f>
        <v>PARK</v>
      </c>
    </row>
    <row r="177" spans="1:18" ht="15">
      <c r="A177" s="64" t="s">
        <v>236</v>
      </c>
      <c r="B177" s="64" t="s">
        <v>2405</v>
      </c>
      <c r="C177" s="65" t="s">
        <v>4443</v>
      </c>
      <c r="D177" s="66">
        <v>3</v>
      </c>
      <c r="E177" s="67"/>
      <c r="F177" s="68">
        <v>40</v>
      </c>
      <c r="G177" s="65"/>
      <c r="H177" s="69"/>
      <c r="I177" s="70"/>
      <c r="J177" s="70"/>
      <c r="K177" s="34" t="s">
        <v>65</v>
      </c>
      <c r="L177" s="77">
        <v>177</v>
      </c>
      <c r="M177" s="77"/>
      <c r="N177" s="72"/>
      <c r="O177" s="79" t="s">
        <v>610</v>
      </c>
      <c r="P177" s="79">
        <v>1</v>
      </c>
      <c r="Q177" s="78" t="str">
        <f>REPLACE(INDEX(GroupVertices[Group],MATCH(Edges[[#This Row],[Vertex 1]],GroupVertices[Vertex],0)),1,1,"")</f>
        <v>PARK</v>
      </c>
      <c r="R177" s="78" t="str">
        <f>REPLACE(INDEX(GroupVertices[Group],MATCH(Edges[[#This Row],[Vertex 2]],GroupVertices[Vertex],0)),1,1,"")</f>
        <v>BEGAIL CORDERO</v>
      </c>
    </row>
    <row r="178" spans="1:18" ht="15">
      <c r="A178" s="64" t="s">
        <v>236</v>
      </c>
      <c r="B178" s="64" t="s">
        <v>2406</v>
      </c>
      <c r="C178" s="65" t="s">
        <v>4443</v>
      </c>
      <c r="D178" s="66">
        <v>3</v>
      </c>
      <c r="E178" s="67"/>
      <c r="F178" s="68">
        <v>40</v>
      </c>
      <c r="G178" s="65"/>
      <c r="H178" s="69"/>
      <c r="I178" s="70"/>
      <c r="J178" s="70"/>
      <c r="K178" s="34" t="s">
        <v>65</v>
      </c>
      <c r="L178" s="77">
        <v>178</v>
      </c>
      <c r="M178" s="77"/>
      <c r="N178" s="72"/>
      <c r="O178" s="79" t="s">
        <v>610</v>
      </c>
      <c r="P178" s="79">
        <v>1</v>
      </c>
      <c r="Q178" s="78" t="str">
        <f>REPLACE(INDEX(GroupVertices[Group],MATCH(Edges[[#This Row],[Vertex 1]],GroupVertices[Vertex],0)),1,1,"")</f>
        <v>PARK</v>
      </c>
      <c r="R178" s="78" t="str">
        <f>REPLACE(INDEX(GroupVertices[Group],MATCH(Edges[[#This Row],[Vertex 2]],GroupVertices[Vertex],0)),1,1,"")</f>
        <v>nn Hilado</v>
      </c>
    </row>
    <row r="179" spans="1:18" ht="15">
      <c r="A179" s="64" t="s">
        <v>236</v>
      </c>
      <c r="B179" s="64" t="s">
        <v>2407</v>
      </c>
      <c r="C179" s="65" t="s">
        <v>4443</v>
      </c>
      <c r="D179" s="66">
        <v>3</v>
      </c>
      <c r="E179" s="67"/>
      <c r="F179" s="68">
        <v>40</v>
      </c>
      <c r="G179" s="65"/>
      <c r="H179" s="69"/>
      <c r="I179" s="70"/>
      <c r="J179" s="70"/>
      <c r="K179" s="34" t="s">
        <v>65</v>
      </c>
      <c r="L179" s="77">
        <v>179</v>
      </c>
      <c r="M179" s="77"/>
      <c r="N179" s="72"/>
      <c r="O179" s="79" t="s">
        <v>610</v>
      </c>
      <c r="P179" s="79">
        <v>1</v>
      </c>
      <c r="Q179" s="78" t="str">
        <f>REPLACE(INDEX(GroupVertices[Group],MATCH(Edges[[#This Row],[Vertex 1]],GroupVertices[Vertex],0)),1,1,"")</f>
        <v>PARK</v>
      </c>
      <c r="R179" s="78" t="str">
        <f>REPLACE(INDEX(GroupVertices[Group],MATCH(Edges[[#This Row],[Vertex 2]],GroupVertices[Vertex],0)),1,1,"")</f>
        <v>tudent</v>
      </c>
    </row>
    <row r="180" spans="1:18" ht="15">
      <c r="A180" s="64" t="s">
        <v>236</v>
      </c>
      <c r="B180" s="64" t="s">
        <v>2408</v>
      </c>
      <c r="C180" s="65" t="s">
        <v>4443</v>
      </c>
      <c r="D180" s="66">
        <v>3</v>
      </c>
      <c r="E180" s="67"/>
      <c r="F180" s="68">
        <v>40</v>
      </c>
      <c r="G180" s="65"/>
      <c r="H180" s="69"/>
      <c r="I180" s="70"/>
      <c r="J180" s="70"/>
      <c r="K180" s="34" t="s">
        <v>65</v>
      </c>
      <c r="L180" s="77">
        <v>180</v>
      </c>
      <c r="M180" s="77"/>
      <c r="N180" s="72"/>
      <c r="O180" s="79" t="s">
        <v>610</v>
      </c>
      <c r="P180" s="79">
        <v>1</v>
      </c>
      <c r="Q180" s="78" t="str">
        <f>REPLACE(INDEX(GroupVertices[Group],MATCH(Edges[[#This Row],[Vertex 1]],GroupVertices[Vertex],0)),1,1,"")</f>
        <v>PARK</v>
      </c>
      <c r="R180" s="78" t="str">
        <f>REPLACE(INDEX(GroupVertices[Group],MATCH(Edges[[#This Row],[Vertex 2]],GroupVertices[Vertex],0)),1,1,"")</f>
        <v>sychology TV | Win by Learning</v>
      </c>
    </row>
    <row r="181" spans="1:18" ht="15">
      <c r="A181" s="64" t="s">
        <v>236</v>
      </c>
      <c r="B181" s="64" t="s">
        <v>381</v>
      </c>
      <c r="C181" s="65" t="s">
        <v>4443</v>
      </c>
      <c r="D181" s="66">
        <v>3</v>
      </c>
      <c r="E181" s="67"/>
      <c r="F181" s="68">
        <v>40</v>
      </c>
      <c r="G181" s="65"/>
      <c r="H181" s="69"/>
      <c r="I181" s="70"/>
      <c r="J181" s="70"/>
      <c r="K181" s="34" t="s">
        <v>65</v>
      </c>
      <c r="L181" s="77">
        <v>181</v>
      </c>
      <c r="M181" s="77"/>
      <c r="N181" s="72"/>
      <c r="O181" s="79" t="s">
        <v>610</v>
      </c>
      <c r="P181" s="79">
        <v>1</v>
      </c>
      <c r="Q181" s="78" t="str">
        <f>REPLACE(INDEX(GroupVertices[Group],MATCH(Edges[[#This Row],[Vertex 1]],GroupVertices[Vertex],0)),1,1,"")</f>
        <v>PARK</v>
      </c>
      <c r="R181" s="78" t="str">
        <f>REPLACE(INDEX(GroupVertices[Group],MATCH(Edges[[#This Row],[Vertex 2]],GroupVertices[Vertex],0)),1,1,"")</f>
        <v>Conn mHealth</v>
      </c>
    </row>
    <row r="182" spans="1:18" ht="15">
      <c r="A182" s="64" t="s">
        <v>208</v>
      </c>
      <c r="B182" s="64" t="s">
        <v>355</v>
      </c>
      <c r="C182" s="65" t="s">
        <v>4443</v>
      </c>
      <c r="D182" s="66">
        <v>3</v>
      </c>
      <c r="E182" s="67"/>
      <c r="F182" s="68">
        <v>40</v>
      </c>
      <c r="G182" s="65"/>
      <c r="H182" s="69"/>
      <c r="I182" s="70"/>
      <c r="J182" s="70"/>
      <c r="K182" s="34" t="s">
        <v>65</v>
      </c>
      <c r="L182" s="77">
        <v>182</v>
      </c>
      <c r="M182" s="77"/>
      <c r="N182" s="72"/>
      <c r="O182" s="79" t="s">
        <v>610</v>
      </c>
      <c r="P182" s="79">
        <v>1</v>
      </c>
      <c r="Q182" s="78" t="str">
        <f>REPLACE(INDEX(GroupVertices[Group],MATCH(Edges[[#This Row],[Vertex 1]],GroupVertices[Vertex],0)),1,1,"")</f>
        <v>fficial mdw</v>
      </c>
      <c r="R182" s="78" t="str">
        <f>REPLACE(INDEX(GroupVertices[Group],MATCH(Edges[[#This Row],[Vertex 2]],GroupVertices[Vertex],0)),1,1,"")</f>
        <v>ri Suciana</v>
      </c>
    </row>
    <row r="183" spans="1:18" ht="15">
      <c r="A183" s="64" t="s">
        <v>208</v>
      </c>
      <c r="B183" s="64" t="s">
        <v>357</v>
      </c>
      <c r="C183" s="65" t="s">
        <v>4443</v>
      </c>
      <c r="D183" s="66">
        <v>3</v>
      </c>
      <c r="E183" s="67"/>
      <c r="F183" s="68">
        <v>40</v>
      </c>
      <c r="G183" s="65"/>
      <c r="H183" s="69"/>
      <c r="I183" s="70"/>
      <c r="J183" s="70"/>
      <c r="K183" s="34" t="s">
        <v>65</v>
      </c>
      <c r="L183" s="77">
        <v>183</v>
      </c>
      <c r="M183" s="77"/>
      <c r="N183" s="72"/>
      <c r="O183" s="79" t="s">
        <v>610</v>
      </c>
      <c r="P183" s="79">
        <v>1</v>
      </c>
      <c r="Q183" s="78" t="str">
        <f>REPLACE(INDEX(GroupVertices[Group],MATCH(Edges[[#This Row],[Vertex 1]],GroupVertices[Vertex],0)),1,1,"")</f>
        <v>fficial mdw</v>
      </c>
      <c r="R183" s="78" t="str">
        <f>REPLACE(INDEX(GroupVertices[Group],MATCH(Edges[[#This Row],[Vertex 2]],GroupVertices[Vertex],0)),1,1,"")</f>
        <v>ary Hidayatullah</v>
      </c>
    </row>
    <row r="184" spans="1:18" ht="15">
      <c r="A184" s="64" t="s">
        <v>208</v>
      </c>
      <c r="B184" s="64" t="s">
        <v>354</v>
      </c>
      <c r="C184" s="65" t="s">
        <v>4443</v>
      </c>
      <c r="D184" s="66">
        <v>3</v>
      </c>
      <c r="E184" s="67"/>
      <c r="F184" s="68">
        <v>40</v>
      </c>
      <c r="G184" s="65"/>
      <c r="H184" s="69"/>
      <c r="I184" s="70"/>
      <c r="J184" s="70"/>
      <c r="K184" s="34" t="s">
        <v>65</v>
      </c>
      <c r="L184" s="77">
        <v>184</v>
      </c>
      <c r="M184" s="77"/>
      <c r="N184" s="72"/>
      <c r="O184" s="79" t="s">
        <v>610</v>
      </c>
      <c r="P184" s="79">
        <v>1</v>
      </c>
      <c r="Q184" s="78" t="str">
        <f>REPLACE(INDEX(GroupVertices[Group],MATCH(Edges[[#This Row],[Vertex 1]],GroupVertices[Vertex],0)),1,1,"")</f>
        <v>fficial mdw</v>
      </c>
      <c r="R184" s="78" t="str">
        <f>REPLACE(INDEX(GroupVertices[Group],MATCH(Edges[[#This Row],[Vertex 2]],GroupVertices[Vertex],0)),1,1,"")</f>
        <v>viana lintang</v>
      </c>
    </row>
    <row r="185" spans="1:18" ht="15">
      <c r="A185" s="64" t="s">
        <v>208</v>
      </c>
      <c r="B185" s="64" t="s">
        <v>2153</v>
      </c>
      <c r="C185" s="65" t="s">
        <v>4443</v>
      </c>
      <c r="D185" s="66">
        <v>3</v>
      </c>
      <c r="E185" s="67"/>
      <c r="F185" s="68">
        <v>40</v>
      </c>
      <c r="G185" s="65"/>
      <c r="H185" s="69"/>
      <c r="I185" s="70"/>
      <c r="J185" s="70"/>
      <c r="K185" s="34" t="s">
        <v>65</v>
      </c>
      <c r="L185" s="77">
        <v>185</v>
      </c>
      <c r="M185" s="77"/>
      <c r="N185" s="72"/>
      <c r="O185" s="79" t="s">
        <v>610</v>
      </c>
      <c r="P185" s="79">
        <v>1</v>
      </c>
      <c r="Q185" s="78" t="str">
        <f>REPLACE(INDEX(GroupVertices[Group],MATCH(Edges[[#This Row],[Vertex 1]],GroupVertices[Vertex],0)),1,1,"")</f>
        <v>fficial mdw</v>
      </c>
      <c r="R185" s="78" t="str">
        <f>REPLACE(INDEX(GroupVertices[Group],MATCH(Edges[[#This Row],[Vertex 2]],GroupVertices[Vertex],0)),1,1,"")</f>
        <v>lfahan Ilham</v>
      </c>
    </row>
    <row r="186" spans="1:18" ht="15">
      <c r="A186" s="64" t="s">
        <v>208</v>
      </c>
      <c r="B186" s="64" t="s">
        <v>351</v>
      </c>
      <c r="C186" s="65" t="s">
        <v>4443</v>
      </c>
      <c r="D186" s="66">
        <v>3</v>
      </c>
      <c r="E186" s="67"/>
      <c r="F186" s="68">
        <v>40</v>
      </c>
      <c r="G186" s="65"/>
      <c r="H186" s="69"/>
      <c r="I186" s="70"/>
      <c r="J186" s="70"/>
      <c r="K186" s="34" t="s">
        <v>65</v>
      </c>
      <c r="L186" s="77">
        <v>186</v>
      </c>
      <c r="M186" s="77"/>
      <c r="N186" s="72"/>
      <c r="O186" s="79" t="s">
        <v>610</v>
      </c>
      <c r="P186" s="79">
        <v>1</v>
      </c>
      <c r="Q186" s="78" t="str">
        <f>REPLACE(INDEX(GroupVertices[Group],MATCH(Edges[[#This Row],[Vertex 1]],GroupVertices[Vertex],0)),1,1,"")</f>
        <v>fficial mdw</v>
      </c>
      <c r="R186" s="78" t="str">
        <f>REPLACE(INDEX(GroupVertices[Group],MATCH(Edges[[#This Row],[Vertex 2]],GroupVertices[Vertex],0)),1,1,"")</f>
        <v>iara Arzhika Nurfaddilah</v>
      </c>
    </row>
    <row r="187" spans="1:18" ht="15">
      <c r="A187" s="64" t="s">
        <v>208</v>
      </c>
      <c r="B187" s="64" t="s">
        <v>356</v>
      </c>
      <c r="C187" s="65" t="s">
        <v>4443</v>
      </c>
      <c r="D187" s="66">
        <v>3</v>
      </c>
      <c r="E187" s="67"/>
      <c r="F187" s="68">
        <v>40</v>
      </c>
      <c r="G187" s="65"/>
      <c r="H187" s="69"/>
      <c r="I187" s="70"/>
      <c r="J187" s="70"/>
      <c r="K187" s="34" t="s">
        <v>65</v>
      </c>
      <c r="L187" s="77">
        <v>187</v>
      </c>
      <c r="M187" s="77"/>
      <c r="N187" s="72"/>
      <c r="O187" s="79" t="s">
        <v>610</v>
      </c>
      <c r="P187" s="79">
        <v>1</v>
      </c>
      <c r="Q187" s="78" t="str">
        <f>REPLACE(INDEX(GroupVertices[Group],MATCH(Edges[[#This Row],[Vertex 1]],GroupVertices[Vertex],0)),1,1,"")</f>
        <v>fficial mdw</v>
      </c>
      <c r="R187" s="78" t="str">
        <f>REPLACE(INDEX(GroupVertices[Group],MATCH(Edges[[#This Row],[Vertex 2]],GroupVertices[Vertex],0)),1,1,"")</f>
        <v>ri Suciana</v>
      </c>
    </row>
    <row r="188" spans="1:18" ht="15">
      <c r="A188" s="64" t="s">
        <v>208</v>
      </c>
      <c r="B188" s="64" t="s">
        <v>352</v>
      </c>
      <c r="C188" s="65" t="s">
        <v>4443</v>
      </c>
      <c r="D188" s="66">
        <v>3</v>
      </c>
      <c r="E188" s="67"/>
      <c r="F188" s="68">
        <v>40</v>
      </c>
      <c r="G188" s="65"/>
      <c r="H188" s="69"/>
      <c r="I188" s="70"/>
      <c r="J188" s="70"/>
      <c r="K188" s="34" t="s">
        <v>65</v>
      </c>
      <c r="L188" s="77">
        <v>188</v>
      </c>
      <c r="M188" s="77"/>
      <c r="N188" s="72"/>
      <c r="O188" s="79" t="s">
        <v>610</v>
      </c>
      <c r="P188" s="79">
        <v>1</v>
      </c>
      <c r="Q188" s="78" t="str">
        <f>REPLACE(INDEX(GroupVertices[Group],MATCH(Edges[[#This Row],[Vertex 1]],GroupVertices[Vertex],0)),1,1,"")</f>
        <v>fficial mdw</v>
      </c>
      <c r="R188" s="78" t="str">
        <f>REPLACE(INDEX(GroupVertices[Group],MATCH(Edges[[#This Row],[Vertex 2]],GroupVertices[Vertex],0)),1,1,"")</f>
        <v>arwastu Vivaldi Galant</v>
      </c>
    </row>
    <row r="189" spans="1:18" ht="15">
      <c r="A189" s="64" t="s">
        <v>208</v>
      </c>
      <c r="B189" s="64" t="s">
        <v>358</v>
      </c>
      <c r="C189" s="65" t="s">
        <v>4443</v>
      </c>
      <c r="D189" s="66">
        <v>3</v>
      </c>
      <c r="E189" s="67"/>
      <c r="F189" s="68">
        <v>40</v>
      </c>
      <c r="G189" s="65"/>
      <c r="H189" s="69"/>
      <c r="I189" s="70"/>
      <c r="J189" s="70"/>
      <c r="K189" s="34" t="s">
        <v>65</v>
      </c>
      <c r="L189" s="77">
        <v>189</v>
      </c>
      <c r="M189" s="77"/>
      <c r="N189" s="72"/>
      <c r="O189" s="79" t="s">
        <v>610</v>
      </c>
      <c r="P189" s="79">
        <v>1</v>
      </c>
      <c r="Q189" s="78" t="str">
        <f>REPLACE(INDEX(GroupVertices[Group],MATCH(Edges[[#This Row],[Vertex 1]],GroupVertices[Vertex],0)),1,1,"")</f>
        <v>fficial mdw</v>
      </c>
      <c r="R189" s="78" t="str">
        <f>REPLACE(INDEX(GroupVertices[Group],MATCH(Edges[[#This Row],[Vertex 2]],GroupVertices[Vertex],0)),1,1,"")</f>
        <v>iranty nh</v>
      </c>
    </row>
    <row r="190" spans="1:18" ht="15">
      <c r="A190" s="64" t="s">
        <v>208</v>
      </c>
      <c r="B190" s="64" t="s">
        <v>2154</v>
      </c>
      <c r="C190" s="65" t="s">
        <v>4443</v>
      </c>
      <c r="D190" s="66">
        <v>3</v>
      </c>
      <c r="E190" s="67"/>
      <c r="F190" s="68">
        <v>40</v>
      </c>
      <c r="G190" s="65"/>
      <c r="H190" s="69"/>
      <c r="I190" s="70"/>
      <c r="J190" s="70"/>
      <c r="K190" s="34" t="s">
        <v>65</v>
      </c>
      <c r="L190" s="77">
        <v>190</v>
      </c>
      <c r="M190" s="77"/>
      <c r="N190" s="72"/>
      <c r="O190" s="79" t="s">
        <v>610</v>
      </c>
      <c r="P190" s="79">
        <v>1</v>
      </c>
      <c r="Q190" s="78" t="str">
        <f>REPLACE(INDEX(GroupVertices[Group],MATCH(Edges[[#This Row],[Vertex 1]],GroupVertices[Vertex],0)),1,1,"")</f>
        <v>fficial mdw</v>
      </c>
      <c r="R190" s="78" t="str">
        <f>REPLACE(INDEX(GroupVertices[Group],MATCH(Edges[[#This Row],[Vertex 2]],GroupVertices[Vertex],0)),1,1,"")</f>
        <v>olanda Rukmantara</v>
      </c>
    </row>
    <row r="191" spans="1:18" ht="15">
      <c r="A191" s="64" t="s">
        <v>208</v>
      </c>
      <c r="B191" s="64" t="s">
        <v>2155</v>
      </c>
      <c r="C191" s="65" t="s">
        <v>4443</v>
      </c>
      <c r="D191" s="66">
        <v>3</v>
      </c>
      <c r="E191" s="67"/>
      <c r="F191" s="68">
        <v>40</v>
      </c>
      <c r="G191" s="65"/>
      <c r="H191" s="69"/>
      <c r="I191" s="70"/>
      <c r="J191" s="70"/>
      <c r="K191" s="34" t="s">
        <v>65</v>
      </c>
      <c r="L191" s="77">
        <v>191</v>
      </c>
      <c r="M191" s="77"/>
      <c r="N191" s="72"/>
      <c r="O191" s="79" t="s">
        <v>610</v>
      </c>
      <c r="P191" s="79">
        <v>1</v>
      </c>
      <c r="Q191" s="78" t="str">
        <f>REPLACE(INDEX(GroupVertices[Group],MATCH(Edges[[#This Row],[Vertex 1]],GroupVertices[Vertex],0)),1,1,"")</f>
        <v>fficial mdw</v>
      </c>
      <c r="R191" s="78" t="str">
        <f>REPLACE(INDEX(GroupVertices[Group],MATCH(Edges[[#This Row],[Vertex 2]],GroupVertices[Vertex],0)),1,1,"")</f>
        <v>eni Yulieanti</v>
      </c>
    </row>
    <row r="192" spans="1:18" ht="15">
      <c r="A192" s="64" t="s">
        <v>208</v>
      </c>
      <c r="B192" s="64" t="s">
        <v>359</v>
      </c>
      <c r="C192" s="65" t="s">
        <v>4443</v>
      </c>
      <c r="D192" s="66">
        <v>3</v>
      </c>
      <c r="E192" s="67"/>
      <c r="F192" s="68">
        <v>40</v>
      </c>
      <c r="G192" s="65"/>
      <c r="H192" s="69"/>
      <c r="I192" s="70"/>
      <c r="J192" s="70"/>
      <c r="K192" s="34" t="s">
        <v>65</v>
      </c>
      <c r="L192" s="77">
        <v>192</v>
      </c>
      <c r="M192" s="77"/>
      <c r="N192" s="72"/>
      <c r="O192" s="79" t="s">
        <v>610</v>
      </c>
      <c r="P192" s="79">
        <v>1</v>
      </c>
      <c r="Q192" s="78" t="str">
        <f>REPLACE(INDEX(GroupVertices[Group],MATCH(Edges[[#This Row],[Vertex 1]],GroupVertices[Vertex],0)),1,1,"")</f>
        <v>fficial mdw</v>
      </c>
      <c r="R192" s="78" t="str">
        <f>REPLACE(INDEX(GroupVertices[Group],MATCH(Edges[[#This Row],[Vertex 2]],GroupVertices[Vertex],0)),1,1,"")</f>
        <v>APELKES PROVINSI SULAWESI TENGAH</v>
      </c>
    </row>
    <row r="193" spans="1:18" ht="15">
      <c r="A193" s="64" t="s">
        <v>208</v>
      </c>
      <c r="B193" s="64" t="s">
        <v>353</v>
      </c>
      <c r="C193" s="65" t="s">
        <v>4443</v>
      </c>
      <c r="D193" s="66">
        <v>3</v>
      </c>
      <c r="E193" s="67"/>
      <c r="F193" s="68">
        <v>40</v>
      </c>
      <c r="G193" s="65"/>
      <c r="H193" s="69"/>
      <c r="I193" s="70"/>
      <c r="J193" s="70"/>
      <c r="K193" s="34" t="s">
        <v>65</v>
      </c>
      <c r="L193" s="77">
        <v>193</v>
      </c>
      <c r="M193" s="77"/>
      <c r="N193" s="72"/>
      <c r="O193" s="79" t="s">
        <v>610</v>
      </c>
      <c r="P193" s="79">
        <v>1</v>
      </c>
      <c r="Q193" s="78" t="str">
        <f>REPLACE(INDEX(GroupVertices[Group],MATCH(Edges[[#This Row],[Vertex 1]],GroupVertices[Vertex],0)),1,1,"")</f>
        <v>fficial mdw</v>
      </c>
      <c r="R193" s="78" t="str">
        <f>REPLACE(INDEX(GroupVertices[Group],MATCH(Edges[[#This Row],[Vertex 2]],GroupVertices[Vertex],0)),1,1,"")</f>
        <v>51_Gita Aulia</v>
      </c>
    </row>
    <row r="194" spans="1:18" ht="15">
      <c r="A194" s="64" t="s">
        <v>204</v>
      </c>
      <c r="B194" s="64" t="s">
        <v>2139</v>
      </c>
      <c r="C194" s="65" t="s">
        <v>4443</v>
      </c>
      <c r="D194" s="66">
        <v>3</v>
      </c>
      <c r="E194" s="67"/>
      <c r="F194" s="68">
        <v>40</v>
      </c>
      <c r="G194" s="65"/>
      <c r="H194" s="69"/>
      <c r="I194" s="70"/>
      <c r="J194" s="70"/>
      <c r="K194" s="34" t="s">
        <v>65</v>
      </c>
      <c r="L194" s="77">
        <v>194</v>
      </c>
      <c r="M194" s="77"/>
      <c r="N194" s="72"/>
      <c r="O194" s="79" t="s">
        <v>610</v>
      </c>
      <c r="P194" s="79">
        <v>1</v>
      </c>
      <c r="Q194" s="78" t="str">
        <f>REPLACE(INDEX(GroupVertices[Group],MATCH(Edges[[#This Row],[Vertex 1]],GroupVertices[Vertex],0)),1,1,"")</f>
        <v>chool of Psychology by Sakshi Kohli</v>
      </c>
      <c r="R194" s="78" t="str">
        <f>REPLACE(INDEX(GroupVertices[Group],MATCH(Edges[[#This Row],[Vertex 2]],GroupVertices[Vertex],0)),1,1,"")</f>
        <v>osmala Listantina</v>
      </c>
    </row>
    <row r="195" spans="1:18" ht="15">
      <c r="A195" s="64" t="s">
        <v>204</v>
      </c>
      <c r="B195" s="64" t="s">
        <v>2140</v>
      </c>
      <c r="C195" s="65" t="s">
        <v>4443</v>
      </c>
      <c r="D195" s="66">
        <v>3</v>
      </c>
      <c r="E195" s="67"/>
      <c r="F195" s="68">
        <v>40</v>
      </c>
      <c r="G195" s="65"/>
      <c r="H195" s="69"/>
      <c r="I195" s="70"/>
      <c r="J195" s="70"/>
      <c r="K195" s="34" t="s">
        <v>65</v>
      </c>
      <c r="L195" s="77">
        <v>195</v>
      </c>
      <c r="M195" s="77"/>
      <c r="N195" s="72"/>
      <c r="O195" s="79" t="s">
        <v>610</v>
      </c>
      <c r="P195" s="79">
        <v>1</v>
      </c>
      <c r="Q195" s="78" t="str">
        <f>REPLACE(INDEX(GroupVertices[Group],MATCH(Edges[[#This Row],[Vertex 1]],GroupVertices[Vertex],0)),1,1,"")</f>
        <v>chool of Psychology by Sakshi Kohli</v>
      </c>
      <c r="R195" s="78" t="str">
        <f>REPLACE(INDEX(GroupVertices[Group],MATCH(Edges[[#This Row],[Vertex 2]],GroupVertices[Vertex],0)),1,1,"")</f>
        <v>ife's Wisdom Unleashed</v>
      </c>
    </row>
    <row r="196" spans="1:18" ht="15">
      <c r="A196" s="64" t="s">
        <v>204</v>
      </c>
      <c r="B196" s="64" t="s">
        <v>2141</v>
      </c>
      <c r="C196" s="65" t="s">
        <v>4443</v>
      </c>
      <c r="D196" s="66">
        <v>3</v>
      </c>
      <c r="E196" s="67"/>
      <c r="F196" s="68">
        <v>40</v>
      </c>
      <c r="G196" s="65"/>
      <c r="H196" s="69"/>
      <c r="I196" s="70"/>
      <c r="J196" s="70"/>
      <c r="K196" s="34" t="s">
        <v>65</v>
      </c>
      <c r="L196" s="77">
        <v>196</v>
      </c>
      <c r="M196" s="77"/>
      <c r="N196" s="72"/>
      <c r="O196" s="79" t="s">
        <v>610</v>
      </c>
      <c r="P196" s="79">
        <v>1</v>
      </c>
      <c r="Q196" s="78" t="str">
        <f>REPLACE(INDEX(GroupVertices[Group],MATCH(Edges[[#This Row],[Vertex 1]],GroupVertices[Vertex],0)),1,1,"")</f>
        <v>chool of Psychology by Sakshi Kohli</v>
      </c>
      <c r="R196" s="78" t="str">
        <f>REPLACE(INDEX(GroupVertices[Group],MATCH(Edges[[#This Row],[Vertex 2]],GroupVertices[Vertex],0)),1,1,"")</f>
        <v>SYCHOLOGY RANKERS</v>
      </c>
    </row>
    <row r="197" spans="1:18" ht="15">
      <c r="A197" s="64" t="s">
        <v>204</v>
      </c>
      <c r="B197" s="64" t="s">
        <v>2142</v>
      </c>
      <c r="C197" s="65" t="s">
        <v>4443</v>
      </c>
      <c r="D197" s="66">
        <v>3</v>
      </c>
      <c r="E197" s="67"/>
      <c r="F197" s="68">
        <v>40</v>
      </c>
      <c r="G197" s="65"/>
      <c r="H197" s="69"/>
      <c r="I197" s="70"/>
      <c r="J197" s="70"/>
      <c r="K197" s="34" t="s">
        <v>65</v>
      </c>
      <c r="L197" s="77">
        <v>197</v>
      </c>
      <c r="M197" s="77"/>
      <c r="N197" s="72"/>
      <c r="O197" s="79" t="s">
        <v>610</v>
      </c>
      <c r="P197" s="79">
        <v>1</v>
      </c>
      <c r="Q197" s="78" t="str">
        <f>REPLACE(INDEX(GroupVertices[Group],MATCH(Edges[[#This Row],[Vertex 1]],GroupVertices[Vertex],0)),1,1,"")</f>
        <v>chool of Psychology by Sakshi Kohli</v>
      </c>
      <c r="R197" s="78" t="str">
        <f>REPLACE(INDEX(GroupVertices[Group],MATCH(Edges[[#This Row],[Vertex 2]],GroupVertices[Vertex],0)),1,1,"")</f>
        <v>adeed Akmad</v>
      </c>
    </row>
    <row r="198" spans="1:18" ht="15">
      <c r="A198" s="64" t="s">
        <v>204</v>
      </c>
      <c r="B198" s="64" t="s">
        <v>2143</v>
      </c>
      <c r="C198" s="65" t="s">
        <v>4443</v>
      </c>
      <c r="D198" s="66">
        <v>3</v>
      </c>
      <c r="E198" s="67"/>
      <c r="F198" s="68">
        <v>40</v>
      </c>
      <c r="G198" s="65"/>
      <c r="H198" s="69"/>
      <c r="I198" s="70"/>
      <c r="J198" s="70"/>
      <c r="K198" s="34" t="s">
        <v>65</v>
      </c>
      <c r="L198" s="77">
        <v>198</v>
      </c>
      <c r="M198" s="77"/>
      <c r="N198" s="72"/>
      <c r="O198" s="79" t="s">
        <v>610</v>
      </c>
      <c r="P198" s="79">
        <v>1</v>
      </c>
      <c r="Q198" s="78" t="str">
        <f>REPLACE(INDEX(GroupVertices[Group],MATCH(Edges[[#This Row],[Vertex 1]],GroupVertices[Vertex],0)),1,1,"")</f>
        <v>chool of Psychology by Sakshi Kohli</v>
      </c>
      <c r="R198" s="78" t="str">
        <f>REPLACE(INDEX(GroupVertices[Group],MATCH(Edges[[#This Row],[Vertex 2]],GroupVertices[Vertex],0)),1,1,"")</f>
        <v>est psychology Classes in hindi</v>
      </c>
    </row>
    <row r="199" spans="1:18" ht="15">
      <c r="A199" s="64" t="s">
        <v>204</v>
      </c>
      <c r="B199" s="64" t="s">
        <v>2144</v>
      </c>
      <c r="C199" s="65" t="s">
        <v>4443</v>
      </c>
      <c r="D199" s="66">
        <v>3</v>
      </c>
      <c r="E199" s="67"/>
      <c r="F199" s="68">
        <v>40</v>
      </c>
      <c r="G199" s="65"/>
      <c r="H199" s="69"/>
      <c r="I199" s="70"/>
      <c r="J199" s="70"/>
      <c r="K199" s="34" t="s">
        <v>65</v>
      </c>
      <c r="L199" s="77">
        <v>199</v>
      </c>
      <c r="M199" s="77"/>
      <c r="N199" s="72"/>
      <c r="O199" s="79" t="s">
        <v>610</v>
      </c>
      <c r="P199" s="79">
        <v>1</v>
      </c>
      <c r="Q199" s="78" t="str">
        <f>REPLACE(INDEX(GroupVertices[Group],MATCH(Edges[[#This Row],[Vertex 1]],GroupVertices[Vertex],0)),1,1,"")</f>
        <v>chool of Psychology by Sakshi Kohli</v>
      </c>
      <c r="R199" s="78" t="str">
        <f>REPLACE(INDEX(GroupVertices[Group],MATCH(Edges[[#This Row],[Vertex 2]],GroupVertices[Vertex],0)),1,1,"")</f>
        <v xml:space="preserve"> S Audiobook platform</v>
      </c>
    </row>
    <row r="200" spans="1:18" ht="15">
      <c r="A200" s="64" t="s">
        <v>204</v>
      </c>
      <c r="B200" s="64" t="s">
        <v>2145</v>
      </c>
      <c r="C200" s="65" t="s">
        <v>4443</v>
      </c>
      <c r="D200" s="66">
        <v>3</v>
      </c>
      <c r="E200" s="67"/>
      <c r="F200" s="68">
        <v>40</v>
      </c>
      <c r="G200" s="65"/>
      <c r="H200" s="69"/>
      <c r="I200" s="70"/>
      <c r="J200" s="70"/>
      <c r="K200" s="34" t="s">
        <v>65</v>
      </c>
      <c r="L200" s="77">
        <v>200</v>
      </c>
      <c r="M200" s="77"/>
      <c r="N200" s="72"/>
      <c r="O200" s="79" t="s">
        <v>610</v>
      </c>
      <c r="P200" s="79">
        <v>1</v>
      </c>
      <c r="Q200" s="78" t="str">
        <f>REPLACE(INDEX(GroupVertices[Group],MATCH(Edges[[#This Row],[Vertex 1]],GroupVertices[Vertex],0)),1,1,"")</f>
        <v>chool of Psychology by Sakshi Kohli</v>
      </c>
      <c r="R200" s="78" t="str">
        <f>REPLACE(INDEX(GroupVertices[Group],MATCH(Edges[[#This Row],[Vertex 2]],GroupVertices[Vertex],0)),1,1,"")</f>
        <v>TUDY.PSYCHOLOGY</v>
      </c>
    </row>
    <row r="201" spans="1:18" ht="15">
      <c r="A201" s="64" t="s">
        <v>204</v>
      </c>
      <c r="B201" s="64" t="s">
        <v>2146</v>
      </c>
      <c r="C201" s="65" t="s">
        <v>4443</v>
      </c>
      <c r="D201" s="66">
        <v>3</v>
      </c>
      <c r="E201" s="67"/>
      <c r="F201" s="68">
        <v>40</v>
      </c>
      <c r="G201" s="65"/>
      <c r="H201" s="69"/>
      <c r="I201" s="70"/>
      <c r="J201" s="70"/>
      <c r="K201" s="34" t="s">
        <v>65</v>
      </c>
      <c r="L201" s="77">
        <v>201</v>
      </c>
      <c r="M201" s="77"/>
      <c r="N201" s="72"/>
      <c r="O201" s="79" t="s">
        <v>610</v>
      </c>
      <c r="P201" s="79">
        <v>1</v>
      </c>
      <c r="Q201" s="78" t="str">
        <f>REPLACE(INDEX(GroupVertices[Group],MATCH(Edges[[#This Row],[Vertex 1]],GroupVertices[Vertex],0)),1,1,"")</f>
        <v>chool of Psychology by Sakshi Kohli</v>
      </c>
      <c r="R201" s="78" t="str">
        <f>REPLACE(INDEX(GroupVertices[Group],MATCH(Edges[[#This Row],[Vertex 2]],GroupVertices[Vertex],0)),1,1,"")</f>
        <v>et Us Fight AMR</v>
      </c>
    </row>
    <row r="202" spans="1:18" ht="15">
      <c r="A202" s="64" t="s">
        <v>204</v>
      </c>
      <c r="B202" s="64" t="s">
        <v>2147</v>
      </c>
      <c r="C202" s="65" t="s">
        <v>4443</v>
      </c>
      <c r="D202" s="66">
        <v>3</v>
      </c>
      <c r="E202" s="67"/>
      <c r="F202" s="68">
        <v>40</v>
      </c>
      <c r="G202" s="65"/>
      <c r="H202" s="69"/>
      <c r="I202" s="70"/>
      <c r="J202" s="70"/>
      <c r="K202" s="34" t="s">
        <v>65</v>
      </c>
      <c r="L202" s="77">
        <v>202</v>
      </c>
      <c r="M202" s="77"/>
      <c r="N202" s="72"/>
      <c r="O202" s="79" t="s">
        <v>610</v>
      </c>
      <c r="P202" s="79">
        <v>1</v>
      </c>
      <c r="Q202" s="78" t="str">
        <f>REPLACE(INDEX(GroupVertices[Group],MATCH(Edges[[#This Row],[Vertex 1]],GroupVertices[Vertex],0)),1,1,"")</f>
        <v>chool of Psychology by Sakshi Kohli</v>
      </c>
      <c r="R202" s="78" t="str">
        <f>REPLACE(INDEX(GroupVertices[Group],MATCH(Edges[[#This Row],[Vertex 2]],GroupVertices[Vertex],0)),1,1,"")</f>
        <v>sychology Classes</v>
      </c>
    </row>
    <row r="203" spans="1:18" ht="15">
      <c r="A203" s="64" t="s">
        <v>204</v>
      </c>
      <c r="B203" s="64" t="s">
        <v>2148</v>
      </c>
      <c r="C203" s="65" t="s">
        <v>4443</v>
      </c>
      <c r="D203" s="66">
        <v>3</v>
      </c>
      <c r="E203" s="67"/>
      <c r="F203" s="68">
        <v>40</v>
      </c>
      <c r="G203" s="65"/>
      <c r="H203" s="69"/>
      <c r="I203" s="70"/>
      <c r="J203" s="70"/>
      <c r="K203" s="34" t="s">
        <v>65</v>
      </c>
      <c r="L203" s="77">
        <v>203</v>
      </c>
      <c r="M203" s="77"/>
      <c r="N203" s="72"/>
      <c r="O203" s="79" t="s">
        <v>610</v>
      </c>
      <c r="P203" s="79">
        <v>1</v>
      </c>
      <c r="Q203" s="78" t="str">
        <f>REPLACE(INDEX(GroupVertices[Group],MATCH(Edges[[#This Row],[Vertex 1]],GroupVertices[Vertex],0)),1,1,"")</f>
        <v>chool of Psychology by Sakshi Kohli</v>
      </c>
      <c r="R203" s="78" t="str">
        <f>REPLACE(INDEX(GroupVertices[Group],MATCH(Edges[[#This Row],[Vertex 2]],GroupVertices[Vertex],0)),1,1,"")</f>
        <v>ohit Malik</v>
      </c>
    </row>
    <row r="204" spans="1:18" ht="15">
      <c r="A204" s="64" t="s">
        <v>204</v>
      </c>
      <c r="B204" s="64" t="s">
        <v>2149</v>
      </c>
      <c r="C204" s="65" t="s">
        <v>4443</v>
      </c>
      <c r="D204" s="66">
        <v>3</v>
      </c>
      <c r="E204" s="67"/>
      <c r="F204" s="68">
        <v>40</v>
      </c>
      <c r="G204" s="65"/>
      <c r="H204" s="69"/>
      <c r="I204" s="70"/>
      <c r="J204" s="70"/>
      <c r="K204" s="34" t="s">
        <v>65</v>
      </c>
      <c r="L204" s="77">
        <v>204</v>
      </c>
      <c r="M204" s="77"/>
      <c r="N204" s="72"/>
      <c r="O204" s="79" t="s">
        <v>610</v>
      </c>
      <c r="P204" s="79">
        <v>1</v>
      </c>
      <c r="Q204" s="78" t="str">
        <f>REPLACE(INDEX(GroupVertices[Group],MATCH(Edges[[#This Row],[Vertex 1]],GroupVertices[Vertex],0)),1,1,"")</f>
        <v>chool of Psychology by Sakshi Kohli</v>
      </c>
      <c r="R204" s="78" t="str">
        <f>REPLACE(INDEX(GroupVertices[Group],MATCH(Edges[[#This Row],[Vertex 2]],GroupVertices[Vertex],0)),1,1,"")</f>
        <v>chool of Psychology by Sakshi Kohli</v>
      </c>
    </row>
    <row r="205" spans="1:18" ht="15">
      <c r="A205" s="64" t="s">
        <v>204</v>
      </c>
      <c r="B205" s="64" t="s">
        <v>2150</v>
      </c>
      <c r="C205" s="65" t="s">
        <v>4443</v>
      </c>
      <c r="D205" s="66">
        <v>3</v>
      </c>
      <c r="E205" s="67"/>
      <c r="F205" s="68">
        <v>40</v>
      </c>
      <c r="G205" s="65"/>
      <c r="H205" s="69"/>
      <c r="I205" s="70"/>
      <c r="J205" s="70"/>
      <c r="K205" s="34" t="s">
        <v>65</v>
      </c>
      <c r="L205" s="77">
        <v>205</v>
      </c>
      <c r="M205" s="77"/>
      <c r="N205" s="72"/>
      <c r="O205" s="79" t="s">
        <v>610</v>
      </c>
      <c r="P205" s="79">
        <v>1</v>
      </c>
      <c r="Q205" s="78" t="str">
        <f>REPLACE(INDEX(GroupVertices[Group],MATCH(Edges[[#This Row],[Vertex 1]],GroupVertices[Vertex],0)),1,1,"")</f>
        <v>chool of Psychology by Sakshi Kohli</v>
      </c>
      <c r="R205" s="78" t="str">
        <f>REPLACE(INDEX(GroupVertices[Group],MATCH(Edges[[#This Row],[Vertex 2]],GroupVertices[Vertex],0)),1,1,"")</f>
        <v>chool of Psychology by Sakshi Kohli</v>
      </c>
    </row>
    <row r="206" spans="1:18" ht="15">
      <c r="A206" s="64" t="s">
        <v>204</v>
      </c>
      <c r="B206" s="64" t="s">
        <v>2151</v>
      </c>
      <c r="C206" s="65" t="s">
        <v>4443</v>
      </c>
      <c r="D206" s="66">
        <v>3</v>
      </c>
      <c r="E206" s="67"/>
      <c r="F206" s="68">
        <v>40</v>
      </c>
      <c r="G206" s="65"/>
      <c r="H206" s="69"/>
      <c r="I206" s="70"/>
      <c r="J206" s="70"/>
      <c r="K206" s="34" t="s">
        <v>65</v>
      </c>
      <c r="L206" s="77">
        <v>206</v>
      </c>
      <c r="M206" s="77"/>
      <c r="N206" s="72"/>
      <c r="O206" s="79" t="s">
        <v>610</v>
      </c>
      <c r="P206" s="79">
        <v>1</v>
      </c>
      <c r="Q206" s="78" t="str">
        <f>REPLACE(INDEX(GroupVertices[Group],MATCH(Edges[[#This Row],[Vertex 1]],GroupVertices[Vertex],0)),1,1,"")</f>
        <v>chool of Psychology by Sakshi Kohli</v>
      </c>
      <c r="R206" s="78" t="str">
        <f>REPLACE(INDEX(GroupVertices[Group],MATCH(Edges[[#This Row],[Vertex 2]],GroupVertices[Vertex],0)),1,1,"")</f>
        <v>chool of Psychology by Sakshi Kohli</v>
      </c>
    </row>
    <row r="207" spans="1:18" ht="15">
      <c r="A207" s="64" t="s">
        <v>204</v>
      </c>
      <c r="B207" s="64" t="s">
        <v>325</v>
      </c>
      <c r="C207" s="65" t="s">
        <v>4443</v>
      </c>
      <c r="D207" s="66">
        <v>3</v>
      </c>
      <c r="E207" s="67"/>
      <c r="F207" s="68">
        <v>40</v>
      </c>
      <c r="G207" s="65"/>
      <c r="H207" s="69"/>
      <c r="I207" s="70"/>
      <c r="J207" s="70"/>
      <c r="K207" s="34" t="s">
        <v>65</v>
      </c>
      <c r="L207" s="77">
        <v>207</v>
      </c>
      <c r="M207" s="77"/>
      <c r="N207" s="72"/>
      <c r="O207" s="79" t="s">
        <v>610</v>
      </c>
      <c r="P207" s="79">
        <v>1</v>
      </c>
      <c r="Q207" s="78" t="str">
        <f>REPLACE(INDEX(GroupVertices[Group],MATCH(Edges[[#This Row],[Vertex 1]],GroupVertices[Vertex],0)),1,1,"")</f>
        <v>chool of Psychology by Sakshi Kohli</v>
      </c>
      <c r="R207" s="78" t="str">
        <f>REPLACE(INDEX(GroupVertices[Group],MATCH(Edges[[#This Row],[Vertex 2]],GroupVertices[Vertex],0)),1,1,"")</f>
        <v>chool of Psychology by Sakshi Kohli</v>
      </c>
    </row>
    <row r="208" spans="1:18" ht="15">
      <c r="A208" s="64" t="s">
        <v>204</v>
      </c>
      <c r="B208" s="64" t="s">
        <v>323</v>
      </c>
      <c r="C208" s="65" t="s">
        <v>4443</v>
      </c>
      <c r="D208" s="66">
        <v>3</v>
      </c>
      <c r="E208" s="67"/>
      <c r="F208" s="68">
        <v>40</v>
      </c>
      <c r="G208" s="65"/>
      <c r="H208" s="69"/>
      <c r="I208" s="70"/>
      <c r="J208" s="70"/>
      <c r="K208" s="34" t="s">
        <v>65</v>
      </c>
      <c r="L208" s="77">
        <v>208</v>
      </c>
      <c r="M208" s="77"/>
      <c r="N208" s="72"/>
      <c r="O208" s="79" t="s">
        <v>610</v>
      </c>
      <c r="P208" s="79">
        <v>1</v>
      </c>
      <c r="Q208" s="78" t="str">
        <f>REPLACE(INDEX(GroupVertices[Group],MATCH(Edges[[#This Row],[Vertex 1]],GroupVertices[Vertex],0)),1,1,"")</f>
        <v>chool of Psychology by Sakshi Kohli</v>
      </c>
      <c r="R208" s="78" t="str">
        <f>REPLACE(INDEX(GroupVertices[Group],MATCH(Edges[[#This Row],[Vertex 2]],GroupVertices[Vertex],0)),1,1,"")</f>
        <v>chool of Psychology by Sakshi Kohli</v>
      </c>
    </row>
    <row r="209" spans="1:18" ht="15">
      <c r="A209" s="64" t="s">
        <v>204</v>
      </c>
      <c r="B209" s="64" t="s">
        <v>324</v>
      </c>
      <c r="C209" s="65" t="s">
        <v>4443</v>
      </c>
      <c r="D209" s="66">
        <v>3</v>
      </c>
      <c r="E209" s="67"/>
      <c r="F209" s="68">
        <v>40</v>
      </c>
      <c r="G209" s="65"/>
      <c r="H209" s="69"/>
      <c r="I209" s="70"/>
      <c r="J209" s="70"/>
      <c r="K209" s="34" t="s">
        <v>65</v>
      </c>
      <c r="L209" s="77">
        <v>209</v>
      </c>
      <c r="M209" s="77"/>
      <c r="N209" s="72"/>
      <c r="O209" s="79" t="s">
        <v>610</v>
      </c>
      <c r="P209" s="79">
        <v>1</v>
      </c>
      <c r="Q209" s="78" t="str">
        <f>REPLACE(INDEX(GroupVertices[Group],MATCH(Edges[[#This Row],[Vertex 1]],GroupVertices[Vertex],0)),1,1,"")</f>
        <v>chool of Psychology by Sakshi Kohli</v>
      </c>
      <c r="R209" s="78" t="str">
        <f>REPLACE(INDEX(GroupVertices[Group],MATCH(Edges[[#This Row],[Vertex 2]],GroupVertices[Vertex],0)),1,1,"")</f>
        <v>chool of Psychology by Sakshi Kohli</v>
      </c>
    </row>
    <row r="210" spans="1:18" ht="15">
      <c r="A210" s="64" t="s">
        <v>204</v>
      </c>
      <c r="B210" s="64" t="s">
        <v>2152</v>
      </c>
      <c r="C210" s="65" t="s">
        <v>4443</v>
      </c>
      <c r="D210" s="66">
        <v>3</v>
      </c>
      <c r="E210" s="67"/>
      <c r="F210" s="68">
        <v>40</v>
      </c>
      <c r="G210" s="65"/>
      <c r="H210" s="69"/>
      <c r="I210" s="70"/>
      <c r="J210" s="70"/>
      <c r="K210" s="34" t="s">
        <v>65</v>
      </c>
      <c r="L210" s="77">
        <v>210</v>
      </c>
      <c r="M210" s="77"/>
      <c r="N210" s="72"/>
      <c r="O210" s="79" t="s">
        <v>610</v>
      </c>
      <c r="P210" s="79">
        <v>1</v>
      </c>
      <c r="Q210" s="78" t="str">
        <f>REPLACE(INDEX(GroupVertices[Group],MATCH(Edges[[#This Row],[Vertex 1]],GroupVertices[Vertex],0)),1,1,"")</f>
        <v>chool of Psychology by Sakshi Kohli</v>
      </c>
      <c r="R210" s="78" t="str">
        <f>REPLACE(INDEX(GroupVertices[Group],MATCH(Edges[[#This Row],[Vertex 2]],GroupVertices[Vertex],0)),1,1,"")</f>
        <v>entre for Trust, Peace and Social Relations</v>
      </c>
    </row>
    <row r="211" spans="1:18" ht="15">
      <c r="A211" s="64" t="s">
        <v>237</v>
      </c>
      <c r="B211" s="64" t="s">
        <v>2409</v>
      </c>
      <c r="C211" s="65" t="s">
        <v>4443</v>
      </c>
      <c r="D211" s="66">
        <v>3</v>
      </c>
      <c r="E211" s="67"/>
      <c r="F211" s="68">
        <v>40</v>
      </c>
      <c r="G211" s="65"/>
      <c r="H211" s="69"/>
      <c r="I211" s="70"/>
      <c r="J211" s="70"/>
      <c r="K211" s="34" t="s">
        <v>65</v>
      </c>
      <c r="L211" s="77">
        <v>211</v>
      </c>
      <c r="M211" s="77"/>
      <c r="N211" s="72"/>
      <c r="O211" s="79" t="s">
        <v>610</v>
      </c>
      <c r="P211" s="79">
        <v>1</v>
      </c>
      <c r="Q211" s="78" t="str">
        <f>REPLACE(INDEX(GroupVertices[Group],MATCH(Edges[[#This Row],[Vertex 1]],GroupVertices[Vertex],0)),1,1,"")</f>
        <v>ennessey Lustica</v>
      </c>
      <c r="R211" s="78" t="str">
        <f>REPLACE(INDEX(GroupVertices[Group],MATCH(Edges[[#This Row],[Vertex 2]],GroupVertices[Vertex],0)),1,1,"")</f>
        <v>ennessey Lustica</v>
      </c>
    </row>
    <row r="212" spans="1:18" ht="15">
      <c r="A212" s="64" t="s">
        <v>237</v>
      </c>
      <c r="B212" s="64" t="s">
        <v>545</v>
      </c>
      <c r="C212" s="65" t="s">
        <v>4443</v>
      </c>
      <c r="D212" s="66">
        <v>3</v>
      </c>
      <c r="E212" s="67"/>
      <c r="F212" s="68">
        <v>40</v>
      </c>
      <c r="G212" s="65"/>
      <c r="H212" s="69"/>
      <c r="I212" s="70"/>
      <c r="J212" s="70"/>
      <c r="K212" s="34" t="s">
        <v>65</v>
      </c>
      <c r="L212" s="77">
        <v>212</v>
      </c>
      <c r="M212" s="77"/>
      <c r="N212" s="72"/>
      <c r="O212" s="79" t="s">
        <v>610</v>
      </c>
      <c r="P212" s="79">
        <v>1</v>
      </c>
      <c r="Q212" s="78" t="str">
        <f>REPLACE(INDEX(GroupVertices[Group],MATCH(Edges[[#This Row],[Vertex 1]],GroupVertices[Vertex],0)),1,1,"")</f>
        <v>ennessey Lustica</v>
      </c>
      <c r="R212" s="78" t="str">
        <f>REPLACE(INDEX(GroupVertices[Group],MATCH(Edges[[#This Row],[Vertex 2]],GroupVertices[Vertex],0)),1,1,"")</f>
        <v>ennessey Lustica</v>
      </c>
    </row>
    <row r="213" spans="1:18" ht="15">
      <c r="A213" s="64" t="s">
        <v>237</v>
      </c>
      <c r="B213" s="64" t="s">
        <v>544</v>
      </c>
      <c r="C213" s="65" t="s">
        <v>4443</v>
      </c>
      <c r="D213" s="66">
        <v>3</v>
      </c>
      <c r="E213" s="67"/>
      <c r="F213" s="68">
        <v>40</v>
      </c>
      <c r="G213" s="65"/>
      <c r="H213" s="69"/>
      <c r="I213" s="70"/>
      <c r="J213" s="70"/>
      <c r="K213" s="34" t="s">
        <v>65</v>
      </c>
      <c r="L213" s="77">
        <v>213</v>
      </c>
      <c r="M213" s="77"/>
      <c r="N213" s="72"/>
      <c r="O213" s="79" t="s">
        <v>610</v>
      </c>
      <c r="P213" s="79">
        <v>1</v>
      </c>
      <c r="Q213" s="78" t="str">
        <f>REPLACE(INDEX(GroupVertices[Group],MATCH(Edges[[#This Row],[Vertex 1]],GroupVertices[Vertex],0)),1,1,"")</f>
        <v>ennessey Lustica</v>
      </c>
      <c r="R213" s="78" t="str">
        <f>REPLACE(INDEX(GroupVertices[Group],MATCH(Edges[[#This Row],[Vertex 2]],GroupVertices[Vertex],0)),1,1,"")</f>
        <v>ennessey Lustica</v>
      </c>
    </row>
    <row r="214" spans="1:18" ht="15">
      <c r="A214" s="64" t="s">
        <v>237</v>
      </c>
      <c r="B214" s="64" t="s">
        <v>546</v>
      </c>
      <c r="C214" s="65" t="s">
        <v>4443</v>
      </c>
      <c r="D214" s="66">
        <v>3</v>
      </c>
      <c r="E214" s="67"/>
      <c r="F214" s="68">
        <v>40</v>
      </c>
      <c r="G214" s="65"/>
      <c r="H214" s="69"/>
      <c r="I214" s="70"/>
      <c r="J214" s="70"/>
      <c r="K214" s="34" t="s">
        <v>65</v>
      </c>
      <c r="L214" s="77">
        <v>214</v>
      </c>
      <c r="M214" s="77"/>
      <c r="N214" s="72"/>
      <c r="O214" s="79" t="s">
        <v>610</v>
      </c>
      <c r="P214" s="79">
        <v>1</v>
      </c>
      <c r="Q214" s="78" t="str">
        <f>REPLACE(INDEX(GroupVertices[Group],MATCH(Edges[[#This Row],[Vertex 1]],GroupVertices[Vertex],0)),1,1,"")</f>
        <v>ennessey Lustica</v>
      </c>
      <c r="R214" s="78" t="str">
        <f>REPLACE(INDEX(GroupVertices[Group],MATCH(Edges[[#This Row],[Vertex 2]],GroupVertices[Vertex],0)),1,1,"")</f>
        <v>ennessey Lustica</v>
      </c>
    </row>
    <row r="215" spans="1:18" ht="15">
      <c r="A215" s="64" t="s">
        <v>237</v>
      </c>
      <c r="B215" s="64" t="s">
        <v>252</v>
      </c>
      <c r="C215" s="65" t="s">
        <v>4443</v>
      </c>
      <c r="D215" s="66">
        <v>3</v>
      </c>
      <c r="E215" s="67"/>
      <c r="F215" s="68">
        <v>40</v>
      </c>
      <c r="G215" s="65"/>
      <c r="H215" s="69"/>
      <c r="I215" s="70"/>
      <c r="J215" s="70"/>
      <c r="K215" s="34" t="s">
        <v>65</v>
      </c>
      <c r="L215" s="77">
        <v>215</v>
      </c>
      <c r="M215" s="77"/>
      <c r="N215" s="72"/>
      <c r="O215" s="79" t="s">
        <v>610</v>
      </c>
      <c r="P215" s="79">
        <v>1</v>
      </c>
      <c r="Q215" s="78" t="str">
        <f>REPLACE(INDEX(GroupVertices[Group],MATCH(Edges[[#This Row],[Vertex 1]],GroupVertices[Vertex],0)),1,1,"")</f>
        <v>ennessey Lustica</v>
      </c>
      <c r="R215" s="78" t="str">
        <f>REPLACE(INDEX(GroupVertices[Group],MATCH(Edges[[#This Row],[Vertex 2]],GroupVertices[Vertex],0)),1,1,"")</f>
        <v>G)I-DLE (여자)아이들 (Official YouTube Channel)</v>
      </c>
    </row>
    <row r="216" spans="1:18" ht="15">
      <c r="A216" s="64" t="s">
        <v>237</v>
      </c>
      <c r="B216" s="64" t="s">
        <v>253</v>
      </c>
      <c r="C216" s="65" t="s">
        <v>4443</v>
      </c>
      <c r="D216" s="66">
        <v>3</v>
      </c>
      <c r="E216" s="67"/>
      <c r="F216" s="68">
        <v>40</v>
      </c>
      <c r="G216" s="65"/>
      <c r="H216" s="69"/>
      <c r="I216" s="70"/>
      <c r="J216" s="70"/>
      <c r="K216" s="34" t="s">
        <v>65</v>
      </c>
      <c r="L216" s="77">
        <v>216</v>
      </c>
      <c r="M216" s="77"/>
      <c r="N216" s="72"/>
      <c r="O216" s="79" t="s">
        <v>610</v>
      </c>
      <c r="P216" s="79">
        <v>1</v>
      </c>
      <c r="Q216" s="78" t="str">
        <f>REPLACE(INDEX(GroupVertices[Group],MATCH(Edges[[#This Row],[Vertex 1]],GroupVertices[Vertex],0)),1,1,"")</f>
        <v>ennessey Lustica</v>
      </c>
      <c r="R216" s="78" t="str">
        <f>REPLACE(INDEX(GroupVertices[Group],MATCH(Edges[[#This Row],[Vertex 2]],GroupVertices[Vertex],0)),1,1,"")</f>
        <v>etflix</v>
      </c>
    </row>
    <row r="217" spans="1:18" ht="15">
      <c r="A217" s="64" t="s">
        <v>237</v>
      </c>
      <c r="B217" s="64" t="s">
        <v>261</v>
      </c>
      <c r="C217" s="65" t="s">
        <v>4443</v>
      </c>
      <c r="D217" s="66">
        <v>3</v>
      </c>
      <c r="E217" s="67"/>
      <c r="F217" s="68">
        <v>40</v>
      </c>
      <c r="G217" s="65"/>
      <c r="H217" s="69"/>
      <c r="I217" s="70"/>
      <c r="J217" s="70"/>
      <c r="K217" s="34" t="s">
        <v>65</v>
      </c>
      <c r="L217" s="77">
        <v>217</v>
      </c>
      <c r="M217" s="77"/>
      <c r="N217" s="72"/>
      <c r="O217" s="79" t="s">
        <v>610</v>
      </c>
      <c r="P217" s="79">
        <v>1</v>
      </c>
      <c r="Q217" s="78" t="str">
        <f>REPLACE(INDEX(GroupVertices[Group],MATCH(Edges[[#This Row],[Vertex 1]],GroupVertices[Vertex],0)),1,1,"")</f>
        <v>ennessey Lustica</v>
      </c>
      <c r="R217" s="78" t="str">
        <f>REPLACE(INDEX(GroupVertices[Group],MATCH(Edges[[#This Row],[Vertex 2]],GroupVertices[Vertex],0)),1,1,"")</f>
        <v>arkiplier</v>
      </c>
    </row>
    <row r="218" spans="1:18" ht="15">
      <c r="A218" s="64" t="s">
        <v>237</v>
      </c>
      <c r="B218" s="64" t="s">
        <v>262</v>
      </c>
      <c r="C218" s="65" t="s">
        <v>4443</v>
      </c>
      <c r="D218" s="66">
        <v>3</v>
      </c>
      <c r="E218" s="67"/>
      <c r="F218" s="68">
        <v>40</v>
      </c>
      <c r="G218" s="65"/>
      <c r="H218" s="69"/>
      <c r="I218" s="70"/>
      <c r="J218" s="70"/>
      <c r="K218" s="34" t="s">
        <v>65</v>
      </c>
      <c r="L218" s="77">
        <v>218</v>
      </c>
      <c r="M218" s="77"/>
      <c r="N218" s="72"/>
      <c r="O218" s="79" t="s">
        <v>610</v>
      </c>
      <c r="P218" s="79">
        <v>1</v>
      </c>
      <c r="Q218" s="78" t="str">
        <f>REPLACE(INDEX(GroupVertices[Group],MATCH(Edges[[#This Row],[Vertex 1]],GroupVertices[Vertex],0)),1,1,"")</f>
        <v>ennessey Lustica</v>
      </c>
      <c r="R218" s="78" t="str">
        <f>REPLACE(INDEX(GroupVertices[Group],MATCH(Edges[[#This Row],[Vertex 2]],GroupVertices[Vertex],0)),1,1,"")</f>
        <v>ractical Engineering</v>
      </c>
    </row>
    <row r="219" spans="1:18" ht="15">
      <c r="A219" s="64" t="s">
        <v>237</v>
      </c>
      <c r="B219" s="64" t="s">
        <v>254</v>
      </c>
      <c r="C219" s="65" t="s">
        <v>4443</v>
      </c>
      <c r="D219" s="66">
        <v>3</v>
      </c>
      <c r="E219" s="67"/>
      <c r="F219" s="68">
        <v>40</v>
      </c>
      <c r="G219" s="65"/>
      <c r="H219" s="69"/>
      <c r="I219" s="70"/>
      <c r="J219" s="70"/>
      <c r="K219" s="34" t="s">
        <v>65</v>
      </c>
      <c r="L219" s="77">
        <v>219</v>
      </c>
      <c r="M219" s="77"/>
      <c r="N219" s="72"/>
      <c r="O219" s="79" t="s">
        <v>610</v>
      </c>
      <c r="P219" s="79">
        <v>1</v>
      </c>
      <c r="Q219" s="78" t="str">
        <f>REPLACE(INDEX(GroupVertices[Group],MATCH(Edges[[#This Row],[Vertex 1]],GroupVertices[Vertex],0)),1,1,"")</f>
        <v>ennessey Lustica</v>
      </c>
      <c r="R219" s="78" t="str">
        <f>REPLACE(INDEX(GroupVertices[Group],MATCH(Edges[[#This Row],[Vertex 2]],GroupVertices[Vertex],0)),1,1,"")</f>
        <v>lash of Clans</v>
      </c>
    </row>
    <row r="220" spans="1:18" ht="15">
      <c r="A220" s="64" t="s">
        <v>237</v>
      </c>
      <c r="B220" s="64" t="s">
        <v>255</v>
      </c>
      <c r="C220" s="65" t="s">
        <v>4443</v>
      </c>
      <c r="D220" s="66">
        <v>3</v>
      </c>
      <c r="E220" s="67"/>
      <c r="F220" s="68">
        <v>40</v>
      </c>
      <c r="G220" s="65"/>
      <c r="H220" s="69"/>
      <c r="I220" s="70"/>
      <c r="J220" s="70"/>
      <c r="K220" s="34" t="s">
        <v>65</v>
      </c>
      <c r="L220" s="77">
        <v>220</v>
      </c>
      <c r="M220" s="77"/>
      <c r="N220" s="72"/>
      <c r="O220" s="79" t="s">
        <v>610</v>
      </c>
      <c r="P220" s="79">
        <v>1</v>
      </c>
      <c r="Q220" s="78" t="str">
        <f>REPLACE(INDEX(GroupVertices[Group],MATCH(Edges[[#This Row],[Vertex 1]],GroupVertices[Vertex],0)),1,1,"")</f>
        <v>ennessey Lustica</v>
      </c>
      <c r="R220" s="78" t="str">
        <f>REPLACE(INDEX(GroupVertices[Group],MATCH(Edges[[#This Row],[Vertex 2]],GroupVertices[Vertex],0)),1,1,"")</f>
        <v>et's Game It Out</v>
      </c>
    </row>
    <row r="221" spans="1:18" ht="15">
      <c r="A221" s="64" t="s">
        <v>237</v>
      </c>
      <c r="B221" s="64" t="s">
        <v>263</v>
      </c>
      <c r="C221" s="65" t="s">
        <v>4443</v>
      </c>
      <c r="D221" s="66">
        <v>3</v>
      </c>
      <c r="E221" s="67"/>
      <c r="F221" s="68">
        <v>40</v>
      </c>
      <c r="G221" s="65"/>
      <c r="H221" s="69"/>
      <c r="I221" s="70"/>
      <c r="J221" s="70"/>
      <c r="K221" s="34" t="s">
        <v>65</v>
      </c>
      <c r="L221" s="77">
        <v>221</v>
      </c>
      <c r="M221" s="77"/>
      <c r="N221" s="72"/>
      <c r="O221" s="79" t="s">
        <v>610</v>
      </c>
      <c r="P221" s="79">
        <v>1</v>
      </c>
      <c r="Q221" s="78" t="str">
        <f>REPLACE(INDEX(GroupVertices[Group],MATCH(Edges[[#This Row],[Vertex 1]],GroupVertices[Vertex],0)),1,1,"")</f>
        <v>ennessey Lustica</v>
      </c>
      <c r="R221" s="78" t="str">
        <f>REPLACE(INDEX(GroupVertices[Group],MATCH(Edges[[#This Row],[Vertex 2]],GroupVertices[Vertex],0)),1,1,"")</f>
        <v>ncognito Mode</v>
      </c>
    </row>
    <row r="222" spans="1:18" ht="15">
      <c r="A222" s="64" t="s">
        <v>237</v>
      </c>
      <c r="B222" s="64" t="s">
        <v>256</v>
      </c>
      <c r="C222" s="65" t="s">
        <v>4443</v>
      </c>
      <c r="D222" s="66">
        <v>3</v>
      </c>
      <c r="E222" s="67"/>
      <c r="F222" s="68">
        <v>40</v>
      </c>
      <c r="G222" s="65"/>
      <c r="H222" s="69"/>
      <c r="I222" s="70"/>
      <c r="J222" s="70"/>
      <c r="K222" s="34" t="s">
        <v>65</v>
      </c>
      <c r="L222" s="77">
        <v>222</v>
      </c>
      <c r="M222" s="77"/>
      <c r="N222" s="72"/>
      <c r="O222" s="79" t="s">
        <v>610</v>
      </c>
      <c r="P222" s="79">
        <v>1</v>
      </c>
      <c r="Q222" s="78" t="str">
        <f>REPLACE(INDEX(GroupVertices[Group],MATCH(Edges[[#This Row],[Vertex 1]],GroupVertices[Vertex],0)),1,1,"")</f>
        <v>ennessey Lustica</v>
      </c>
      <c r="R222" s="78" t="str">
        <f>REPLACE(INDEX(GroupVertices[Group],MATCH(Edges[[#This Row],[Vertex 2]],GroupVertices[Vertex],0)),1,1,"")</f>
        <v>arques Brownlee</v>
      </c>
    </row>
    <row r="223" spans="1:18" ht="15">
      <c r="A223" s="64" t="s">
        <v>237</v>
      </c>
      <c r="B223" s="64" t="s">
        <v>257</v>
      </c>
      <c r="C223" s="65" t="s">
        <v>4443</v>
      </c>
      <c r="D223" s="66">
        <v>3</v>
      </c>
      <c r="E223" s="67"/>
      <c r="F223" s="68">
        <v>40</v>
      </c>
      <c r="G223" s="65"/>
      <c r="H223" s="69"/>
      <c r="I223" s="70"/>
      <c r="J223" s="70"/>
      <c r="K223" s="34" t="s">
        <v>65</v>
      </c>
      <c r="L223" s="77">
        <v>223</v>
      </c>
      <c r="M223" s="77"/>
      <c r="N223" s="72"/>
      <c r="O223" s="79" t="s">
        <v>610</v>
      </c>
      <c r="P223" s="79">
        <v>1</v>
      </c>
      <c r="Q223" s="78" t="str">
        <f>REPLACE(INDEX(GroupVertices[Group],MATCH(Edges[[#This Row],[Vertex 1]],GroupVertices[Vertex],0)),1,1,"")</f>
        <v>ennessey Lustica</v>
      </c>
      <c r="R223" s="78" t="str">
        <f>REPLACE(INDEX(GroupVertices[Group],MATCH(Edges[[#This Row],[Vertex 2]],GroupVertices[Vertex],0)),1,1,"")</f>
        <v>rchitectural Digest</v>
      </c>
    </row>
    <row r="224" spans="1:18" ht="15">
      <c r="A224" s="64" t="s">
        <v>237</v>
      </c>
      <c r="B224" s="64" t="s">
        <v>258</v>
      </c>
      <c r="C224" s="65" t="s">
        <v>4443</v>
      </c>
      <c r="D224" s="66">
        <v>3</v>
      </c>
      <c r="E224" s="67"/>
      <c r="F224" s="68">
        <v>40</v>
      </c>
      <c r="G224" s="65"/>
      <c r="H224" s="69"/>
      <c r="I224" s="70"/>
      <c r="J224" s="70"/>
      <c r="K224" s="34" t="s">
        <v>65</v>
      </c>
      <c r="L224" s="77">
        <v>224</v>
      </c>
      <c r="M224" s="77"/>
      <c r="N224" s="72"/>
      <c r="O224" s="79" t="s">
        <v>610</v>
      </c>
      <c r="P224" s="79">
        <v>1</v>
      </c>
      <c r="Q224" s="78" t="str">
        <f>REPLACE(INDEX(GroupVertices[Group],MATCH(Edges[[#This Row],[Vertex 1]],GroupVertices[Vertex],0)),1,1,"")</f>
        <v>ennessey Lustica</v>
      </c>
      <c r="R224" s="78" t="str">
        <f>REPLACE(INDEX(GroupVertices[Group],MATCH(Edges[[#This Row],[Vertex 2]],GroupVertices[Vertex],0)),1,1,"")</f>
        <v>alt Disney Studios</v>
      </c>
    </row>
    <row r="225" spans="1:18" ht="15">
      <c r="A225" s="64" t="s">
        <v>237</v>
      </c>
      <c r="B225" s="64" t="s">
        <v>259</v>
      </c>
      <c r="C225" s="65" t="s">
        <v>4443</v>
      </c>
      <c r="D225" s="66">
        <v>3</v>
      </c>
      <c r="E225" s="67"/>
      <c r="F225" s="68">
        <v>40</v>
      </c>
      <c r="G225" s="65"/>
      <c r="H225" s="69"/>
      <c r="I225" s="70"/>
      <c r="J225" s="70"/>
      <c r="K225" s="34" t="s">
        <v>65</v>
      </c>
      <c r="L225" s="77">
        <v>225</v>
      </c>
      <c r="M225" s="77"/>
      <c r="N225" s="72"/>
      <c r="O225" s="79" t="s">
        <v>610</v>
      </c>
      <c r="P225" s="79">
        <v>1</v>
      </c>
      <c r="Q225" s="78" t="str">
        <f>REPLACE(INDEX(GroupVertices[Group],MATCH(Edges[[#This Row],[Vertex 1]],GroupVertices[Vertex],0)),1,1,"")</f>
        <v>ennessey Lustica</v>
      </c>
      <c r="R225" s="78" t="str">
        <f>REPLACE(INDEX(GroupVertices[Group],MATCH(Edges[[#This Row],[Vertex 2]],GroupVertices[Vertex],0)),1,1,"")</f>
        <v>kip and Shannon: UNDISPUTED</v>
      </c>
    </row>
    <row r="226" spans="1:18" ht="15">
      <c r="A226" s="64" t="s">
        <v>237</v>
      </c>
      <c r="B226" s="64" t="s">
        <v>260</v>
      </c>
      <c r="C226" s="65" t="s">
        <v>4443</v>
      </c>
      <c r="D226" s="66">
        <v>3</v>
      </c>
      <c r="E226" s="67"/>
      <c r="F226" s="68">
        <v>40</v>
      </c>
      <c r="G226" s="65"/>
      <c r="H226" s="69"/>
      <c r="I226" s="70"/>
      <c r="J226" s="70"/>
      <c r="K226" s="34" t="s">
        <v>65</v>
      </c>
      <c r="L226" s="77">
        <v>226</v>
      </c>
      <c r="M226" s="77"/>
      <c r="N226" s="72"/>
      <c r="O226" s="79" t="s">
        <v>610</v>
      </c>
      <c r="P226" s="79">
        <v>1</v>
      </c>
      <c r="Q226" s="78" t="str">
        <f>REPLACE(INDEX(GroupVertices[Group],MATCH(Edges[[#This Row],[Vertex 1]],GroupVertices[Vertex],0)),1,1,"")</f>
        <v>ennessey Lustica</v>
      </c>
      <c r="R226" s="78" t="str">
        <f>REPLACE(INDEX(GroupVertices[Group],MATCH(Edges[[#This Row],[Vertex 2]],GroupVertices[Vertex],0)),1,1,"")</f>
        <v>hakira</v>
      </c>
    </row>
    <row r="227" spans="1:18" ht="15">
      <c r="A227" s="64" t="s">
        <v>200</v>
      </c>
      <c r="B227" s="64" t="s">
        <v>2159</v>
      </c>
      <c r="C227" s="65" t="s">
        <v>4443</v>
      </c>
      <c r="D227" s="66">
        <v>3</v>
      </c>
      <c r="E227" s="67"/>
      <c r="F227" s="68">
        <v>40</v>
      </c>
      <c r="G227" s="65"/>
      <c r="H227" s="69"/>
      <c r="I227" s="70"/>
      <c r="J227" s="70"/>
      <c r="K227" s="34" t="s">
        <v>65</v>
      </c>
      <c r="L227" s="77">
        <v>227</v>
      </c>
      <c r="M227" s="77"/>
      <c r="N227" s="72"/>
      <c r="O227" s="79" t="s">
        <v>610</v>
      </c>
      <c r="P227" s="79">
        <v>1</v>
      </c>
      <c r="Q227" s="78" t="str">
        <f>REPLACE(INDEX(GroupVertices[Group],MATCH(Edges[[#This Row],[Vertex 1]],GroupVertices[Vertex],0)),1,1,"")</f>
        <v>r. Charles F. Shepard</v>
      </c>
      <c r="R227" s="78" t="str">
        <f>REPLACE(INDEX(GroupVertices[Group],MATCH(Edges[[#This Row],[Vertex 2]],GroupVertices[Vertex],0)),1,1,"")</f>
        <v>oel Bickford</v>
      </c>
    </row>
    <row r="228" spans="1:18" ht="15">
      <c r="A228" s="64" t="s">
        <v>200</v>
      </c>
      <c r="B228" s="64" t="s">
        <v>2160</v>
      </c>
      <c r="C228" s="65" t="s">
        <v>4443</v>
      </c>
      <c r="D228" s="66">
        <v>3</v>
      </c>
      <c r="E228" s="67"/>
      <c r="F228" s="68">
        <v>40</v>
      </c>
      <c r="G228" s="65"/>
      <c r="H228" s="69"/>
      <c r="I228" s="70"/>
      <c r="J228" s="70"/>
      <c r="K228" s="34" t="s">
        <v>65</v>
      </c>
      <c r="L228" s="77">
        <v>228</v>
      </c>
      <c r="M228" s="77"/>
      <c r="N228" s="72"/>
      <c r="O228" s="79" t="s">
        <v>610</v>
      </c>
      <c r="P228" s="79">
        <v>1</v>
      </c>
      <c r="Q228" s="78" t="str">
        <f>REPLACE(INDEX(GroupVertices[Group],MATCH(Edges[[#This Row],[Vertex 1]],GroupVertices[Vertex],0)),1,1,"")</f>
        <v>r. Charles F. Shepard</v>
      </c>
      <c r="R228" s="78" t="str">
        <f>REPLACE(INDEX(GroupVertices[Group],MATCH(Edges[[#This Row],[Vertex 2]],GroupVertices[Vertex],0)),1,1,"")</f>
        <v>orks of Little River Baptist Church</v>
      </c>
    </row>
    <row r="229" spans="1:18" ht="15">
      <c r="A229" s="64" t="s">
        <v>200</v>
      </c>
      <c r="B229" s="64" t="s">
        <v>252</v>
      </c>
      <c r="C229" s="65" t="s">
        <v>4443</v>
      </c>
      <c r="D229" s="66">
        <v>3</v>
      </c>
      <c r="E229" s="67"/>
      <c r="F229" s="68">
        <v>40</v>
      </c>
      <c r="G229" s="65"/>
      <c r="H229" s="69"/>
      <c r="I229" s="70"/>
      <c r="J229" s="70"/>
      <c r="K229" s="34" t="s">
        <v>65</v>
      </c>
      <c r="L229" s="77">
        <v>229</v>
      </c>
      <c r="M229" s="77"/>
      <c r="N229" s="72"/>
      <c r="O229" s="79" t="s">
        <v>610</v>
      </c>
      <c r="P229" s="79">
        <v>1</v>
      </c>
      <c r="Q229" s="78" t="str">
        <f>REPLACE(INDEX(GroupVertices[Group],MATCH(Edges[[#This Row],[Vertex 1]],GroupVertices[Vertex],0)),1,1,"")</f>
        <v>r. Charles F. Shepard</v>
      </c>
      <c r="R229" s="78" t="str">
        <f>REPLACE(INDEX(GroupVertices[Group],MATCH(Edges[[#This Row],[Vertex 2]],GroupVertices[Vertex],0)),1,1,"")</f>
        <v>G)I-DLE (여자)아이들 (Official YouTube Channel)</v>
      </c>
    </row>
    <row r="230" spans="1:18" ht="15">
      <c r="A230" s="64" t="s">
        <v>200</v>
      </c>
      <c r="B230" s="64" t="s">
        <v>253</v>
      </c>
      <c r="C230" s="65" t="s">
        <v>4443</v>
      </c>
      <c r="D230" s="66">
        <v>3</v>
      </c>
      <c r="E230" s="67"/>
      <c r="F230" s="68">
        <v>40</v>
      </c>
      <c r="G230" s="65"/>
      <c r="H230" s="69"/>
      <c r="I230" s="70"/>
      <c r="J230" s="70"/>
      <c r="K230" s="34" t="s">
        <v>65</v>
      </c>
      <c r="L230" s="77">
        <v>230</v>
      </c>
      <c r="M230" s="77"/>
      <c r="N230" s="72"/>
      <c r="O230" s="79" t="s">
        <v>610</v>
      </c>
      <c r="P230" s="79">
        <v>1</v>
      </c>
      <c r="Q230" s="78" t="str">
        <f>REPLACE(INDEX(GroupVertices[Group],MATCH(Edges[[#This Row],[Vertex 1]],GroupVertices[Vertex],0)),1,1,"")</f>
        <v>r. Charles F. Shepard</v>
      </c>
      <c r="R230" s="78" t="str">
        <f>REPLACE(INDEX(GroupVertices[Group],MATCH(Edges[[#This Row],[Vertex 2]],GroupVertices[Vertex],0)),1,1,"")</f>
        <v>etflix</v>
      </c>
    </row>
    <row r="231" spans="1:18" ht="15">
      <c r="A231" s="64" t="s">
        <v>200</v>
      </c>
      <c r="B231" s="64" t="s">
        <v>261</v>
      </c>
      <c r="C231" s="65" t="s">
        <v>4443</v>
      </c>
      <c r="D231" s="66">
        <v>3</v>
      </c>
      <c r="E231" s="67"/>
      <c r="F231" s="68">
        <v>40</v>
      </c>
      <c r="G231" s="65"/>
      <c r="H231" s="69"/>
      <c r="I231" s="70"/>
      <c r="J231" s="70"/>
      <c r="K231" s="34" t="s">
        <v>65</v>
      </c>
      <c r="L231" s="77">
        <v>231</v>
      </c>
      <c r="M231" s="77"/>
      <c r="N231" s="72"/>
      <c r="O231" s="79" t="s">
        <v>610</v>
      </c>
      <c r="P231" s="79">
        <v>1</v>
      </c>
      <c r="Q231" s="78" t="str">
        <f>REPLACE(INDEX(GroupVertices[Group],MATCH(Edges[[#This Row],[Vertex 1]],GroupVertices[Vertex],0)),1,1,"")</f>
        <v>r. Charles F. Shepard</v>
      </c>
      <c r="R231" s="78" t="str">
        <f>REPLACE(INDEX(GroupVertices[Group],MATCH(Edges[[#This Row],[Vertex 2]],GroupVertices[Vertex],0)),1,1,"")</f>
        <v>arkiplier</v>
      </c>
    </row>
    <row r="232" spans="1:18" ht="15">
      <c r="A232" s="64" t="s">
        <v>200</v>
      </c>
      <c r="B232" s="64" t="s">
        <v>262</v>
      </c>
      <c r="C232" s="65" t="s">
        <v>4443</v>
      </c>
      <c r="D232" s="66">
        <v>3</v>
      </c>
      <c r="E232" s="67"/>
      <c r="F232" s="68">
        <v>40</v>
      </c>
      <c r="G232" s="65"/>
      <c r="H232" s="69"/>
      <c r="I232" s="70"/>
      <c r="J232" s="70"/>
      <c r="K232" s="34" t="s">
        <v>65</v>
      </c>
      <c r="L232" s="77">
        <v>232</v>
      </c>
      <c r="M232" s="77"/>
      <c r="N232" s="72"/>
      <c r="O232" s="79" t="s">
        <v>610</v>
      </c>
      <c r="P232" s="79">
        <v>1</v>
      </c>
      <c r="Q232" s="78" t="str">
        <f>REPLACE(INDEX(GroupVertices[Group],MATCH(Edges[[#This Row],[Vertex 1]],GroupVertices[Vertex],0)),1,1,"")</f>
        <v>r. Charles F. Shepard</v>
      </c>
      <c r="R232" s="78" t="str">
        <f>REPLACE(INDEX(GroupVertices[Group],MATCH(Edges[[#This Row],[Vertex 2]],GroupVertices[Vertex],0)),1,1,"")</f>
        <v>ractical Engineering</v>
      </c>
    </row>
    <row r="233" spans="1:18" ht="15">
      <c r="A233" s="64" t="s">
        <v>200</v>
      </c>
      <c r="B233" s="64" t="s">
        <v>254</v>
      </c>
      <c r="C233" s="65" t="s">
        <v>4443</v>
      </c>
      <c r="D233" s="66">
        <v>3</v>
      </c>
      <c r="E233" s="67"/>
      <c r="F233" s="68">
        <v>40</v>
      </c>
      <c r="G233" s="65"/>
      <c r="H233" s="69"/>
      <c r="I233" s="70"/>
      <c r="J233" s="70"/>
      <c r="K233" s="34" t="s">
        <v>65</v>
      </c>
      <c r="L233" s="77">
        <v>233</v>
      </c>
      <c r="M233" s="77"/>
      <c r="N233" s="72"/>
      <c r="O233" s="79" t="s">
        <v>610</v>
      </c>
      <c r="P233" s="79">
        <v>1</v>
      </c>
      <c r="Q233" s="78" t="str">
        <f>REPLACE(INDEX(GroupVertices[Group],MATCH(Edges[[#This Row],[Vertex 1]],GroupVertices[Vertex],0)),1,1,"")</f>
        <v>r. Charles F. Shepard</v>
      </c>
      <c r="R233" s="78" t="str">
        <f>REPLACE(INDEX(GroupVertices[Group],MATCH(Edges[[#This Row],[Vertex 2]],GroupVertices[Vertex],0)),1,1,"")</f>
        <v>lash of Clans</v>
      </c>
    </row>
    <row r="234" spans="1:18" ht="15">
      <c r="A234" s="64" t="s">
        <v>200</v>
      </c>
      <c r="B234" s="64" t="s">
        <v>255</v>
      </c>
      <c r="C234" s="65" t="s">
        <v>4443</v>
      </c>
      <c r="D234" s="66">
        <v>3</v>
      </c>
      <c r="E234" s="67"/>
      <c r="F234" s="68">
        <v>40</v>
      </c>
      <c r="G234" s="65"/>
      <c r="H234" s="69"/>
      <c r="I234" s="70"/>
      <c r="J234" s="70"/>
      <c r="K234" s="34" t="s">
        <v>65</v>
      </c>
      <c r="L234" s="77">
        <v>234</v>
      </c>
      <c r="M234" s="77"/>
      <c r="N234" s="72"/>
      <c r="O234" s="79" t="s">
        <v>610</v>
      </c>
      <c r="P234" s="79">
        <v>1</v>
      </c>
      <c r="Q234" s="78" t="str">
        <f>REPLACE(INDEX(GroupVertices[Group],MATCH(Edges[[#This Row],[Vertex 1]],GroupVertices[Vertex],0)),1,1,"")</f>
        <v>r. Charles F. Shepard</v>
      </c>
      <c r="R234" s="78" t="str">
        <f>REPLACE(INDEX(GroupVertices[Group],MATCH(Edges[[#This Row],[Vertex 2]],GroupVertices[Vertex],0)),1,1,"")</f>
        <v>et's Game It Out</v>
      </c>
    </row>
    <row r="235" spans="1:18" ht="15">
      <c r="A235" s="64" t="s">
        <v>200</v>
      </c>
      <c r="B235" s="64" t="s">
        <v>263</v>
      </c>
      <c r="C235" s="65" t="s">
        <v>4443</v>
      </c>
      <c r="D235" s="66">
        <v>3</v>
      </c>
      <c r="E235" s="67"/>
      <c r="F235" s="68">
        <v>40</v>
      </c>
      <c r="G235" s="65"/>
      <c r="H235" s="69"/>
      <c r="I235" s="70"/>
      <c r="J235" s="70"/>
      <c r="K235" s="34" t="s">
        <v>65</v>
      </c>
      <c r="L235" s="77">
        <v>235</v>
      </c>
      <c r="M235" s="77"/>
      <c r="N235" s="72"/>
      <c r="O235" s="79" t="s">
        <v>610</v>
      </c>
      <c r="P235" s="79">
        <v>1</v>
      </c>
      <c r="Q235" s="78" t="str">
        <f>REPLACE(INDEX(GroupVertices[Group],MATCH(Edges[[#This Row],[Vertex 1]],GroupVertices[Vertex],0)),1,1,"")</f>
        <v>r. Charles F. Shepard</v>
      </c>
      <c r="R235" s="78" t="str">
        <f>REPLACE(INDEX(GroupVertices[Group],MATCH(Edges[[#This Row],[Vertex 2]],GroupVertices[Vertex],0)),1,1,"")</f>
        <v>ncognito Mode</v>
      </c>
    </row>
    <row r="236" spans="1:18" ht="15">
      <c r="A236" s="64" t="s">
        <v>200</v>
      </c>
      <c r="B236" s="64" t="s">
        <v>256</v>
      </c>
      <c r="C236" s="65" t="s">
        <v>4443</v>
      </c>
      <c r="D236" s="66">
        <v>3</v>
      </c>
      <c r="E236" s="67"/>
      <c r="F236" s="68">
        <v>40</v>
      </c>
      <c r="G236" s="65"/>
      <c r="H236" s="69"/>
      <c r="I236" s="70"/>
      <c r="J236" s="70"/>
      <c r="K236" s="34" t="s">
        <v>65</v>
      </c>
      <c r="L236" s="77">
        <v>236</v>
      </c>
      <c r="M236" s="77"/>
      <c r="N236" s="72"/>
      <c r="O236" s="79" t="s">
        <v>610</v>
      </c>
      <c r="P236" s="79">
        <v>1</v>
      </c>
      <c r="Q236" s="78" t="str">
        <f>REPLACE(INDEX(GroupVertices[Group],MATCH(Edges[[#This Row],[Vertex 1]],GroupVertices[Vertex],0)),1,1,"")</f>
        <v>r. Charles F. Shepard</v>
      </c>
      <c r="R236" s="78" t="str">
        <f>REPLACE(INDEX(GroupVertices[Group],MATCH(Edges[[#This Row],[Vertex 2]],GroupVertices[Vertex],0)),1,1,"")</f>
        <v>arques Brownlee</v>
      </c>
    </row>
    <row r="237" spans="1:18" ht="15">
      <c r="A237" s="64" t="s">
        <v>200</v>
      </c>
      <c r="B237" s="64" t="s">
        <v>257</v>
      </c>
      <c r="C237" s="65" t="s">
        <v>4443</v>
      </c>
      <c r="D237" s="66">
        <v>3</v>
      </c>
      <c r="E237" s="67"/>
      <c r="F237" s="68">
        <v>40</v>
      </c>
      <c r="G237" s="65"/>
      <c r="H237" s="69"/>
      <c r="I237" s="70"/>
      <c r="J237" s="70"/>
      <c r="K237" s="34" t="s">
        <v>65</v>
      </c>
      <c r="L237" s="77">
        <v>237</v>
      </c>
      <c r="M237" s="77"/>
      <c r="N237" s="72"/>
      <c r="O237" s="79" t="s">
        <v>610</v>
      </c>
      <c r="P237" s="79">
        <v>1</v>
      </c>
      <c r="Q237" s="78" t="str">
        <f>REPLACE(INDEX(GroupVertices[Group],MATCH(Edges[[#This Row],[Vertex 1]],GroupVertices[Vertex],0)),1,1,"")</f>
        <v>r. Charles F. Shepard</v>
      </c>
      <c r="R237" s="78" t="str">
        <f>REPLACE(INDEX(GroupVertices[Group],MATCH(Edges[[#This Row],[Vertex 2]],GroupVertices[Vertex],0)),1,1,"")</f>
        <v>rchitectural Digest</v>
      </c>
    </row>
    <row r="238" spans="1:18" ht="15">
      <c r="A238" s="64" t="s">
        <v>200</v>
      </c>
      <c r="B238" s="64" t="s">
        <v>258</v>
      </c>
      <c r="C238" s="65" t="s">
        <v>4443</v>
      </c>
      <c r="D238" s="66">
        <v>3</v>
      </c>
      <c r="E238" s="67"/>
      <c r="F238" s="68">
        <v>40</v>
      </c>
      <c r="G238" s="65"/>
      <c r="H238" s="69"/>
      <c r="I238" s="70"/>
      <c r="J238" s="70"/>
      <c r="K238" s="34" t="s">
        <v>65</v>
      </c>
      <c r="L238" s="77">
        <v>238</v>
      </c>
      <c r="M238" s="77"/>
      <c r="N238" s="72"/>
      <c r="O238" s="79" t="s">
        <v>610</v>
      </c>
      <c r="P238" s="79">
        <v>1</v>
      </c>
      <c r="Q238" s="78" t="str">
        <f>REPLACE(INDEX(GroupVertices[Group],MATCH(Edges[[#This Row],[Vertex 1]],GroupVertices[Vertex],0)),1,1,"")</f>
        <v>r. Charles F. Shepard</v>
      </c>
      <c r="R238" s="78" t="str">
        <f>REPLACE(INDEX(GroupVertices[Group],MATCH(Edges[[#This Row],[Vertex 2]],GroupVertices[Vertex],0)),1,1,"")</f>
        <v>alt Disney Studios</v>
      </c>
    </row>
    <row r="239" spans="1:18" ht="15">
      <c r="A239" s="64" t="s">
        <v>200</v>
      </c>
      <c r="B239" s="64" t="s">
        <v>259</v>
      </c>
      <c r="C239" s="65" t="s">
        <v>4443</v>
      </c>
      <c r="D239" s="66">
        <v>3</v>
      </c>
      <c r="E239" s="67"/>
      <c r="F239" s="68">
        <v>40</v>
      </c>
      <c r="G239" s="65"/>
      <c r="H239" s="69"/>
      <c r="I239" s="70"/>
      <c r="J239" s="70"/>
      <c r="K239" s="34" t="s">
        <v>65</v>
      </c>
      <c r="L239" s="77">
        <v>239</v>
      </c>
      <c r="M239" s="77"/>
      <c r="N239" s="72"/>
      <c r="O239" s="79" t="s">
        <v>610</v>
      </c>
      <c r="P239" s="79">
        <v>1</v>
      </c>
      <c r="Q239" s="78" t="str">
        <f>REPLACE(INDEX(GroupVertices[Group],MATCH(Edges[[#This Row],[Vertex 1]],GroupVertices[Vertex],0)),1,1,"")</f>
        <v>r. Charles F. Shepard</v>
      </c>
      <c r="R239" s="78" t="str">
        <f>REPLACE(INDEX(GroupVertices[Group],MATCH(Edges[[#This Row],[Vertex 2]],GroupVertices[Vertex],0)),1,1,"")</f>
        <v>kip and Shannon: UNDISPUTED</v>
      </c>
    </row>
    <row r="240" spans="1:18" ht="15">
      <c r="A240" s="64" t="s">
        <v>200</v>
      </c>
      <c r="B240" s="64" t="s">
        <v>260</v>
      </c>
      <c r="C240" s="65" t="s">
        <v>4443</v>
      </c>
      <c r="D240" s="66">
        <v>3</v>
      </c>
      <c r="E240" s="67"/>
      <c r="F240" s="68">
        <v>40</v>
      </c>
      <c r="G240" s="65"/>
      <c r="H240" s="69"/>
      <c r="I240" s="70"/>
      <c r="J240" s="70"/>
      <c r="K240" s="34" t="s">
        <v>65</v>
      </c>
      <c r="L240" s="77">
        <v>240</v>
      </c>
      <c r="M240" s="77"/>
      <c r="N240" s="72"/>
      <c r="O240" s="79" t="s">
        <v>610</v>
      </c>
      <c r="P240" s="79">
        <v>1</v>
      </c>
      <c r="Q240" s="78" t="str">
        <f>REPLACE(INDEX(GroupVertices[Group],MATCH(Edges[[#This Row],[Vertex 1]],GroupVertices[Vertex],0)),1,1,"")</f>
        <v>r. Charles F. Shepard</v>
      </c>
      <c r="R240" s="78" t="str">
        <f>REPLACE(INDEX(GroupVertices[Group],MATCH(Edges[[#This Row],[Vertex 2]],GroupVertices[Vertex],0)),1,1,"")</f>
        <v>hakira</v>
      </c>
    </row>
    <row r="241" spans="1:18" ht="15">
      <c r="A241" s="64" t="s">
        <v>248</v>
      </c>
      <c r="B241" s="64" t="s">
        <v>2592</v>
      </c>
      <c r="C241" s="65" t="s">
        <v>4443</v>
      </c>
      <c r="D241" s="66">
        <v>3</v>
      </c>
      <c r="E241" s="67"/>
      <c r="F241" s="68">
        <v>40</v>
      </c>
      <c r="G241" s="65"/>
      <c r="H241" s="69"/>
      <c r="I241" s="70"/>
      <c r="J241" s="70"/>
      <c r="K241" s="34" t="s">
        <v>65</v>
      </c>
      <c r="L241" s="77">
        <v>241</v>
      </c>
      <c r="M241" s="77"/>
      <c r="N241" s="72"/>
      <c r="O241" s="79" t="s">
        <v>610</v>
      </c>
      <c r="P241" s="79">
        <v>1</v>
      </c>
      <c r="Q241" s="78" t="str">
        <f>REPLACE(INDEX(GroupVertices[Group],MATCH(Edges[[#This Row],[Vertex 1]],GroupVertices[Vertex],0)),1,1,"")</f>
        <v>ip in the Bud</v>
      </c>
      <c r="R241" s="78" t="str">
        <f>REPLACE(INDEX(GroupVertices[Group],MATCH(Edges[[#This Row],[Vertex 2]],GroupVertices[Vertex],0)),1,1,"")</f>
        <v>layBoardNI</v>
      </c>
    </row>
    <row r="242" spans="1:18" ht="15">
      <c r="A242" s="64" t="s">
        <v>248</v>
      </c>
      <c r="B242" s="64" t="s">
        <v>2593</v>
      </c>
      <c r="C242" s="65" t="s">
        <v>4443</v>
      </c>
      <c r="D242" s="66">
        <v>3</v>
      </c>
      <c r="E242" s="67"/>
      <c r="F242" s="68">
        <v>40</v>
      </c>
      <c r="G242" s="65"/>
      <c r="H242" s="69"/>
      <c r="I242" s="70"/>
      <c r="J242" s="70"/>
      <c r="K242" s="34" t="s">
        <v>65</v>
      </c>
      <c r="L242" s="77">
        <v>242</v>
      </c>
      <c r="M242" s="77"/>
      <c r="N242" s="72"/>
      <c r="O242" s="79" t="s">
        <v>610</v>
      </c>
      <c r="P242" s="79">
        <v>1</v>
      </c>
      <c r="Q242" s="78" t="str">
        <f>REPLACE(INDEX(GroupVertices[Group],MATCH(Edges[[#This Row],[Vertex 1]],GroupVertices[Vertex],0)),1,1,"")</f>
        <v>ip in the Bud</v>
      </c>
      <c r="R242" s="78" t="str">
        <f>REPLACE(INDEX(GroupVertices[Group],MATCH(Edges[[#This Row],[Vertex 2]],GroupVertices[Vertex],0)),1,1,"")</f>
        <v>uths Straight Talk</v>
      </c>
    </row>
    <row r="243" spans="1:18" ht="15">
      <c r="A243" s="64" t="s">
        <v>248</v>
      </c>
      <c r="B243" s="64" t="s">
        <v>2594</v>
      </c>
      <c r="C243" s="65" t="s">
        <v>4443</v>
      </c>
      <c r="D243" s="66">
        <v>3</v>
      </c>
      <c r="E243" s="67"/>
      <c r="F243" s="68">
        <v>40</v>
      </c>
      <c r="G243" s="65"/>
      <c r="H243" s="69"/>
      <c r="I243" s="70"/>
      <c r="J243" s="70"/>
      <c r="K243" s="34" t="s">
        <v>65</v>
      </c>
      <c r="L243" s="77">
        <v>243</v>
      </c>
      <c r="M243" s="77"/>
      <c r="N243" s="72"/>
      <c r="O243" s="79" t="s">
        <v>610</v>
      </c>
      <c r="P243" s="79">
        <v>1</v>
      </c>
      <c r="Q243" s="78" t="str">
        <f>REPLACE(INDEX(GroupVertices[Group],MATCH(Edges[[#This Row],[Vertex 1]],GroupVertices[Vertex],0)),1,1,"")</f>
        <v>ip in the Bud</v>
      </c>
      <c r="R243" s="78" t="str">
        <f>REPLACE(INDEX(GroupVertices[Group],MATCH(Edges[[#This Row],[Vertex 2]],GroupVertices[Vertex],0)),1,1,"")</f>
        <v>ll Day Dreaming</v>
      </c>
    </row>
    <row r="244" spans="1:18" ht="15">
      <c r="A244" s="64" t="s">
        <v>248</v>
      </c>
      <c r="B244" s="64" t="s">
        <v>2595</v>
      </c>
      <c r="C244" s="65" t="s">
        <v>4443</v>
      </c>
      <c r="D244" s="66">
        <v>3</v>
      </c>
      <c r="E244" s="67"/>
      <c r="F244" s="68">
        <v>40</v>
      </c>
      <c r="G244" s="65"/>
      <c r="H244" s="69"/>
      <c r="I244" s="70"/>
      <c r="J244" s="70"/>
      <c r="K244" s="34" t="s">
        <v>65</v>
      </c>
      <c r="L244" s="77">
        <v>244</v>
      </c>
      <c r="M244" s="77"/>
      <c r="N244" s="72"/>
      <c r="O244" s="79" t="s">
        <v>610</v>
      </c>
      <c r="P244" s="79">
        <v>1</v>
      </c>
      <c r="Q244" s="78" t="str">
        <f>REPLACE(INDEX(GroupVertices[Group],MATCH(Edges[[#This Row],[Vertex 1]],GroupVertices[Vertex],0)),1,1,"")</f>
        <v>ip in the Bud</v>
      </c>
      <c r="R244" s="78" t="str">
        <f>REPLACE(INDEX(GroupVertices[Group],MATCH(Edges[[#This Row],[Vertex 2]],GroupVertices[Vertex],0)),1,1,"")</f>
        <v>J Pictures</v>
      </c>
    </row>
    <row r="245" spans="1:18" ht="15">
      <c r="A245" s="64" t="s">
        <v>248</v>
      </c>
      <c r="B245" s="64" t="s">
        <v>343</v>
      </c>
      <c r="C245" s="65" t="s">
        <v>4443</v>
      </c>
      <c r="D245" s="66">
        <v>3</v>
      </c>
      <c r="E245" s="67"/>
      <c r="F245" s="68">
        <v>40</v>
      </c>
      <c r="G245" s="65"/>
      <c r="H245" s="69"/>
      <c r="I245" s="70"/>
      <c r="J245" s="70"/>
      <c r="K245" s="34" t="s">
        <v>65</v>
      </c>
      <c r="L245" s="77">
        <v>245</v>
      </c>
      <c r="M245" s="77"/>
      <c r="N245" s="72"/>
      <c r="O245" s="79" t="s">
        <v>610</v>
      </c>
      <c r="P245" s="79">
        <v>1</v>
      </c>
      <c r="Q245" s="78" t="str">
        <f>REPLACE(INDEX(GroupVertices[Group],MATCH(Edges[[#This Row],[Vertex 1]],GroupVertices[Vertex],0)),1,1,"")</f>
        <v>ip in the Bud</v>
      </c>
      <c r="R245" s="78" t="str">
        <f>REPLACE(INDEX(GroupVertices[Group],MATCH(Edges[[#This Row],[Vertex 2]],GroupVertices[Vertex],0)),1,1,"")</f>
        <v>لمعلم النفسي Psychiatric Teacher</v>
      </c>
    </row>
    <row r="246" spans="1:18" ht="15">
      <c r="A246" s="64" t="s">
        <v>248</v>
      </c>
      <c r="B246" s="64" t="s">
        <v>366</v>
      </c>
      <c r="C246" s="65" t="s">
        <v>4443</v>
      </c>
      <c r="D246" s="66">
        <v>3</v>
      </c>
      <c r="E246" s="67"/>
      <c r="F246" s="68">
        <v>40</v>
      </c>
      <c r="G246" s="65"/>
      <c r="H246" s="69"/>
      <c r="I246" s="70"/>
      <c r="J246" s="70"/>
      <c r="K246" s="34" t="s">
        <v>65</v>
      </c>
      <c r="L246" s="77">
        <v>246</v>
      </c>
      <c r="M246" s="77"/>
      <c r="N246" s="72"/>
      <c r="O246" s="79" t="s">
        <v>610</v>
      </c>
      <c r="P246" s="79">
        <v>1</v>
      </c>
      <c r="Q246" s="78" t="str">
        <f>REPLACE(INDEX(GroupVertices[Group],MATCH(Edges[[#This Row],[Vertex 1]],GroupVertices[Vertex],0)),1,1,"")</f>
        <v>ip in the Bud</v>
      </c>
      <c r="R246" s="78" t="str">
        <f>REPLACE(INDEX(GroupVertices[Group],MATCH(Edges[[#This Row],[Vertex 2]],GroupVertices[Vertex],0)),1,1,"")</f>
        <v>hriving with Richard Bass</v>
      </c>
    </row>
    <row r="247" spans="1:18" ht="15">
      <c r="A247" s="64" t="s">
        <v>248</v>
      </c>
      <c r="B247" s="64" t="s">
        <v>2596</v>
      </c>
      <c r="C247" s="65" t="s">
        <v>4443</v>
      </c>
      <c r="D247" s="66">
        <v>3</v>
      </c>
      <c r="E247" s="67"/>
      <c r="F247" s="68">
        <v>40</v>
      </c>
      <c r="G247" s="65"/>
      <c r="H247" s="69"/>
      <c r="I247" s="70"/>
      <c r="J247" s="70"/>
      <c r="K247" s="34" t="s">
        <v>65</v>
      </c>
      <c r="L247" s="77">
        <v>247</v>
      </c>
      <c r="M247" s="77"/>
      <c r="N247" s="72"/>
      <c r="O247" s="79" t="s">
        <v>610</v>
      </c>
      <c r="P247" s="79">
        <v>1</v>
      </c>
      <c r="Q247" s="78" t="str">
        <f>REPLACE(INDEX(GroupVertices[Group],MATCH(Edges[[#This Row],[Vertex 1]],GroupVertices[Vertex],0)),1,1,"")</f>
        <v>ip in the Bud</v>
      </c>
      <c r="R247" s="78" t="str">
        <f>REPLACE(INDEX(GroupVertices[Group],MATCH(Edges[[#This Row],[Vertex 2]],GroupVertices[Vertex],0)),1,1,"")</f>
        <v>oVaDC CHADD</v>
      </c>
    </row>
    <row r="248" spans="1:18" ht="15">
      <c r="A248" s="64" t="s">
        <v>248</v>
      </c>
      <c r="B248" s="64" t="s">
        <v>364</v>
      </c>
      <c r="C248" s="65" t="s">
        <v>4443</v>
      </c>
      <c r="D248" s="66">
        <v>3</v>
      </c>
      <c r="E248" s="67"/>
      <c r="F248" s="68">
        <v>40</v>
      </c>
      <c r="G248" s="65"/>
      <c r="H248" s="69"/>
      <c r="I248" s="70"/>
      <c r="J248" s="70"/>
      <c r="K248" s="34" t="s">
        <v>65</v>
      </c>
      <c r="L248" s="77">
        <v>248</v>
      </c>
      <c r="M248" s="77"/>
      <c r="N248" s="72"/>
      <c r="O248" s="79" t="s">
        <v>610</v>
      </c>
      <c r="P248" s="79">
        <v>1</v>
      </c>
      <c r="Q248" s="78" t="str">
        <f>REPLACE(INDEX(GroupVertices[Group],MATCH(Edges[[#This Row],[Vertex 1]],GroupVertices[Vertex],0)),1,1,"")</f>
        <v>ip in the Bud</v>
      </c>
      <c r="R248" s="78" t="str">
        <f>REPLACE(INDEX(GroupVertices[Group],MATCH(Edges[[#This Row],[Vertex 2]],GroupVertices[Vertex],0)),1,1,"")</f>
        <v>arolyn Carrara-Live With Joy Now-ADHD Recovery</v>
      </c>
    </row>
    <row r="249" spans="1:18" ht="15">
      <c r="A249" s="64" t="s">
        <v>248</v>
      </c>
      <c r="B249" s="64" t="s">
        <v>2597</v>
      </c>
      <c r="C249" s="65" t="s">
        <v>4443</v>
      </c>
      <c r="D249" s="66">
        <v>3</v>
      </c>
      <c r="E249" s="67"/>
      <c r="F249" s="68">
        <v>40</v>
      </c>
      <c r="G249" s="65"/>
      <c r="H249" s="69"/>
      <c r="I249" s="70"/>
      <c r="J249" s="70"/>
      <c r="K249" s="34" t="s">
        <v>65</v>
      </c>
      <c r="L249" s="77">
        <v>249</v>
      </c>
      <c r="M249" s="77"/>
      <c r="N249" s="72"/>
      <c r="O249" s="79" t="s">
        <v>610</v>
      </c>
      <c r="P249" s="79">
        <v>1</v>
      </c>
      <c r="Q249" s="78" t="str">
        <f>REPLACE(INDEX(GroupVertices[Group],MATCH(Edges[[#This Row],[Vertex 1]],GroupVertices[Vertex],0)),1,1,"")</f>
        <v>ip in the Bud</v>
      </c>
      <c r="R249" s="78" t="str">
        <f>REPLACE(INDEX(GroupVertices[Group],MATCH(Edges[[#This Row],[Vertex 2]],GroupVertices[Vertex],0)),1,1,"")</f>
        <v>atie Couric</v>
      </c>
    </row>
    <row r="250" spans="1:18" ht="15">
      <c r="A250" s="64" t="s">
        <v>248</v>
      </c>
      <c r="B250" s="64" t="s">
        <v>267</v>
      </c>
      <c r="C250" s="65" t="s">
        <v>4443</v>
      </c>
      <c r="D250" s="66">
        <v>3</v>
      </c>
      <c r="E250" s="67"/>
      <c r="F250" s="68">
        <v>40</v>
      </c>
      <c r="G250" s="65"/>
      <c r="H250" s="69"/>
      <c r="I250" s="70"/>
      <c r="J250" s="70"/>
      <c r="K250" s="34" t="s">
        <v>65</v>
      </c>
      <c r="L250" s="77">
        <v>250</v>
      </c>
      <c r="M250" s="77"/>
      <c r="N250" s="72"/>
      <c r="O250" s="79" t="s">
        <v>610</v>
      </c>
      <c r="P250" s="79">
        <v>1</v>
      </c>
      <c r="Q250" s="78" t="str">
        <f>REPLACE(INDEX(GroupVertices[Group],MATCH(Edges[[#This Row],[Vertex 1]],GroupVertices[Vertex],0)),1,1,"")</f>
        <v>ip in the Bud</v>
      </c>
      <c r="R250" s="78" t="str">
        <f>REPLACE(INDEX(GroupVertices[Group],MATCH(Edges[[#This Row],[Vertex 2]],GroupVertices[Vertex],0)),1,1,"")</f>
        <v>hanacademymedicine</v>
      </c>
    </row>
    <row r="251" spans="1:18" ht="15">
      <c r="A251" s="64" t="s">
        <v>248</v>
      </c>
      <c r="B251" s="64" t="s">
        <v>281</v>
      </c>
      <c r="C251" s="65" t="s">
        <v>4443</v>
      </c>
      <c r="D251" s="66">
        <v>3</v>
      </c>
      <c r="E251" s="67"/>
      <c r="F251" s="68">
        <v>40</v>
      </c>
      <c r="G251" s="65"/>
      <c r="H251" s="69"/>
      <c r="I251" s="70"/>
      <c r="J251" s="70"/>
      <c r="K251" s="34" t="s">
        <v>65</v>
      </c>
      <c r="L251" s="77">
        <v>251</v>
      </c>
      <c r="M251" s="77"/>
      <c r="N251" s="72"/>
      <c r="O251" s="79" t="s">
        <v>610</v>
      </c>
      <c r="P251" s="79">
        <v>1</v>
      </c>
      <c r="Q251" s="78" t="str">
        <f>REPLACE(INDEX(GroupVertices[Group],MATCH(Edges[[#This Row],[Vertex 1]],GroupVertices[Vertex],0)),1,1,"")</f>
        <v>ip in the Bud</v>
      </c>
      <c r="R251" s="78" t="str">
        <f>REPLACE(INDEX(GroupVertices[Group],MATCH(Edges[[#This Row],[Vertex 2]],GroupVertices[Vertex],0)),1,1,"")</f>
        <v>ive On Purpose TV</v>
      </c>
    </row>
    <row r="252" spans="1:18" ht="15">
      <c r="A252" s="64" t="s">
        <v>248</v>
      </c>
      <c r="B252" s="64" t="s">
        <v>266</v>
      </c>
      <c r="C252" s="65" t="s">
        <v>4443</v>
      </c>
      <c r="D252" s="66">
        <v>3</v>
      </c>
      <c r="E252" s="67"/>
      <c r="F252" s="68">
        <v>40</v>
      </c>
      <c r="G252" s="65"/>
      <c r="H252" s="69"/>
      <c r="I252" s="70"/>
      <c r="J252" s="70"/>
      <c r="K252" s="34" t="s">
        <v>65</v>
      </c>
      <c r="L252" s="77">
        <v>252</v>
      </c>
      <c r="M252" s="77"/>
      <c r="N252" s="72"/>
      <c r="O252" s="79" t="s">
        <v>610</v>
      </c>
      <c r="P252" s="79">
        <v>1</v>
      </c>
      <c r="Q252" s="78" t="str">
        <f>REPLACE(INDEX(GroupVertices[Group],MATCH(Edges[[#This Row],[Vertex 1]],GroupVertices[Vertex],0)),1,1,"")</f>
        <v>ip in the Bud</v>
      </c>
      <c r="R252" s="78" t="str">
        <f>REPLACE(INDEX(GroupVertices[Group],MATCH(Edges[[#This Row],[Vertex 2]],GroupVertices[Vertex],0)),1,1,"")</f>
        <v>onnieandThomasLiotta</v>
      </c>
    </row>
    <row r="253" spans="1:18" ht="15">
      <c r="A253" s="64" t="s">
        <v>248</v>
      </c>
      <c r="B253" s="64" t="s">
        <v>342</v>
      </c>
      <c r="C253" s="65" t="s">
        <v>4443</v>
      </c>
      <c r="D253" s="66">
        <v>3</v>
      </c>
      <c r="E253" s="67"/>
      <c r="F253" s="68">
        <v>40</v>
      </c>
      <c r="G253" s="65"/>
      <c r="H253" s="69"/>
      <c r="I253" s="70"/>
      <c r="J253" s="70"/>
      <c r="K253" s="34" t="s">
        <v>65</v>
      </c>
      <c r="L253" s="77">
        <v>253</v>
      </c>
      <c r="M253" s="77"/>
      <c r="N253" s="72"/>
      <c r="O253" s="79" t="s">
        <v>610</v>
      </c>
      <c r="P253" s="79">
        <v>1</v>
      </c>
      <c r="Q253" s="78" t="str">
        <f>REPLACE(INDEX(GroupVertices[Group],MATCH(Edges[[#This Row],[Vertex 1]],GroupVertices[Vertex],0)),1,1,"")</f>
        <v>ip in the Bud</v>
      </c>
      <c r="R253" s="78" t="str">
        <f>REPLACE(INDEX(GroupVertices[Group],MATCH(Edges[[#This Row],[Vertex 2]],GroupVertices[Vertex],0)),1,1,"")</f>
        <v>owcast</v>
      </c>
    </row>
    <row r="254" spans="1:18" ht="15">
      <c r="A254" s="64" t="s">
        <v>248</v>
      </c>
      <c r="B254" s="64" t="s">
        <v>2598</v>
      </c>
      <c r="C254" s="65" t="s">
        <v>4443</v>
      </c>
      <c r="D254" s="66">
        <v>3</v>
      </c>
      <c r="E254" s="67"/>
      <c r="F254" s="68">
        <v>40</v>
      </c>
      <c r="G254" s="65"/>
      <c r="H254" s="69"/>
      <c r="I254" s="70"/>
      <c r="J254" s="70"/>
      <c r="K254" s="34" t="s">
        <v>65</v>
      </c>
      <c r="L254" s="77">
        <v>254</v>
      </c>
      <c r="M254" s="77"/>
      <c r="N254" s="72"/>
      <c r="O254" s="79" t="s">
        <v>610</v>
      </c>
      <c r="P254" s="79">
        <v>1</v>
      </c>
      <c r="Q254" s="78" t="str">
        <f>REPLACE(INDEX(GroupVertices[Group],MATCH(Edges[[#This Row],[Vertex 1]],GroupVertices[Vertex],0)),1,1,"")</f>
        <v>ip in the Bud</v>
      </c>
      <c r="R254" s="78" t="str">
        <f>REPLACE(INDEX(GroupVertices[Group],MATCH(Edges[[#This Row],[Vertex 2]],GroupVertices[Vertex],0)),1,1,"")</f>
        <v>ip in the Bud</v>
      </c>
    </row>
    <row r="255" spans="1:18" ht="15">
      <c r="A255" s="64" t="s">
        <v>248</v>
      </c>
      <c r="B255" s="64" t="s">
        <v>595</v>
      </c>
      <c r="C255" s="65" t="s">
        <v>4443</v>
      </c>
      <c r="D255" s="66">
        <v>3</v>
      </c>
      <c r="E255" s="67"/>
      <c r="F255" s="68">
        <v>40</v>
      </c>
      <c r="G255" s="65"/>
      <c r="H255" s="69"/>
      <c r="I255" s="70"/>
      <c r="J255" s="70"/>
      <c r="K255" s="34" t="s">
        <v>65</v>
      </c>
      <c r="L255" s="77">
        <v>255</v>
      </c>
      <c r="M255" s="77"/>
      <c r="N255" s="72"/>
      <c r="O255" s="79" t="s">
        <v>610</v>
      </c>
      <c r="P255" s="79">
        <v>1</v>
      </c>
      <c r="Q255" s="78" t="str">
        <f>REPLACE(INDEX(GroupVertices[Group],MATCH(Edges[[#This Row],[Vertex 1]],GroupVertices[Vertex],0)),1,1,"")</f>
        <v>ip in the Bud</v>
      </c>
      <c r="R255" s="78" t="str">
        <f>REPLACE(INDEX(GroupVertices[Group],MATCH(Edges[[#This Row],[Vertex 2]],GroupVertices[Vertex],0)),1,1,"")</f>
        <v>smosis from Elsevier</v>
      </c>
    </row>
    <row r="256" spans="1:18" ht="15">
      <c r="A256" s="64" t="s">
        <v>248</v>
      </c>
      <c r="B256" s="64" t="s">
        <v>209</v>
      </c>
      <c r="C256" s="65" t="s">
        <v>4443</v>
      </c>
      <c r="D256" s="66">
        <v>3</v>
      </c>
      <c r="E256" s="67"/>
      <c r="F256" s="68">
        <v>40</v>
      </c>
      <c r="G256" s="65"/>
      <c r="H256" s="69"/>
      <c r="I256" s="70"/>
      <c r="J256" s="70"/>
      <c r="K256" s="34" t="s">
        <v>65</v>
      </c>
      <c r="L256" s="77">
        <v>256</v>
      </c>
      <c r="M256" s="77"/>
      <c r="N256" s="72"/>
      <c r="O256" s="79" t="s">
        <v>610</v>
      </c>
      <c r="P256" s="79">
        <v>1</v>
      </c>
      <c r="Q256" s="78" t="str">
        <f>REPLACE(INDEX(GroupVertices[Group],MATCH(Edges[[#This Row],[Vertex 1]],GroupVertices[Vertex],0)),1,1,"")</f>
        <v>ip in the Bud</v>
      </c>
      <c r="R256" s="78" t="str">
        <f>REPLACE(INDEX(GroupVertices[Group],MATCH(Edges[[#This Row],[Vertex 2]],GroupVertices[Vertex],0)),1,1,"")</f>
        <v>owcast</v>
      </c>
    </row>
    <row r="257" spans="1:18" ht="15">
      <c r="A257" s="64" t="s">
        <v>248</v>
      </c>
      <c r="B257" s="64" t="s">
        <v>2599</v>
      </c>
      <c r="C257" s="65" t="s">
        <v>4443</v>
      </c>
      <c r="D257" s="66">
        <v>3</v>
      </c>
      <c r="E257" s="67"/>
      <c r="F257" s="68">
        <v>40</v>
      </c>
      <c r="G257" s="65"/>
      <c r="H257" s="69"/>
      <c r="I257" s="70"/>
      <c r="J257" s="70"/>
      <c r="K257" s="34" t="s">
        <v>65</v>
      </c>
      <c r="L257" s="77">
        <v>257</v>
      </c>
      <c r="M257" s="77"/>
      <c r="N257" s="72"/>
      <c r="O257" s="79" t="s">
        <v>610</v>
      </c>
      <c r="P257" s="79">
        <v>1</v>
      </c>
      <c r="Q257" s="78" t="str">
        <f>REPLACE(INDEX(GroupVertices[Group],MATCH(Edges[[#This Row],[Vertex 1]],GroupVertices[Vertex],0)),1,1,"")</f>
        <v>ip in the Bud</v>
      </c>
      <c r="R257" s="78" t="str">
        <f>REPLACE(INDEX(GroupVertices[Group],MATCH(Edges[[#This Row],[Vertex 2]],GroupVertices[Vertex],0)),1,1,"")</f>
        <v>ip in the Bud</v>
      </c>
    </row>
    <row r="258" spans="1:18" ht="15">
      <c r="A258" s="64" t="s">
        <v>248</v>
      </c>
      <c r="B258" s="64" t="s">
        <v>2600</v>
      </c>
      <c r="C258" s="65" t="s">
        <v>4443</v>
      </c>
      <c r="D258" s="66">
        <v>3</v>
      </c>
      <c r="E258" s="67"/>
      <c r="F258" s="68">
        <v>40</v>
      </c>
      <c r="G258" s="65"/>
      <c r="H258" s="69"/>
      <c r="I258" s="70"/>
      <c r="J258" s="70"/>
      <c r="K258" s="34" t="s">
        <v>65</v>
      </c>
      <c r="L258" s="77">
        <v>258</v>
      </c>
      <c r="M258" s="77"/>
      <c r="N258" s="72"/>
      <c r="O258" s="79" t="s">
        <v>610</v>
      </c>
      <c r="P258" s="79">
        <v>1</v>
      </c>
      <c r="Q258" s="78" t="str">
        <f>REPLACE(INDEX(GroupVertices[Group],MATCH(Edges[[#This Row],[Vertex 1]],GroupVertices[Vertex],0)),1,1,"")</f>
        <v>ip in the Bud</v>
      </c>
      <c r="R258" s="78" t="str">
        <f>REPLACE(INDEX(GroupVertices[Group],MATCH(Edges[[#This Row],[Vertex 2]],GroupVertices[Vertex],0)),1,1,"")</f>
        <v>xford Brookes University</v>
      </c>
    </row>
    <row r="259" spans="1:18" ht="15">
      <c r="A259" s="64" t="s">
        <v>248</v>
      </c>
      <c r="B259" s="64" t="s">
        <v>361</v>
      </c>
      <c r="C259" s="65" t="s">
        <v>4443</v>
      </c>
      <c r="D259" s="66">
        <v>3</v>
      </c>
      <c r="E259" s="67"/>
      <c r="F259" s="68">
        <v>40</v>
      </c>
      <c r="G259" s="65"/>
      <c r="H259" s="69"/>
      <c r="I259" s="70"/>
      <c r="J259" s="70"/>
      <c r="K259" s="34" t="s">
        <v>65</v>
      </c>
      <c r="L259" s="77">
        <v>259</v>
      </c>
      <c r="M259" s="77"/>
      <c r="N259" s="72"/>
      <c r="O259" s="79" t="s">
        <v>610</v>
      </c>
      <c r="P259" s="79">
        <v>1</v>
      </c>
      <c r="Q259" s="78" t="str">
        <f>REPLACE(INDEX(GroupVertices[Group],MATCH(Edges[[#This Row],[Vertex 1]],GroupVertices[Vertex],0)),1,1,"")</f>
        <v>ip in the Bud</v>
      </c>
      <c r="R259" s="78" t="str">
        <f>REPLACE(INDEX(GroupVertices[Group],MATCH(Edges[[#This Row],[Vertex 2]],GroupVertices[Vertex],0)),1,1,"")</f>
        <v>ip in the Bud</v>
      </c>
    </row>
    <row r="260" spans="1:18" ht="15">
      <c r="A260" s="64" t="s">
        <v>248</v>
      </c>
      <c r="B260" s="64" t="s">
        <v>399</v>
      </c>
      <c r="C260" s="65" t="s">
        <v>4443</v>
      </c>
      <c r="D260" s="66">
        <v>3</v>
      </c>
      <c r="E260" s="67"/>
      <c r="F260" s="68">
        <v>40</v>
      </c>
      <c r="G260" s="65"/>
      <c r="H260" s="69"/>
      <c r="I260" s="70"/>
      <c r="J260" s="70"/>
      <c r="K260" s="34" t="s">
        <v>65</v>
      </c>
      <c r="L260" s="77">
        <v>260</v>
      </c>
      <c r="M260" s="77"/>
      <c r="N260" s="72"/>
      <c r="O260" s="79" t="s">
        <v>610</v>
      </c>
      <c r="P260" s="79">
        <v>1</v>
      </c>
      <c r="Q260" s="78" t="str">
        <f>REPLACE(INDEX(GroupVertices[Group],MATCH(Edges[[#This Row],[Vertex 1]],GroupVertices[Vertex],0)),1,1,"")</f>
        <v>ip in the Bud</v>
      </c>
      <c r="R260" s="78" t="str">
        <f>REPLACE(INDEX(GroupVertices[Group],MATCH(Edges[[#This Row],[Vertex 2]],GroupVertices[Vertex],0)),1,1,"")</f>
        <v>rof . M.THANGA DARWIN</v>
      </c>
    </row>
    <row r="261" spans="1:18" ht="15">
      <c r="A261" s="64" t="s">
        <v>248</v>
      </c>
      <c r="B261" s="64" t="s">
        <v>609</v>
      </c>
      <c r="C261" s="65" t="s">
        <v>4443</v>
      </c>
      <c r="D261" s="66">
        <v>3</v>
      </c>
      <c r="E261" s="67"/>
      <c r="F261" s="68">
        <v>40</v>
      </c>
      <c r="G261" s="65"/>
      <c r="H261" s="69"/>
      <c r="I261" s="70"/>
      <c r="J261" s="70"/>
      <c r="K261" s="34" t="s">
        <v>65</v>
      </c>
      <c r="L261" s="77">
        <v>261</v>
      </c>
      <c r="M261" s="77"/>
      <c r="N261" s="72"/>
      <c r="O261" s="79" t="s">
        <v>610</v>
      </c>
      <c r="P261" s="79">
        <v>1</v>
      </c>
      <c r="Q261" s="78" t="str">
        <f>REPLACE(INDEX(GroupVertices[Group],MATCH(Edges[[#This Row],[Vertex 1]],GroupVertices[Vertex],0)),1,1,"")</f>
        <v>ip in the Bud</v>
      </c>
      <c r="R261" s="78" t="str">
        <f>REPLACE(INDEX(GroupVertices[Group],MATCH(Edges[[#This Row],[Vertex 2]],GroupVertices[Vertex],0)),1,1,"")</f>
        <v>HADIS</v>
      </c>
    </row>
    <row r="262" spans="1:18" ht="15">
      <c r="A262" s="64" t="s">
        <v>248</v>
      </c>
      <c r="B262" s="64" t="s">
        <v>282</v>
      </c>
      <c r="C262" s="65" t="s">
        <v>4443</v>
      </c>
      <c r="D262" s="66">
        <v>3</v>
      </c>
      <c r="E262" s="67"/>
      <c r="F262" s="68">
        <v>40</v>
      </c>
      <c r="G262" s="65"/>
      <c r="H262" s="69"/>
      <c r="I262" s="70"/>
      <c r="J262" s="70"/>
      <c r="K262" s="34" t="s">
        <v>65</v>
      </c>
      <c r="L262" s="77">
        <v>262</v>
      </c>
      <c r="M262" s="77"/>
      <c r="N262" s="72"/>
      <c r="O262" s="79" t="s">
        <v>610</v>
      </c>
      <c r="P262" s="79">
        <v>1</v>
      </c>
      <c r="Q262" s="78" t="str">
        <f>REPLACE(INDEX(GroupVertices[Group],MATCH(Edges[[#This Row],[Vertex 1]],GroupVertices[Vertex],0)),1,1,"")</f>
        <v>ip in the Bud</v>
      </c>
      <c r="R262" s="78" t="str">
        <f>REPLACE(INDEX(GroupVertices[Group],MATCH(Edges[[#This Row],[Vertex 2]],GroupVertices[Vertex],0)),1,1,"")</f>
        <v>ractical Behaviour Solutions</v>
      </c>
    </row>
    <row r="263" spans="1:18" ht="15">
      <c r="A263" s="64" t="s">
        <v>248</v>
      </c>
      <c r="B263" s="64" t="s">
        <v>265</v>
      </c>
      <c r="C263" s="65" t="s">
        <v>4443</v>
      </c>
      <c r="D263" s="66">
        <v>3</v>
      </c>
      <c r="E263" s="67"/>
      <c r="F263" s="68">
        <v>40</v>
      </c>
      <c r="G263" s="65"/>
      <c r="H263" s="69"/>
      <c r="I263" s="70"/>
      <c r="J263" s="70"/>
      <c r="K263" s="34" t="s">
        <v>65</v>
      </c>
      <c r="L263" s="77">
        <v>263</v>
      </c>
      <c r="M263" s="77"/>
      <c r="N263" s="72"/>
      <c r="O263" s="79" t="s">
        <v>610</v>
      </c>
      <c r="P263" s="79">
        <v>1</v>
      </c>
      <c r="Q263" s="78" t="str">
        <f>REPLACE(INDEX(GroupVertices[Group],MATCH(Edges[[#This Row],[Vertex 1]],GroupVertices[Vertex],0)),1,1,"")</f>
        <v>ip in the Bud</v>
      </c>
      <c r="R263" s="78" t="str">
        <f>REPLACE(INDEX(GroupVertices[Group],MATCH(Edges[[#This Row],[Vertex 2]],GroupVertices[Vertex],0)),1,1,"")</f>
        <v>TUHSC EL PASO</v>
      </c>
    </row>
    <row r="264" spans="1:18" ht="15">
      <c r="A264" s="64" t="s">
        <v>248</v>
      </c>
      <c r="B264" s="64" t="s">
        <v>284</v>
      </c>
      <c r="C264" s="65" t="s">
        <v>4443</v>
      </c>
      <c r="D264" s="66">
        <v>3</v>
      </c>
      <c r="E264" s="67"/>
      <c r="F264" s="68">
        <v>40</v>
      </c>
      <c r="G264" s="65"/>
      <c r="H264" s="69"/>
      <c r="I264" s="70"/>
      <c r="J264" s="70"/>
      <c r="K264" s="34" t="s">
        <v>65</v>
      </c>
      <c r="L264" s="77">
        <v>264</v>
      </c>
      <c r="M264" s="77"/>
      <c r="N264" s="72"/>
      <c r="O264" s="79" t="s">
        <v>610</v>
      </c>
      <c r="P264" s="79">
        <v>1</v>
      </c>
      <c r="Q264" s="78" t="str">
        <f>REPLACE(INDEX(GroupVertices[Group],MATCH(Edges[[#This Row],[Vertex 1]],GroupVertices[Vertex],0)),1,1,"")</f>
        <v>ip in the Bud</v>
      </c>
      <c r="R264" s="78" t="str">
        <f>REPLACE(INDEX(GroupVertices[Group],MATCH(Edges[[#This Row],[Vertex 2]],GroupVertices[Vertex],0)),1,1,"")</f>
        <v>EDx Talks</v>
      </c>
    </row>
    <row r="265" spans="1:18" ht="15">
      <c r="A265" s="64" t="s">
        <v>248</v>
      </c>
      <c r="B265" s="64" t="s">
        <v>369</v>
      </c>
      <c r="C265" s="65" t="s">
        <v>4443</v>
      </c>
      <c r="D265" s="66">
        <v>3</v>
      </c>
      <c r="E265" s="67"/>
      <c r="F265" s="68">
        <v>40</v>
      </c>
      <c r="G265" s="65"/>
      <c r="H265" s="69"/>
      <c r="I265" s="70"/>
      <c r="J265" s="70"/>
      <c r="K265" s="34" t="s">
        <v>65</v>
      </c>
      <c r="L265" s="77">
        <v>265</v>
      </c>
      <c r="M265" s="77"/>
      <c r="N265" s="72"/>
      <c r="O265" s="79" t="s">
        <v>610</v>
      </c>
      <c r="P265" s="79">
        <v>1</v>
      </c>
      <c r="Q265" s="78" t="str">
        <f>REPLACE(INDEX(GroupVertices[Group],MATCH(Edges[[#This Row],[Vertex 1]],GroupVertices[Vertex],0)),1,1,"")</f>
        <v>ip in the Bud</v>
      </c>
      <c r="R265" s="78" t="str">
        <f>REPLACE(INDEX(GroupVertices[Group],MATCH(Edges[[#This Row],[Vertex 2]],GroupVertices[Vertex],0)),1,1,"")</f>
        <v>ip in the Bud</v>
      </c>
    </row>
    <row r="266" spans="1:18" ht="15">
      <c r="A266" s="64" t="s">
        <v>248</v>
      </c>
      <c r="B266" s="64" t="s">
        <v>2601</v>
      </c>
      <c r="C266" s="65" t="s">
        <v>4443</v>
      </c>
      <c r="D266" s="66">
        <v>3</v>
      </c>
      <c r="E266" s="67"/>
      <c r="F266" s="68">
        <v>40</v>
      </c>
      <c r="G266" s="65"/>
      <c r="H266" s="69"/>
      <c r="I266" s="70"/>
      <c r="J266" s="70"/>
      <c r="K266" s="34" t="s">
        <v>65</v>
      </c>
      <c r="L266" s="77">
        <v>266</v>
      </c>
      <c r="M266" s="77"/>
      <c r="N266" s="72"/>
      <c r="O266" s="79" t="s">
        <v>610</v>
      </c>
      <c r="P266" s="79">
        <v>1</v>
      </c>
      <c r="Q266" s="78" t="str">
        <f>REPLACE(INDEX(GroupVertices[Group],MATCH(Edges[[#This Row],[Vertex 1]],GroupVertices[Vertex],0)),1,1,"")</f>
        <v>ip in the Bud</v>
      </c>
      <c r="R266" s="78" t="str">
        <f>REPLACE(INDEX(GroupVertices[Group],MATCH(Edges[[#This Row],[Vertex 2]],GroupVertices[Vertex],0)),1,1,"")</f>
        <v>ip in the Bud</v>
      </c>
    </row>
    <row r="267" spans="1:18" ht="15">
      <c r="A267" s="64" t="s">
        <v>248</v>
      </c>
      <c r="B267" s="64" t="s">
        <v>447</v>
      </c>
      <c r="C267" s="65" t="s">
        <v>4443</v>
      </c>
      <c r="D267" s="66">
        <v>3</v>
      </c>
      <c r="E267" s="67"/>
      <c r="F267" s="68">
        <v>40</v>
      </c>
      <c r="G267" s="65"/>
      <c r="H267" s="69"/>
      <c r="I267" s="70"/>
      <c r="J267" s="70"/>
      <c r="K267" s="34" t="s">
        <v>65</v>
      </c>
      <c r="L267" s="77">
        <v>267</v>
      </c>
      <c r="M267" s="77"/>
      <c r="N267" s="72"/>
      <c r="O267" s="79" t="s">
        <v>610</v>
      </c>
      <c r="P267" s="79">
        <v>1</v>
      </c>
      <c r="Q267" s="78" t="str">
        <f>REPLACE(INDEX(GroupVertices[Group],MATCH(Edges[[#This Row],[Vertex 1]],GroupVertices[Vertex],0)),1,1,"")</f>
        <v>ip in the Bud</v>
      </c>
      <c r="R267" s="78" t="str">
        <f>REPLACE(INDEX(GroupVertices[Group],MATCH(Edges[[#This Row],[Vertex 2]],GroupVertices[Vertex],0)),1,1,"")</f>
        <v>ip in the Bud</v>
      </c>
    </row>
    <row r="268" spans="1:18" ht="15">
      <c r="A268" s="64" t="s">
        <v>248</v>
      </c>
      <c r="B268" s="64" t="s">
        <v>276</v>
      </c>
      <c r="C268" s="65" t="s">
        <v>4443</v>
      </c>
      <c r="D268" s="66">
        <v>3</v>
      </c>
      <c r="E268" s="67"/>
      <c r="F268" s="68">
        <v>40</v>
      </c>
      <c r="G268" s="65"/>
      <c r="H268" s="69"/>
      <c r="I268" s="70"/>
      <c r="J268" s="70"/>
      <c r="K268" s="34" t="s">
        <v>65</v>
      </c>
      <c r="L268" s="77">
        <v>268</v>
      </c>
      <c r="M268" s="77"/>
      <c r="N268" s="72"/>
      <c r="O268" s="79" t="s">
        <v>610</v>
      </c>
      <c r="P268" s="79">
        <v>1</v>
      </c>
      <c r="Q268" s="78" t="str">
        <f>REPLACE(INDEX(GroupVertices[Group],MATCH(Edges[[#This Row],[Vertex 1]],GroupVertices[Vertex],0)),1,1,"")</f>
        <v>ip in the Bud</v>
      </c>
      <c r="R268" s="78" t="str">
        <f>REPLACE(INDEX(GroupVertices[Group],MATCH(Edges[[#This Row],[Vertex 2]],GroupVertices[Vertex],0)),1,1,"")</f>
        <v>DDitude Magazine</v>
      </c>
    </row>
    <row r="269" spans="1:18" ht="15">
      <c r="A269" s="64" t="s">
        <v>248</v>
      </c>
      <c r="B269" s="64" t="s">
        <v>207</v>
      </c>
      <c r="C269" s="65" t="s">
        <v>4443</v>
      </c>
      <c r="D269" s="66">
        <v>3</v>
      </c>
      <c r="E269" s="67"/>
      <c r="F269" s="68">
        <v>40</v>
      </c>
      <c r="G269" s="65"/>
      <c r="H269" s="69"/>
      <c r="I269" s="70"/>
      <c r="J269" s="70"/>
      <c r="K269" s="34" t="s">
        <v>65</v>
      </c>
      <c r="L269" s="77">
        <v>269</v>
      </c>
      <c r="M269" s="77"/>
      <c r="N269" s="72"/>
      <c r="O269" s="79" t="s">
        <v>610</v>
      </c>
      <c r="P269" s="79">
        <v>1</v>
      </c>
      <c r="Q269" s="78" t="str">
        <f>REPLACE(INDEX(GroupVertices[Group],MATCH(Edges[[#This Row],[Vertex 1]],GroupVertices[Vertex],0)),1,1,"")</f>
        <v>ip in the Bud</v>
      </c>
      <c r="R269" s="78" t="str">
        <f>REPLACE(INDEX(GroupVertices[Group],MATCH(Edges[[#This Row],[Vertex 2]],GroupVertices[Vertex],0)),1,1,"")</f>
        <v>oc Snipes</v>
      </c>
    </row>
    <row r="270" spans="1:18" ht="15">
      <c r="A270" s="64" t="s">
        <v>248</v>
      </c>
      <c r="B270" s="64" t="s">
        <v>287</v>
      </c>
      <c r="C270" s="65" t="s">
        <v>4443</v>
      </c>
      <c r="D270" s="66">
        <v>3</v>
      </c>
      <c r="E270" s="67"/>
      <c r="F270" s="68">
        <v>40</v>
      </c>
      <c r="G270" s="65"/>
      <c r="H270" s="69"/>
      <c r="I270" s="70"/>
      <c r="J270" s="70"/>
      <c r="K270" s="34" t="s">
        <v>65</v>
      </c>
      <c r="L270" s="77">
        <v>270</v>
      </c>
      <c r="M270" s="77"/>
      <c r="N270" s="72"/>
      <c r="O270" s="79" t="s">
        <v>610</v>
      </c>
      <c r="P270" s="79">
        <v>1</v>
      </c>
      <c r="Q270" s="78" t="str">
        <f>REPLACE(INDEX(GroupVertices[Group],MATCH(Edges[[#This Row],[Vertex 1]],GroupVertices[Vertex],0)),1,1,"")</f>
        <v>ip in the Bud</v>
      </c>
      <c r="R270" s="78" t="str">
        <f>REPLACE(INDEX(GroupVertices[Group],MATCH(Edges[[#This Row],[Vertex 2]],GroupVertices[Vertex],0)),1,1,"")</f>
        <v>icholeen Peck - Teaching Self Government</v>
      </c>
    </row>
    <row r="271" spans="1:18" ht="15">
      <c r="A271" s="64" t="s">
        <v>248</v>
      </c>
      <c r="B271" s="64" t="s">
        <v>607</v>
      </c>
      <c r="C271" s="65" t="s">
        <v>4443</v>
      </c>
      <c r="D271" s="66">
        <v>3</v>
      </c>
      <c r="E271" s="67"/>
      <c r="F271" s="68">
        <v>40</v>
      </c>
      <c r="G271" s="65"/>
      <c r="H271" s="69"/>
      <c r="I271" s="70"/>
      <c r="J271" s="70"/>
      <c r="K271" s="34" t="s">
        <v>65</v>
      </c>
      <c r="L271" s="77">
        <v>271</v>
      </c>
      <c r="M271" s="77"/>
      <c r="N271" s="72"/>
      <c r="O271" s="79" t="s">
        <v>610</v>
      </c>
      <c r="P271" s="79">
        <v>1</v>
      </c>
      <c r="Q271" s="78" t="str">
        <f>REPLACE(INDEX(GroupVertices[Group],MATCH(Edges[[#This Row],[Vertex 1]],GroupVertices[Vertex],0)),1,1,"")</f>
        <v>ip in the Bud</v>
      </c>
      <c r="R271" s="78" t="str">
        <f>REPLACE(INDEX(GroupVertices[Group],MATCH(Edges[[#This Row],[Vertex 2]],GroupVertices[Vertex],0)),1,1,"")</f>
        <v>ip in the Bud</v>
      </c>
    </row>
    <row r="272" spans="1:18" ht="15">
      <c r="A272" s="64" t="s">
        <v>248</v>
      </c>
      <c r="B272" s="64" t="s">
        <v>206</v>
      </c>
      <c r="C272" s="65" t="s">
        <v>4443</v>
      </c>
      <c r="D272" s="66">
        <v>3</v>
      </c>
      <c r="E272" s="67"/>
      <c r="F272" s="68">
        <v>40</v>
      </c>
      <c r="G272" s="65"/>
      <c r="H272" s="69"/>
      <c r="I272" s="70"/>
      <c r="J272" s="70"/>
      <c r="K272" s="34" t="s">
        <v>65</v>
      </c>
      <c r="L272" s="77">
        <v>272</v>
      </c>
      <c r="M272" s="77"/>
      <c r="N272" s="72"/>
      <c r="O272" s="79" t="s">
        <v>610</v>
      </c>
      <c r="P272" s="79">
        <v>1</v>
      </c>
      <c r="Q272" s="78" t="str">
        <f>REPLACE(INDEX(GroupVertices[Group],MATCH(Edges[[#This Row],[Vertex 1]],GroupVertices[Vertex],0)),1,1,"")</f>
        <v>ip in the Bud</v>
      </c>
      <c r="R272" s="78" t="str">
        <f>REPLACE(INDEX(GroupVertices[Group],MATCH(Edges[[#This Row],[Vertex 2]],GroupVertices[Vertex],0)),1,1,"")</f>
        <v>ip in the Bud</v>
      </c>
    </row>
    <row r="273" spans="1:18" ht="15">
      <c r="A273" s="64" t="s">
        <v>248</v>
      </c>
      <c r="B273" s="64" t="s">
        <v>372</v>
      </c>
      <c r="C273" s="65" t="s">
        <v>4443</v>
      </c>
      <c r="D273" s="66">
        <v>3</v>
      </c>
      <c r="E273" s="67"/>
      <c r="F273" s="68">
        <v>40</v>
      </c>
      <c r="G273" s="65"/>
      <c r="H273" s="69"/>
      <c r="I273" s="70"/>
      <c r="J273" s="70"/>
      <c r="K273" s="34" t="s">
        <v>65</v>
      </c>
      <c r="L273" s="77">
        <v>273</v>
      </c>
      <c r="M273" s="77"/>
      <c r="N273" s="72"/>
      <c r="O273" s="79" t="s">
        <v>610</v>
      </c>
      <c r="P273" s="79">
        <v>1</v>
      </c>
      <c r="Q273" s="78" t="str">
        <f>REPLACE(INDEX(GroupVertices[Group],MATCH(Edges[[#This Row],[Vertex 1]],GroupVertices[Vertex],0)),1,1,"")</f>
        <v>ip in the Bud</v>
      </c>
      <c r="R273" s="78" t="str">
        <f>REPLACE(INDEX(GroupVertices[Group],MATCH(Edges[[#This Row],[Vertex 2]],GroupVertices[Vertex],0)),1,1,"")</f>
        <v>ip in the Bud</v>
      </c>
    </row>
    <row r="274" spans="1:18" ht="15">
      <c r="A274" s="64" t="s">
        <v>248</v>
      </c>
      <c r="B274" s="64" t="s">
        <v>243</v>
      </c>
      <c r="C274" s="65" t="s">
        <v>4443</v>
      </c>
      <c r="D274" s="66">
        <v>3</v>
      </c>
      <c r="E274" s="67"/>
      <c r="F274" s="68">
        <v>40</v>
      </c>
      <c r="G274" s="65"/>
      <c r="H274" s="69"/>
      <c r="I274" s="70"/>
      <c r="J274" s="70"/>
      <c r="K274" s="34" t="s">
        <v>65</v>
      </c>
      <c r="L274" s="77">
        <v>274</v>
      </c>
      <c r="M274" s="77"/>
      <c r="N274" s="72"/>
      <c r="O274" s="79" t="s">
        <v>610</v>
      </c>
      <c r="P274" s="79">
        <v>1</v>
      </c>
      <c r="Q274" s="78" t="str">
        <f>REPLACE(INDEX(GroupVertices[Group],MATCH(Edges[[#This Row],[Vertex 1]],GroupVertices[Vertex],0)),1,1,"")</f>
        <v>ip in the Bud</v>
      </c>
      <c r="R274" s="78" t="str">
        <f>REPLACE(INDEX(GroupVertices[Group],MATCH(Edges[[#This Row],[Vertex 2]],GroupVertices[Vertex],0)),1,1,"")</f>
        <v>emorable Psychiatry and Neurology</v>
      </c>
    </row>
    <row r="275" spans="1:18" ht="15">
      <c r="A275" s="64" t="s">
        <v>248</v>
      </c>
      <c r="B275" s="64" t="s">
        <v>271</v>
      </c>
      <c r="C275" s="65" t="s">
        <v>4443</v>
      </c>
      <c r="D275" s="66">
        <v>3</v>
      </c>
      <c r="E275" s="67"/>
      <c r="F275" s="68">
        <v>40</v>
      </c>
      <c r="G275" s="65"/>
      <c r="H275" s="69"/>
      <c r="I275" s="70"/>
      <c r="J275" s="70"/>
      <c r="K275" s="34" t="s">
        <v>65</v>
      </c>
      <c r="L275" s="77">
        <v>275</v>
      </c>
      <c r="M275" s="77"/>
      <c r="N275" s="72"/>
      <c r="O275" s="79" t="s">
        <v>610</v>
      </c>
      <c r="P275" s="79">
        <v>1</v>
      </c>
      <c r="Q275" s="78" t="str">
        <f>REPLACE(INDEX(GroupVertices[Group],MATCH(Edges[[#This Row],[Vertex 1]],GroupVertices[Vertex],0)),1,1,"")</f>
        <v>ip in the Bud</v>
      </c>
      <c r="R275" s="78" t="str">
        <f>REPLACE(INDEX(GroupVertices[Group],MATCH(Edges[[#This Row],[Vertex 2]],GroupVertices[Vertex],0)),1,1,"")</f>
        <v>ip in the Bud</v>
      </c>
    </row>
    <row r="276" spans="1:18" ht="15">
      <c r="A276" s="64" t="s">
        <v>248</v>
      </c>
      <c r="B276" s="64" t="s">
        <v>365</v>
      </c>
      <c r="C276" s="65" t="s">
        <v>4443</v>
      </c>
      <c r="D276" s="66">
        <v>3</v>
      </c>
      <c r="E276" s="67"/>
      <c r="F276" s="68">
        <v>40</v>
      </c>
      <c r="G276" s="65"/>
      <c r="H276" s="69"/>
      <c r="I276" s="70"/>
      <c r="J276" s="70"/>
      <c r="K276" s="34" t="s">
        <v>65</v>
      </c>
      <c r="L276" s="77">
        <v>276</v>
      </c>
      <c r="M276" s="77"/>
      <c r="N276" s="72"/>
      <c r="O276" s="79" t="s">
        <v>610</v>
      </c>
      <c r="P276" s="79">
        <v>1</v>
      </c>
      <c r="Q276" s="78" t="str">
        <f>REPLACE(INDEX(GroupVertices[Group],MATCH(Edges[[#This Row],[Vertex 1]],GroupVertices[Vertex],0)),1,1,"")</f>
        <v>ip in the Bud</v>
      </c>
      <c r="R276" s="78" t="str">
        <f>REPLACE(INDEX(GroupVertices[Group],MATCH(Edges[[#This Row],[Vertex 2]],GroupVertices[Vertex],0)),1,1,"")</f>
        <v>ip in the Bud</v>
      </c>
    </row>
    <row r="277" spans="1:18" ht="15">
      <c r="A277" s="64" t="s">
        <v>248</v>
      </c>
      <c r="B277" s="64" t="s">
        <v>270</v>
      </c>
      <c r="C277" s="65" t="s">
        <v>4443</v>
      </c>
      <c r="D277" s="66">
        <v>3</v>
      </c>
      <c r="E277" s="67"/>
      <c r="F277" s="68">
        <v>40</v>
      </c>
      <c r="G277" s="65"/>
      <c r="H277" s="69"/>
      <c r="I277" s="70"/>
      <c r="J277" s="70"/>
      <c r="K277" s="34" t="s">
        <v>65</v>
      </c>
      <c r="L277" s="77">
        <v>277</v>
      </c>
      <c r="M277" s="77"/>
      <c r="N277" s="72"/>
      <c r="O277" s="79" t="s">
        <v>610</v>
      </c>
      <c r="P277" s="79">
        <v>1</v>
      </c>
      <c r="Q277" s="78" t="str">
        <f>REPLACE(INDEX(GroupVertices[Group],MATCH(Edges[[#This Row],[Vertex 1]],GroupVertices[Vertex],0)),1,1,"")</f>
        <v>ip in the Bud</v>
      </c>
      <c r="R277" s="78" t="str">
        <f>REPLACE(INDEX(GroupVertices[Group],MATCH(Edges[[#This Row],[Vertex 2]],GroupVertices[Vertex],0)),1,1,"")</f>
        <v>r. Todd Grande</v>
      </c>
    </row>
    <row r="278" spans="1:18" ht="15">
      <c r="A278" s="64" t="s">
        <v>248</v>
      </c>
      <c r="B278" s="64" t="s">
        <v>368</v>
      </c>
      <c r="C278" s="65" t="s">
        <v>4443</v>
      </c>
      <c r="D278" s="66">
        <v>3</v>
      </c>
      <c r="E278" s="67"/>
      <c r="F278" s="68">
        <v>40</v>
      </c>
      <c r="G278" s="65"/>
      <c r="H278" s="69"/>
      <c r="I278" s="70"/>
      <c r="J278" s="70"/>
      <c r="K278" s="34" t="s">
        <v>65</v>
      </c>
      <c r="L278" s="77">
        <v>278</v>
      </c>
      <c r="M278" s="77"/>
      <c r="N278" s="72"/>
      <c r="O278" s="79" t="s">
        <v>610</v>
      </c>
      <c r="P278" s="79">
        <v>1</v>
      </c>
      <c r="Q278" s="78" t="str">
        <f>REPLACE(INDEX(GroupVertices[Group],MATCH(Edges[[#This Row],[Vertex 1]],GroupVertices[Vertex],0)),1,1,"")</f>
        <v>ip in the Bud</v>
      </c>
      <c r="R278" s="78" t="str">
        <f>REPLACE(INDEX(GroupVertices[Group],MATCH(Edges[[#This Row],[Vertex 2]],GroupVertices[Vertex],0)),1,1,"")</f>
        <v>ip in the Bud</v>
      </c>
    </row>
    <row r="279" spans="1:18" ht="15">
      <c r="A279" s="64" t="s">
        <v>248</v>
      </c>
      <c r="B279" s="64" t="s">
        <v>363</v>
      </c>
      <c r="C279" s="65" t="s">
        <v>4443</v>
      </c>
      <c r="D279" s="66">
        <v>3</v>
      </c>
      <c r="E279" s="67"/>
      <c r="F279" s="68">
        <v>40</v>
      </c>
      <c r="G279" s="65"/>
      <c r="H279" s="69"/>
      <c r="I279" s="70"/>
      <c r="J279" s="70"/>
      <c r="K279" s="34" t="s">
        <v>65</v>
      </c>
      <c r="L279" s="77">
        <v>279</v>
      </c>
      <c r="M279" s="77"/>
      <c r="N279" s="72"/>
      <c r="O279" s="79" t="s">
        <v>610</v>
      </c>
      <c r="P279" s="79">
        <v>1</v>
      </c>
      <c r="Q279" s="78" t="str">
        <f>REPLACE(INDEX(GroupVertices[Group],MATCH(Edges[[#This Row],[Vertex 1]],GroupVertices[Vertex],0)),1,1,"")</f>
        <v>ip in the Bud</v>
      </c>
      <c r="R279" s="78" t="str">
        <f>REPLACE(INDEX(GroupVertices[Group],MATCH(Edges[[#This Row],[Vertex 2]],GroupVertices[Vertex],0)),1,1,"")</f>
        <v>ip in the Bud</v>
      </c>
    </row>
    <row r="280" spans="1:18" ht="15">
      <c r="A280" s="64" t="s">
        <v>248</v>
      </c>
      <c r="B280" s="64" t="s">
        <v>556</v>
      </c>
      <c r="C280" s="65" t="s">
        <v>4443</v>
      </c>
      <c r="D280" s="66">
        <v>3</v>
      </c>
      <c r="E280" s="67"/>
      <c r="F280" s="68">
        <v>40</v>
      </c>
      <c r="G280" s="65"/>
      <c r="H280" s="69"/>
      <c r="I280" s="70"/>
      <c r="J280" s="70"/>
      <c r="K280" s="34" t="s">
        <v>65</v>
      </c>
      <c r="L280" s="77">
        <v>280</v>
      </c>
      <c r="M280" s="77"/>
      <c r="N280" s="72"/>
      <c r="O280" s="79" t="s">
        <v>610</v>
      </c>
      <c r="P280" s="79">
        <v>1</v>
      </c>
      <c r="Q280" s="78" t="str">
        <f>REPLACE(INDEX(GroupVertices[Group],MATCH(Edges[[#This Row],[Vertex 1]],GroupVertices[Vertex],0)),1,1,"")</f>
        <v>ip in the Bud</v>
      </c>
      <c r="R280" s="78" t="str">
        <f>REPLACE(INDEX(GroupVertices[Group],MATCH(Edges[[#This Row],[Vertex 2]],GroupVertices[Vertex],0)),1,1,"")</f>
        <v>smosis from Elsevier</v>
      </c>
    </row>
    <row r="281" spans="1:18" ht="15">
      <c r="A281" s="64" t="s">
        <v>248</v>
      </c>
      <c r="B281" s="64" t="s">
        <v>247</v>
      </c>
      <c r="C281" s="65" t="s">
        <v>4443</v>
      </c>
      <c r="D281" s="66">
        <v>3</v>
      </c>
      <c r="E281" s="67"/>
      <c r="F281" s="68">
        <v>40</v>
      </c>
      <c r="G281" s="65"/>
      <c r="H281" s="69"/>
      <c r="I281" s="70"/>
      <c r="J281" s="70"/>
      <c r="K281" s="34" t="s">
        <v>65</v>
      </c>
      <c r="L281" s="77">
        <v>281</v>
      </c>
      <c r="M281" s="77"/>
      <c r="N281" s="72"/>
      <c r="O281" s="79" t="s">
        <v>610</v>
      </c>
      <c r="P281" s="79">
        <v>1</v>
      </c>
      <c r="Q281" s="78" t="str">
        <f>REPLACE(INDEX(GroupVertices[Group],MATCH(Edges[[#This Row],[Vertex 1]],GroupVertices[Vertex],0)),1,1,"")</f>
        <v>ip in the Bud</v>
      </c>
      <c r="R281" s="78" t="str">
        <f>REPLACE(INDEX(GroupVertices[Group],MATCH(Edges[[#This Row],[Vertex 2]],GroupVertices[Vertex],0)),1,1,"")</f>
        <v>ODAY</v>
      </c>
    </row>
    <row r="282" spans="1:18" ht="15">
      <c r="A282" s="64" t="s">
        <v>248</v>
      </c>
      <c r="B282" s="64" t="s">
        <v>367</v>
      </c>
      <c r="C282" s="65" t="s">
        <v>4443</v>
      </c>
      <c r="D282" s="66">
        <v>3</v>
      </c>
      <c r="E282" s="67"/>
      <c r="F282" s="68">
        <v>40</v>
      </c>
      <c r="G282" s="65"/>
      <c r="H282" s="69"/>
      <c r="I282" s="70"/>
      <c r="J282" s="70"/>
      <c r="K282" s="34" t="s">
        <v>65</v>
      </c>
      <c r="L282" s="77">
        <v>282</v>
      </c>
      <c r="M282" s="77"/>
      <c r="N282" s="72"/>
      <c r="O282" s="79" t="s">
        <v>610</v>
      </c>
      <c r="P282" s="79">
        <v>1</v>
      </c>
      <c r="Q282" s="78" t="str">
        <f>REPLACE(INDEX(GroupVertices[Group],MATCH(Edges[[#This Row],[Vertex 1]],GroupVertices[Vertex],0)),1,1,"")</f>
        <v>ip in the Bud</v>
      </c>
      <c r="R282" s="78" t="str">
        <f>REPLACE(INDEX(GroupVertices[Group],MATCH(Edges[[#This Row],[Vertex 2]],GroupVertices[Vertex],0)),1,1,"")</f>
        <v>ip in the Bud</v>
      </c>
    </row>
    <row r="283" spans="1:18" ht="15">
      <c r="A283" s="64" t="s">
        <v>248</v>
      </c>
      <c r="B283" s="64" t="s">
        <v>283</v>
      </c>
      <c r="C283" s="65" t="s">
        <v>4443</v>
      </c>
      <c r="D283" s="66">
        <v>3</v>
      </c>
      <c r="E283" s="67"/>
      <c r="F283" s="68">
        <v>40</v>
      </c>
      <c r="G283" s="65"/>
      <c r="H283" s="69"/>
      <c r="I283" s="70"/>
      <c r="J283" s="70"/>
      <c r="K283" s="34" t="s">
        <v>65</v>
      </c>
      <c r="L283" s="77">
        <v>283</v>
      </c>
      <c r="M283" s="77"/>
      <c r="N283" s="72"/>
      <c r="O283" s="79" t="s">
        <v>610</v>
      </c>
      <c r="P283" s="79">
        <v>1</v>
      </c>
      <c r="Q283" s="78" t="str">
        <f>REPLACE(INDEX(GroupVertices[Group],MATCH(Edges[[#This Row],[Vertex 1]],GroupVertices[Vertex],0)),1,1,"")</f>
        <v>ip in the Bud</v>
      </c>
      <c r="R283" s="78" t="str">
        <f>REPLACE(INDEX(GroupVertices[Group],MATCH(Edges[[#This Row],[Vertex 2]],GroupVertices[Vertex],0)),1,1,"")</f>
        <v>DDitude Magazine</v>
      </c>
    </row>
    <row r="284" spans="1:18" ht="15">
      <c r="A284" s="64" t="s">
        <v>248</v>
      </c>
      <c r="B284" s="64" t="s">
        <v>215</v>
      </c>
      <c r="C284" s="65" t="s">
        <v>4443</v>
      </c>
      <c r="D284" s="66">
        <v>3</v>
      </c>
      <c r="E284" s="67"/>
      <c r="F284" s="68">
        <v>40</v>
      </c>
      <c r="G284" s="65"/>
      <c r="H284" s="69"/>
      <c r="I284" s="70"/>
      <c r="J284" s="70"/>
      <c r="K284" s="34" t="s">
        <v>65</v>
      </c>
      <c r="L284" s="77">
        <v>284</v>
      </c>
      <c r="M284" s="77"/>
      <c r="N284" s="72"/>
      <c r="O284" s="79" t="s">
        <v>610</v>
      </c>
      <c r="P284" s="79">
        <v>1</v>
      </c>
      <c r="Q284" s="78" t="str">
        <f>REPLACE(INDEX(GroupVertices[Group],MATCH(Edges[[#This Row],[Vertex 1]],GroupVertices[Vertex],0)),1,1,"")</f>
        <v>ip in the Bud</v>
      </c>
      <c r="R284" s="78" t="str">
        <f>REPLACE(INDEX(GroupVertices[Group],MATCH(Edges[[#This Row],[Vertex 2]],GroupVertices[Vertex],0)),1,1,"")</f>
        <v>edical Centric</v>
      </c>
    </row>
    <row r="285" spans="1:18" ht="15">
      <c r="A285" s="64" t="s">
        <v>248</v>
      </c>
      <c r="B285" s="64" t="s">
        <v>244</v>
      </c>
      <c r="C285" s="65" t="s">
        <v>4443</v>
      </c>
      <c r="D285" s="66">
        <v>3</v>
      </c>
      <c r="E285" s="67"/>
      <c r="F285" s="68">
        <v>40</v>
      </c>
      <c r="G285" s="65"/>
      <c r="H285" s="69"/>
      <c r="I285" s="70"/>
      <c r="J285" s="70"/>
      <c r="K285" s="34" t="s">
        <v>65</v>
      </c>
      <c r="L285" s="77">
        <v>285</v>
      </c>
      <c r="M285" s="77"/>
      <c r="N285" s="72"/>
      <c r="O285" s="79" t="s">
        <v>610</v>
      </c>
      <c r="P285" s="79">
        <v>1</v>
      </c>
      <c r="Q285" s="78" t="str">
        <f>REPLACE(INDEX(GroupVertices[Group],MATCH(Edges[[#This Row],[Vertex 1]],GroupVertices[Vertex],0)),1,1,"")</f>
        <v>ip in the Bud</v>
      </c>
      <c r="R285" s="78" t="str">
        <f>REPLACE(INDEX(GroupVertices[Group],MATCH(Edges[[#This Row],[Vertex 2]],GroupVertices[Vertex],0)),1,1,"")</f>
        <v>ati Morton</v>
      </c>
    </row>
    <row r="286" spans="1:18" ht="15">
      <c r="A286" s="64" t="s">
        <v>248</v>
      </c>
      <c r="B286" s="64" t="s">
        <v>371</v>
      </c>
      <c r="C286" s="65" t="s">
        <v>4443</v>
      </c>
      <c r="D286" s="66">
        <v>3</v>
      </c>
      <c r="E286" s="67"/>
      <c r="F286" s="68">
        <v>40</v>
      </c>
      <c r="G286" s="65"/>
      <c r="H286" s="69"/>
      <c r="I286" s="70"/>
      <c r="J286" s="70"/>
      <c r="K286" s="34" t="s">
        <v>65</v>
      </c>
      <c r="L286" s="77">
        <v>286</v>
      </c>
      <c r="M286" s="77"/>
      <c r="N286" s="72"/>
      <c r="O286" s="79" t="s">
        <v>610</v>
      </c>
      <c r="P286" s="79">
        <v>1</v>
      </c>
      <c r="Q286" s="78" t="str">
        <f>REPLACE(INDEX(GroupVertices[Group],MATCH(Edges[[#This Row],[Vertex 1]],GroupVertices[Vertex],0)),1,1,"")</f>
        <v>ip in the Bud</v>
      </c>
      <c r="R286" s="78" t="str">
        <f>REPLACE(INDEX(GroupVertices[Group],MATCH(Edges[[#This Row],[Vertex 2]],GroupVertices[Vertex],0)),1,1,"")</f>
        <v>ip in the Bud</v>
      </c>
    </row>
    <row r="287" spans="1:18" ht="15">
      <c r="A287" s="64" t="s">
        <v>248</v>
      </c>
      <c r="B287" s="64" t="s">
        <v>608</v>
      </c>
      <c r="C287" s="65" t="s">
        <v>4443</v>
      </c>
      <c r="D287" s="66">
        <v>3</v>
      </c>
      <c r="E287" s="67"/>
      <c r="F287" s="68">
        <v>40</v>
      </c>
      <c r="G287" s="65"/>
      <c r="H287" s="69"/>
      <c r="I287" s="70"/>
      <c r="J287" s="70"/>
      <c r="K287" s="34" t="s">
        <v>65</v>
      </c>
      <c r="L287" s="77">
        <v>287</v>
      </c>
      <c r="M287" s="77"/>
      <c r="N287" s="72"/>
      <c r="O287" s="79" t="s">
        <v>610</v>
      </c>
      <c r="P287" s="79">
        <v>1</v>
      </c>
      <c r="Q287" s="78" t="str">
        <f>REPLACE(INDEX(GroupVertices[Group],MATCH(Edges[[#This Row],[Vertex 1]],GroupVertices[Vertex],0)),1,1,"")</f>
        <v>ip in the Bud</v>
      </c>
      <c r="R287" s="78" t="str">
        <f>REPLACE(INDEX(GroupVertices[Group],MATCH(Edges[[#This Row],[Vertex 2]],GroupVertices[Vertex],0)),1,1,"")</f>
        <v>ip in the Bud</v>
      </c>
    </row>
    <row r="288" spans="1:18" ht="15">
      <c r="A288" s="64" t="s">
        <v>248</v>
      </c>
      <c r="B288" s="64" t="s">
        <v>286</v>
      </c>
      <c r="C288" s="65" t="s">
        <v>4443</v>
      </c>
      <c r="D288" s="66">
        <v>3</v>
      </c>
      <c r="E288" s="67"/>
      <c r="F288" s="68">
        <v>40</v>
      </c>
      <c r="G288" s="65"/>
      <c r="H288" s="69"/>
      <c r="I288" s="70"/>
      <c r="J288" s="70"/>
      <c r="K288" s="34" t="s">
        <v>65</v>
      </c>
      <c r="L288" s="77">
        <v>288</v>
      </c>
      <c r="M288" s="77"/>
      <c r="N288" s="72"/>
      <c r="O288" s="79" t="s">
        <v>610</v>
      </c>
      <c r="P288" s="79">
        <v>1</v>
      </c>
      <c r="Q288" s="78" t="str">
        <f>REPLACE(INDEX(GroupVertices[Group],MATCH(Edges[[#This Row],[Vertex 1]],GroupVertices[Vertex],0)),1,1,"")</f>
        <v>ip in the Bud</v>
      </c>
      <c r="R288" s="78" t="str">
        <f>REPLACE(INDEX(GroupVertices[Group],MATCH(Edges[[#This Row],[Vertex 2]],GroupVertices[Vertex],0)),1,1,"")</f>
        <v>edCircle</v>
      </c>
    </row>
    <row r="289" spans="1:18" ht="15">
      <c r="A289" s="64" t="s">
        <v>248</v>
      </c>
      <c r="B289" s="64" t="s">
        <v>245</v>
      </c>
      <c r="C289" s="65" t="s">
        <v>4443</v>
      </c>
      <c r="D289" s="66">
        <v>3</v>
      </c>
      <c r="E289" s="67"/>
      <c r="F289" s="68">
        <v>40</v>
      </c>
      <c r="G289" s="65"/>
      <c r="H289" s="69"/>
      <c r="I289" s="70"/>
      <c r="J289" s="70"/>
      <c r="K289" s="34" t="s">
        <v>65</v>
      </c>
      <c r="L289" s="77">
        <v>289</v>
      </c>
      <c r="M289" s="77"/>
      <c r="N289" s="72"/>
      <c r="O289" s="79" t="s">
        <v>610</v>
      </c>
      <c r="P289" s="79">
        <v>1</v>
      </c>
      <c r="Q289" s="78" t="str">
        <f>REPLACE(INDEX(GroupVertices[Group],MATCH(Edges[[#This Row],[Vertex 1]],GroupVertices[Vertex],0)),1,1,"")</f>
        <v>ip in the Bud</v>
      </c>
      <c r="R289" s="78" t="str">
        <f>REPLACE(INDEX(GroupVertices[Group],MATCH(Edges[[#This Row],[Vertex 2]],GroupVertices[Vertex],0)),1,1,"")</f>
        <v>emystifying Medicine McMaster</v>
      </c>
    </row>
    <row r="290" spans="1:18" ht="15">
      <c r="A290" s="81" t="s">
        <v>248</v>
      </c>
      <c r="B290" s="81" t="s">
        <v>228</v>
      </c>
      <c r="C290" s="100" t="s">
        <v>4443</v>
      </c>
      <c r="D290" s="101">
        <v>3</v>
      </c>
      <c r="E290" s="116"/>
      <c r="F290" s="102">
        <v>40</v>
      </c>
      <c r="G290" s="100"/>
      <c r="H290" s="103"/>
      <c r="I290" s="104"/>
      <c r="J290" s="104"/>
      <c r="K290" s="34" t="s">
        <v>65</v>
      </c>
      <c r="L290" s="117">
        <v>290</v>
      </c>
      <c r="M290" s="117"/>
      <c r="N290" s="94"/>
      <c r="O290" s="111" t="s">
        <v>610</v>
      </c>
      <c r="P290" s="111">
        <v>1</v>
      </c>
      <c r="Q290" s="78" t="str">
        <f>REPLACE(INDEX(GroupVertices[Group],MATCH(Edges[[#This Row],[Vertex 1]],GroupVertices[Vertex],0)),1,1,"")</f>
        <v>ip in the Bud</v>
      </c>
      <c r="R290" s="78" t="str">
        <f>REPLACE(INDEX(GroupVertices[Group],MATCH(Edges[[#This Row],[Vertex 2]],GroupVertices[Vertex],0)),1,1,"")</f>
        <v>ip in the Bud</v>
      </c>
    </row>
    <row r="291" spans="1:18" ht="15">
      <c r="A291" s="64" t="s">
        <v>244</v>
      </c>
      <c r="B291" s="64" t="s">
        <v>2479</v>
      </c>
      <c r="C291" s="65" t="s">
        <v>4443</v>
      </c>
      <c r="D291" s="66">
        <v>3</v>
      </c>
      <c r="E291" s="67"/>
      <c r="F291" s="68">
        <v>40</v>
      </c>
      <c r="G291" s="65"/>
      <c r="H291" s="69"/>
      <c r="I291" s="70"/>
      <c r="J291" s="70"/>
      <c r="K291" s="34" t="s">
        <v>65</v>
      </c>
      <c r="L291" s="77">
        <v>291</v>
      </c>
      <c r="M291" s="77"/>
      <c r="N291" s="72"/>
      <c r="O291" s="79" t="s">
        <v>610</v>
      </c>
      <c r="P291" s="79">
        <v>1</v>
      </c>
      <c r="Q291" s="78" t="str">
        <f>REPLACE(INDEX(GroupVertices[Group],MATCH(Edges[[#This Row],[Vertex 1]],GroupVertices[Vertex],0)),1,1,"")</f>
        <v>ati Morton</v>
      </c>
      <c r="R291" s="78" t="str">
        <f>REPLACE(INDEX(GroupVertices[Group],MATCH(Edges[[#This Row],[Vertex 2]],GroupVertices[Vertex],0)),1,1,"")</f>
        <v>icole Kirk</v>
      </c>
    </row>
    <row r="292" spans="1:18" ht="15">
      <c r="A292" s="64" t="s">
        <v>244</v>
      </c>
      <c r="B292" s="64" t="s">
        <v>2480</v>
      </c>
      <c r="C292" s="65" t="s">
        <v>4443</v>
      </c>
      <c r="D292" s="66">
        <v>3</v>
      </c>
      <c r="E292" s="67"/>
      <c r="F292" s="68">
        <v>40</v>
      </c>
      <c r="G292" s="65"/>
      <c r="H292" s="69"/>
      <c r="I292" s="70"/>
      <c r="J292" s="70"/>
      <c r="K292" s="34" t="s">
        <v>65</v>
      </c>
      <c r="L292" s="77">
        <v>292</v>
      </c>
      <c r="M292" s="77"/>
      <c r="N292" s="72"/>
      <c r="O292" s="79" t="s">
        <v>610</v>
      </c>
      <c r="P292" s="79">
        <v>1</v>
      </c>
      <c r="Q292" s="78" t="str">
        <f>REPLACE(INDEX(GroupVertices[Group],MATCH(Edges[[#This Row],[Vertex 1]],GroupVertices[Vertex],0)),1,1,"")</f>
        <v>ati Morton</v>
      </c>
      <c r="R292" s="78" t="str">
        <f>REPLACE(INDEX(GroupVertices[Group],MATCH(Edges[[#This Row],[Vertex 2]],GroupVertices[Vertex],0)),1,1,"")</f>
        <v>aison Vie New Orleans Therapy and Counseling</v>
      </c>
    </row>
    <row r="293" spans="1:18" ht="15">
      <c r="A293" s="64" t="s">
        <v>244</v>
      </c>
      <c r="B293" s="64" t="s">
        <v>2481</v>
      </c>
      <c r="C293" s="65" t="s">
        <v>4443</v>
      </c>
      <c r="D293" s="66">
        <v>3</v>
      </c>
      <c r="E293" s="67"/>
      <c r="F293" s="68">
        <v>40</v>
      </c>
      <c r="G293" s="65"/>
      <c r="H293" s="69"/>
      <c r="I293" s="70"/>
      <c r="J293" s="70"/>
      <c r="K293" s="34" t="s">
        <v>65</v>
      </c>
      <c r="L293" s="77">
        <v>293</v>
      </c>
      <c r="M293" s="77"/>
      <c r="N293" s="72"/>
      <c r="O293" s="79" t="s">
        <v>610</v>
      </c>
      <c r="P293" s="79">
        <v>1</v>
      </c>
      <c r="Q293" s="78" t="str">
        <f>REPLACE(INDEX(GroupVertices[Group],MATCH(Edges[[#This Row],[Vertex 1]],GroupVertices[Vertex],0)),1,1,"")</f>
        <v>ati Morton</v>
      </c>
      <c r="R293" s="78" t="str">
        <f>REPLACE(INDEX(GroupVertices[Group],MATCH(Edges[[#This Row],[Vertex 2]],GroupVertices[Vertex],0)),1,1,"")</f>
        <v>ao Zambrano</v>
      </c>
    </row>
    <row r="294" spans="1:18" ht="15">
      <c r="A294" s="64" t="s">
        <v>244</v>
      </c>
      <c r="B294" s="64" t="s">
        <v>2482</v>
      </c>
      <c r="C294" s="65" t="s">
        <v>4443</v>
      </c>
      <c r="D294" s="66">
        <v>3</v>
      </c>
      <c r="E294" s="67"/>
      <c r="F294" s="68">
        <v>40</v>
      </c>
      <c r="G294" s="65"/>
      <c r="H294" s="69"/>
      <c r="I294" s="70"/>
      <c r="J294" s="70"/>
      <c r="K294" s="34" t="s">
        <v>65</v>
      </c>
      <c r="L294" s="77">
        <v>294</v>
      </c>
      <c r="M294" s="77"/>
      <c r="N294" s="72"/>
      <c r="O294" s="79" t="s">
        <v>610</v>
      </c>
      <c r="P294" s="79">
        <v>1</v>
      </c>
      <c r="Q294" s="78" t="str">
        <f>REPLACE(INDEX(GroupVertices[Group],MATCH(Edges[[#This Row],[Vertex 1]],GroupVertices[Vertex],0)),1,1,"")</f>
        <v>ati Morton</v>
      </c>
      <c r="R294" s="78" t="str">
        <f>REPLACE(INDEX(GroupVertices[Group],MATCH(Edges[[#This Row],[Vertex 2]],GroupVertices[Vertex],0)),1,1,"")</f>
        <v>abriella Milgrom_Home Design + Building Expert</v>
      </c>
    </row>
    <row r="295" spans="1:18" ht="15">
      <c r="A295" s="64" t="s">
        <v>244</v>
      </c>
      <c r="B295" s="64" t="s">
        <v>2483</v>
      </c>
      <c r="C295" s="65" t="s">
        <v>4443</v>
      </c>
      <c r="D295" s="66">
        <v>3</v>
      </c>
      <c r="E295" s="67"/>
      <c r="F295" s="68">
        <v>40</v>
      </c>
      <c r="G295" s="65"/>
      <c r="H295" s="69"/>
      <c r="I295" s="70"/>
      <c r="J295" s="70"/>
      <c r="K295" s="34" t="s">
        <v>65</v>
      </c>
      <c r="L295" s="77">
        <v>295</v>
      </c>
      <c r="M295" s="77"/>
      <c r="N295" s="72"/>
      <c r="O295" s="79" t="s">
        <v>610</v>
      </c>
      <c r="P295" s="79">
        <v>1</v>
      </c>
      <c r="Q295" s="78" t="str">
        <f>REPLACE(INDEX(GroupVertices[Group],MATCH(Edges[[#This Row],[Vertex 1]],GroupVertices[Vertex],0)),1,1,"")</f>
        <v>ati Morton</v>
      </c>
      <c r="R295" s="78" t="str">
        <f>REPLACE(INDEX(GroupVertices[Group],MATCH(Edges[[#This Row],[Vertex 2]],GroupVertices[Vertex],0)),1,1,"")</f>
        <v>ikki Butler</v>
      </c>
    </row>
    <row r="296" spans="1:18" ht="15">
      <c r="A296" s="64" t="s">
        <v>244</v>
      </c>
      <c r="B296" s="64" t="s">
        <v>2484</v>
      </c>
      <c r="C296" s="65" t="s">
        <v>4443</v>
      </c>
      <c r="D296" s="66">
        <v>3</v>
      </c>
      <c r="E296" s="67"/>
      <c r="F296" s="68">
        <v>40</v>
      </c>
      <c r="G296" s="65"/>
      <c r="H296" s="69"/>
      <c r="I296" s="70"/>
      <c r="J296" s="70"/>
      <c r="K296" s="34" t="s">
        <v>65</v>
      </c>
      <c r="L296" s="77">
        <v>296</v>
      </c>
      <c r="M296" s="77"/>
      <c r="N296" s="72"/>
      <c r="O296" s="79" t="s">
        <v>610</v>
      </c>
      <c r="P296" s="79">
        <v>1</v>
      </c>
      <c r="Q296" s="78" t="str">
        <f>REPLACE(INDEX(GroupVertices[Group],MATCH(Edges[[#This Row],[Vertex 1]],GroupVertices[Vertex],0)),1,1,"")</f>
        <v>ati Morton</v>
      </c>
      <c r="R296" s="78" t="str">
        <f>REPLACE(INDEX(GroupVertices[Group],MATCH(Edges[[#This Row],[Vertex 2]],GroupVertices[Vertex],0)),1,1,"")</f>
        <v>lgha Onoshchenko Nutrition</v>
      </c>
    </row>
    <row r="297" spans="1:18" ht="15">
      <c r="A297" s="64" t="s">
        <v>244</v>
      </c>
      <c r="B297" s="64" t="s">
        <v>2485</v>
      </c>
      <c r="C297" s="65" t="s">
        <v>4443</v>
      </c>
      <c r="D297" s="66">
        <v>3</v>
      </c>
      <c r="E297" s="67"/>
      <c r="F297" s="68">
        <v>40</v>
      </c>
      <c r="G297" s="65"/>
      <c r="H297" s="69"/>
      <c r="I297" s="70"/>
      <c r="J297" s="70"/>
      <c r="K297" s="34" t="s">
        <v>65</v>
      </c>
      <c r="L297" s="77">
        <v>297</v>
      </c>
      <c r="M297" s="77"/>
      <c r="N297" s="72"/>
      <c r="O297" s="79" t="s">
        <v>610</v>
      </c>
      <c r="P297" s="79">
        <v>1</v>
      </c>
      <c r="Q297" s="78" t="str">
        <f>REPLACE(INDEX(GroupVertices[Group],MATCH(Edges[[#This Row],[Vertex 1]],GroupVertices[Vertex],0)),1,1,"")</f>
        <v>ati Morton</v>
      </c>
      <c r="R297" s="78" t="str">
        <f>REPLACE(INDEX(GroupVertices[Group],MATCH(Edges[[#This Row],[Vertex 2]],GroupVertices[Vertex],0)),1,1,"")</f>
        <v>he Sly Strategist</v>
      </c>
    </row>
    <row r="298" spans="1:18" ht="15">
      <c r="A298" s="64" t="s">
        <v>244</v>
      </c>
      <c r="B298" s="64" t="s">
        <v>2458</v>
      </c>
      <c r="C298" s="65" t="s">
        <v>4443</v>
      </c>
      <c r="D298" s="66">
        <v>3</v>
      </c>
      <c r="E298" s="67"/>
      <c r="F298" s="68">
        <v>40</v>
      </c>
      <c r="G298" s="65"/>
      <c r="H298" s="69"/>
      <c r="I298" s="70"/>
      <c r="J298" s="70"/>
      <c r="K298" s="34" t="s">
        <v>65</v>
      </c>
      <c r="L298" s="77">
        <v>298</v>
      </c>
      <c r="M298" s="77"/>
      <c r="N298" s="72"/>
      <c r="O298" s="79" t="s">
        <v>610</v>
      </c>
      <c r="P298" s="79">
        <v>1</v>
      </c>
      <c r="Q298" s="78" t="str">
        <f>REPLACE(INDEX(GroupVertices[Group],MATCH(Edges[[#This Row],[Vertex 1]],GroupVertices[Vertex],0)),1,1,"")</f>
        <v>ati Morton</v>
      </c>
      <c r="R298" s="78" t="str">
        <f>REPLACE(INDEX(GroupVertices[Group],MATCH(Edges[[#This Row],[Vertex 2]],GroupVertices[Vertex],0)),1,1,"")</f>
        <v>lex Kladny</v>
      </c>
    </row>
    <row r="299" spans="1:18" ht="15">
      <c r="A299" s="64" t="s">
        <v>244</v>
      </c>
      <c r="B299" s="64" t="s">
        <v>2486</v>
      </c>
      <c r="C299" s="65" t="s">
        <v>4443</v>
      </c>
      <c r="D299" s="66">
        <v>3</v>
      </c>
      <c r="E299" s="67"/>
      <c r="F299" s="68">
        <v>40</v>
      </c>
      <c r="G299" s="65"/>
      <c r="H299" s="69"/>
      <c r="I299" s="70"/>
      <c r="J299" s="70"/>
      <c r="K299" s="34" t="s">
        <v>65</v>
      </c>
      <c r="L299" s="77">
        <v>299</v>
      </c>
      <c r="M299" s="77"/>
      <c r="N299" s="72"/>
      <c r="O299" s="79" t="s">
        <v>610</v>
      </c>
      <c r="P299" s="79">
        <v>1</v>
      </c>
      <c r="Q299" s="78" t="str">
        <f>REPLACE(INDEX(GroupVertices[Group],MATCH(Edges[[#This Row],[Vertex 1]],GroupVertices[Vertex],0)),1,1,"")</f>
        <v>ati Morton</v>
      </c>
      <c r="R299" s="78" t="str">
        <f>REPLACE(INDEX(GroupVertices[Group],MATCH(Edges[[#This Row],[Vertex 2]],GroupVertices[Vertex],0)),1,1,"")</f>
        <v>mily Journey</v>
      </c>
    </row>
    <row r="300" spans="1:18" ht="15">
      <c r="A300" s="64" t="s">
        <v>244</v>
      </c>
      <c r="B300" s="64" t="s">
        <v>2487</v>
      </c>
      <c r="C300" s="65" t="s">
        <v>4443</v>
      </c>
      <c r="D300" s="66">
        <v>3</v>
      </c>
      <c r="E300" s="67"/>
      <c r="F300" s="68">
        <v>40</v>
      </c>
      <c r="G300" s="65"/>
      <c r="H300" s="69"/>
      <c r="I300" s="70"/>
      <c r="J300" s="70"/>
      <c r="K300" s="34" t="s">
        <v>65</v>
      </c>
      <c r="L300" s="77">
        <v>300</v>
      </c>
      <c r="M300" s="77"/>
      <c r="N300" s="72"/>
      <c r="O300" s="79" t="s">
        <v>610</v>
      </c>
      <c r="P300" s="79">
        <v>1</v>
      </c>
      <c r="Q300" s="78" t="str">
        <f>REPLACE(INDEX(GroupVertices[Group],MATCH(Edges[[#This Row],[Vertex 1]],GroupVertices[Vertex],0)),1,1,"")</f>
        <v>ati Morton</v>
      </c>
      <c r="R300" s="78" t="str">
        <f>REPLACE(INDEX(GroupVertices[Group],MATCH(Edges[[#This Row],[Vertex 2]],GroupVertices[Vertex],0)),1,1,"")</f>
        <v>ockstar Experience</v>
      </c>
    </row>
    <row r="301" spans="1:18" ht="15">
      <c r="A301" s="64" t="s">
        <v>244</v>
      </c>
      <c r="B301" s="64" t="s">
        <v>2488</v>
      </c>
      <c r="C301" s="65" t="s">
        <v>4443</v>
      </c>
      <c r="D301" s="66">
        <v>3</v>
      </c>
      <c r="E301" s="67"/>
      <c r="F301" s="68">
        <v>40</v>
      </c>
      <c r="G301" s="65"/>
      <c r="H301" s="69"/>
      <c r="I301" s="70"/>
      <c r="J301" s="70"/>
      <c r="K301" s="34" t="s">
        <v>65</v>
      </c>
      <c r="L301" s="77">
        <v>301</v>
      </c>
      <c r="M301" s="77"/>
      <c r="N301" s="72"/>
      <c r="O301" s="79" t="s">
        <v>610</v>
      </c>
      <c r="P301" s="79">
        <v>1</v>
      </c>
      <c r="Q301" s="78" t="str">
        <f>REPLACE(INDEX(GroupVertices[Group],MATCH(Edges[[#This Row],[Vertex 1]],GroupVertices[Vertex],0)),1,1,"")</f>
        <v>ati Morton</v>
      </c>
      <c r="R301" s="78" t="str">
        <f>REPLACE(INDEX(GroupVertices[Group],MATCH(Edges[[#This Row],[Vertex 2]],GroupVertices[Vertex],0)),1,1,"")</f>
        <v>IFTtherapy</v>
      </c>
    </row>
    <row r="302" spans="1:18" ht="15">
      <c r="A302" s="64" t="s">
        <v>244</v>
      </c>
      <c r="B302" s="64" t="s">
        <v>2489</v>
      </c>
      <c r="C302" s="65" t="s">
        <v>4443</v>
      </c>
      <c r="D302" s="66">
        <v>3</v>
      </c>
      <c r="E302" s="67"/>
      <c r="F302" s="68">
        <v>40</v>
      </c>
      <c r="G302" s="65"/>
      <c r="H302" s="69"/>
      <c r="I302" s="70"/>
      <c r="J302" s="70"/>
      <c r="K302" s="34" t="s">
        <v>65</v>
      </c>
      <c r="L302" s="77">
        <v>302</v>
      </c>
      <c r="M302" s="77"/>
      <c r="N302" s="72"/>
      <c r="O302" s="79" t="s">
        <v>610</v>
      </c>
      <c r="P302" s="79">
        <v>1</v>
      </c>
      <c r="Q302" s="78" t="str">
        <f>REPLACE(INDEX(GroupVertices[Group],MATCH(Edges[[#This Row],[Vertex 1]],GroupVertices[Vertex],0)),1,1,"")</f>
        <v>ati Morton</v>
      </c>
      <c r="R302" s="78" t="str">
        <f>REPLACE(INDEX(GroupVertices[Group],MATCH(Edges[[#This Row],[Vertex 2]],GroupVertices[Vertex],0)),1,1,"")</f>
        <v>icePsychology</v>
      </c>
    </row>
    <row r="303" spans="1:18" ht="15">
      <c r="A303" s="64" t="s">
        <v>244</v>
      </c>
      <c r="B303" s="64" t="s">
        <v>2490</v>
      </c>
      <c r="C303" s="65" t="s">
        <v>4443</v>
      </c>
      <c r="D303" s="66">
        <v>3</v>
      </c>
      <c r="E303" s="67"/>
      <c r="F303" s="68">
        <v>40</v>
      </c>
      <c r="G303" s="65"/>
      <c r="H303" s="69"/>
      <c r="I303" s="70"/>
      <c r="J303" s="70"/>
      <c r="K303" s="34" t="s">
        <v>65</v>
      </c>
      <c r="L303" s="77">
        <v>303</v>
      </c>
      <c r="M303" s="77"/>
      <c r="N303" s="72"/>
      <c r="O303" s="79" t="s">
        <v>610</v>
      </c>
      <c r="P303" s="79">
        <v>1</v>
      </c>
      <c r="Q303" s="78" t="str">
        <f>REPLACE(INDEX(GroupVertices[Group],MATCH(Edges[[#This Row],[Vertex 1]],GroupVertices[Vertex],0)),1,1,"")</f>
        <v>ati Morton</v>
      </c>
      <c r="R303" s="78" t="str">
        <f>REPLACE(INDEX(GroupVertices[Group],MATCH(Edges[[#This Row],[Vertex 2]],GroupVertices[Vertex],0)),1,1,"")</f>
        <v>ifting Out of the Lows</v>
      </c>
    </row>
    <row r="304" spans="1:18" ht="15">
      <c r="A304" s="64" t="s">
        <v>244</v>
      </c>
      <c r="B304" s="64" t="s">
        <v>2491</v>
      </c>
      <c r="C304" s="65" t="s">
        <v>4443</v>
      </c>
      <c r="D304" s="66">
        <v>3</v>
      </c>
      <c r="E304" s="67"/>
      <c r="F304" s="68">
        <v>40</v>
      </c>
      <c r="G304" s="65"/>
      <c r="H304" s="69"/>
      <c r="I304" s="70"/>
      <c r="J304" s="70"/>
      <c r="K304" s="34" t="s">
        <v>65</v>
      </c>
      <c r="L304" s="77">
        <v>304</v>
      </c>
      <c r="M304" s="77"/>
      <c r="N304" s="72"/>
      <c r="O304" s="79" t="s">
        <v>610</v>
      </c>
      <c r="P304" s="79">
        <v>1</v>
      </c>
      <c r="Q304" s="78" t="str">
        <f>REPLACE(INDEX(GroupVertices[Group],MATCH(Edges[[#This Row],[Vertex 1]],GroupVertices[Vertex],0)),1,1,"")</f>
        <v>ati Morton</v>
      </c>
      <c r="R304" s="78" t="str">
        <f>REPLACE(INDEX(GroupVertices[Group],MATCH(Edges[[#This Row],[Vertex 2]],GroupVertices[Vertex],0)),1,1,"")</f>
        <v>he Primary Health Network</v>
      </c>
    </row>
    <row r="305" spans="1:18" ht="15">
      <c r="A305" s="64" t="s">
        <v>244</v>
      </c>
      <c r="B305" s="64" t="s">
        <v>2492</v>
      </c>
      <c r="C305" s="65" t="s">
        <v>4443</v>
      </c>
      <c r="D305" s="66">
        <v>3</v>
      </c>
      <c r="E305" s="67"/>
      <c r="F305" s="68">
        <v>40</v>
      </c>
      <c r="G305" s="65"/>
      <c r="H305" s="69"/>
      <c r="I305" s="70"/>
      <c r="J305" s="70"/>
      <c r="K305" s="34" t="s">
        <v>65</v>
      </c>
      <c r="L305" s="77">
        <v>305</v>
      </c>
      <c r="M305" s="77"/>
      <c r="N305" s="72"/>
      <c r="O305" s="79" t="s">
        <v>610</v>
      </c>
      <c r="P305" s="79">
        <v>1</v>
      </c>
      <c r="Q305" s="78" t="str">
        <f>REPLACE(INDEX(GroupVertices[Group],MATCH(Edges[[#This Row],[Vertex 1]],GroupVertices[Vertex],0)),1,1,"")</f>
        <v>ati Morton</v>
      </c>
      <c r="R305" s="78" t="str">
        <f>REPLACE(INDEX(GroupVertices[Group],MATCH(Edges[[#This Row],[Vertex 2]],GroupVertices[Vertex],0)),1,1,"")</f>
        <v>acific Integrative Psychiatry</v>
      </c>
    </row>
    <row r="306" spans="1:18" ht="15">
      <c r="A306" s="64" t="s">
        <v>244</v>
      </c>
      <c r="B306" s="64" t="s">
        <v>2493</v>
      </c>
      <c r="C306" s="65" t="s">
        <v>4443</v>
      </c>
      <c r="D306" s="66">
        <v>3</v>
      </c>
      <c r="E306" s="67"/>
      <c r="F306" s="68">
        <v>40</v>
      </c>
      <c r="G306" s="65"/>
      <c r="H306" s="69"/>
      <c r="I306" s="70"/>
      <c r="J306" s="70"/>
      <c r="K306" s="34" t="s">
        <v>65</v>
      </c>
      <c r="L306" s="77">
        <v>306</v>
      </c>
      <c r="M306" s="77"/>
      <c r="N306" s="72"/>
      <c r="O306" s="79" t="s">
        <v>610</v>
      </c>
      <c r="P306" s="79">
        <v>1</v>
      </c>
      <c r="Q306" s="78" t="str">
        <f>REPLACE(INDEX(GroupVertices[Group],MATCH(Edges[[#This Row],[Vertex 1]],GroupVertices[Vertex],0)),1,1,"")</f>
        <v>ati Morton</v>
      </c>
      <c r="R306" s="78" t="str">
        <f>REPLACE(INDEX(GroupVertices[Group],MATCH(Edges[[#This Row],[Vertex 2]],GroupVertices[Vertex],0)),1,1,"")</f>
        <v>pplied Care Services</v>
      </c>
    </row>
    <row r="307" spans="1:18" ht="15">
      <c r="A307" s="64" t="s">
        <v>244</v>
      </c>
      <c r="B307" s="64" t="s">
        <v>2494</v>
      </c>
      <c r="C307" s="65" t="s">
        <v>4443</v>
      </c>
      <c r="D307" s="66">
        <v>3</v>
      </c>
      <c r="E307" s="67"/>
      <c r="F307" s="68">
        <v>40</v>
      </c>
      <c r="G307" s="65"/>
      <c r="H307" s="69"/>
      <c r="I307" s="70"/>
      <c r="J307" s="70"/>
      <c r="K307" s="34" t="s">
        <v>65</v>
      </c>
      <c r="L307" s="77">
        <v>307</v>
      </c>
      <c r="M307" s="77"/>
      <c r="N307" s="72"/>
      <c r="O307" s="79" t="s">
        <v>610</v>
      </c>
      <c r="P307" s="79">
        <v>1</v>
      </c>
      <c r="Q307" s="78" t="str">
        <f>REPLACE(INDEX(GroupVertices[Group],MATCH(Edges[[#This Row],[Vertex 1]],GroupVertices[Vertex],0)),1,1,"")</f>
        <v>ati Morton</v>
      </c>
      <c r="R307" s="78" t="str">
        <f>REPLACE(INDEX(GroupVertices[Group],MATCH(Edges[[#This Row],[Vertex 2]],GroupVertices[Vertex],0)),1,1,"")</f>
        <v>ull Spectrum ABA</v>
      </c>
    </row>
    <row r="308" spans="1:18" ht="15">
      <c r="A308" s="64" t="s">
        <v>244</v>
      </c>
      <c r="B308" s="64" t="s">
        <v>2495</v>
      </c>
      <c r="C308" s="65" t="s">
        <v>4443</v>
      </c>
      <c r="D308" s="66">
        <v>3</v>
      </c>
      <c r="E308" s="67"/>
      <c r="F308" s="68">
        <v>40</v>
      </c>
      <c r="G308" s="65"/>
      <c r="H308" s="69"/>
      <c r="I308" s="70"/>
      <c r="J308" s="70"/>
      <c r="K308" s="34" t="s">
        <v>65</v>
      </c>
      <c r="L308" s="77">
        <v>308</v>
      </c>
      <c r="M308" s="77"/>
      <c r="N308" s="72"/>
      <c r="O308" s="79" t="s">
        <v>610</v>
      </c>
      <c r="P308" s="79">
        <v>1</v>
      </c>
      <c r="Q308" s="78" t="str">
        <f>REPLACE(INDEX(GroupVertices[Group],MATCH(Edges[[#This Row],[Vertex 1]],GroupVertices[Vertex],0)),1,1,"")</f>
        <v>ati Morton</v>
      </c>
      <c r="R308" s="78" t="str">
        <f>REPLACE(INDEX(GroupVertices[Group],MATCH(Edges[[#This Row],[Vertex 2]],GroupVertices[Vertex],0)),1,1,"")</f>
        <v>onference on Crimes Against Women</v>
      </c>
    </row>
    <row r="309" spans="1:18" ht="15">
      <c r="A309" s="64" t="s">
        <v>244</v>
      </c>
      <c r="B309" s="64" t="s">
        <v>2496</v>
      </c>
      <c r="C309" s="65" t="s">
        <v>4443</v>
      </c>
      <c r="D309" s="66">
        <v>3</v>
      </c>
      <c r="E309" s="67"/>
      <c r="F309" s="68">
        <v>40</v>
      </c>
      <c r="G309" s="65"/>
      <c r="H309" s="69"/>
      <c r="I309" s="70"/>
      <c r="J309" s="70"/>
      <c r="K309" s="34" t="s">
        <v>65</v>
      </c>
      <c r="L309" s="77">
        <v>309</v>
      </c>
      <c r="M309" s="77"/>
      <c r="N309" s="72"/>
      <c r="O309" s="79" t="s">
        <v>610</v>
      </c>
      <c r="P309" s="79">
        <v>1</v>
      </c>
      <c r="Q309" s="78" t="str">
        <f>REPLACE(INDEX(GroupVertices[Group],MATCH(Edges[[#This Row],[Vertex 1]],GroupVertices[Vertex],0)),1,1,"")</f>
        <v>ati Morton</v>
      </c>
      <c r="R309" s="78" t="str">
        <f>REPLACE(INDEX(GroupVertices[Group],MATCH(Edges[[#This Row],[Vertex 2]],GroupVertices[Vertex],0)),1,1,"")</f>
        <v>ultiplicityAndMe</v>
      </c>
    </row>
    <row r="310" spans="1:18" ht="15">
      <c r="A310" s="64" t="s">
        <v>244</v>
      </c>
      <c r="B310" s="64" t="s">
        <v>2497</v>
      </c>
      <c r="C310" s="65" t="s">
        <v>4443</v>
      </c>
      <c r="D310" s="66">
        <v>3</v>
      </c>
      <c r="E310" s="67"/>
      <c r="F310" s="68">
        <v>40</v>
      </c>
      <c r="G310" s="65"/>
      <c r="H310" s="69"/>
      <c r="I310" s="70"/>
      <c r="J310" s="70"/>
      <c r="K310" s="34" t="s">
        <v>65</v>
      </c>
      <c r="L310" s="77">
        <v>310</v>
      </c>
      <c r="M310" s="77"/>
      <c r="N310" s="72"/>
      <c r="O310" s="79" t="s">
        <v>610</v>
      </c>
      <c r="P310" s="79">
        <v>1</v>
      </c>
      <c r="Q310" s="78" t="str">
        <f>REPLACE(INDEX(GroupVertices[Group],MATCH(Edges[[#This Row],[Vertex 1]],GroupVertices[Vertex],0)),1,1,"")</f>
        <v>ati Morton</v>
      </c>
      <c r="R310" s="78" t="str">
        <f>REPLACE(INDEX(GroupVertices[Group],MATCH(Edges[[#This Row],[Vertex 2]],GroupVertices[Vertex],0)),1,1,"")</f>
        <v>obert Leahy</v>
      </c>
    </row>
    <row r="311" spans="1:18" ht="15">
      <c r="A311" s="64" t="s">
        <v>244</v>
      </c>
      <c r="B311" s="64" t="s">
        <v>2498</v>
      </c>
      <c r="C311" s="65" t="s">
        <v>4443</v>
      </c>
      <c r="D311" s="66">
        <v>3</v>
      </c>
      <c r="E311" s="67"/>
      <c r="F311" s="68">
        <v>40</v>
      </c>
      <c r="G311" s="65"/>
      <c r="H311" s="69"/>
      <c r="I311" s="70"/>
      <c r="J311" s="70"/>
      <c r="K311" s="34" t="s">
        <v>65</v>
      </c>
      <c r="L311" s="77">
        <v>311</v>
      </c>
      <c r="M311" s="77"/>
      <c r="N311" s="72"/>
      <c r="O311" s="79" t="s">
        <v>610</v>
      </c>
      <c r="P311" s="79">
        <v>1</v>
      </c>
      <c r="Q311" s="78" t="str">
        <f>REPLACE(INDEX(GroupVertices[Group],MATCH(Edges[[#This Row],[Vertex 1]],GroupVertices[Vertex],0)),1,1,"")</f>
        <v>ati Morton</v>
      </c>
      <c r="R311" s="78" t="str">
        <f>REPLACE(INDEX(GroupVertices[Group],MATCH(Edges[[#This Row],[Vertex 2]],GroupVertices[Vertex],0)),1,1,"")</f>
        <v>ati Morton</v>
      </c>
    </row>
    <row r="312" spans="1:18" ht="15">
      <c r="A312" s="64" t="s">
        <v>244</v>
      </c>
      <c r="B312" s="64" t="s">
        <v>2457</v>
      </c>
      <c r="C312" s="65" t="s">
        <v>4443</v>
      </c>
      <c r="D312" s="66">
        <v>3</v>
      </c>
      <c r="E312" s="67"/>
      <c r="F312" s="68">
        <v>40</v>
      </c>
      <c r="G312" s="65"/>
      <c r="H312" s="69"/>
      <c r="I312" s="70"/>
      <c r="J312" s="70"/>
      <c r="K312" s="34" t="s">
        <v>65</v>
      </c>
      <c r="L312" s="77">
        <v>312</v>
      </c>
      <c r="M312" s="77"/>
      <c r="N312" s="72"/>
      <c r="O312" s="79" t="s">
        <v>610</v>
      </c>
      <c r="P312" s="79">
        <v>1</v>
      </c>
      <c r="Q312" s="78" t="str">
        <f>REPLACE(INDEX(GroupVertices[Group],MATCH(Edges[[#This Row],[Vertex 1]],GroupVertices[Vertex],0)),1,1,"")</f>
        <v>ati Morton</v>
      </c>
      <c r="R312" s="78" t="str">
        <f>REPLACE(INDEX(GroupVertices[Group],MATCH(Edges[[#This Row],[Vertex 2]],GroupVertices[Vertex],0)),1,1,"")</f>
        <v>ational Autistic Society</v>
      </c>
    </row>
    <row r="313" spans="1:18" ht="15">
      <c r="A313" s="64" t="s">
        <v>244</v>
      </c>
      <c r="B313" s="64" t="s">
        <v>2421</v>
      </c>
      <c r="C313" s="65" t="s">
        <v>4443</v>
      </c>
      <c r="D313" s="66">
        <v>3</v>
      </c>
      <c r="E313" s="67"/>
      <c r="F313" s="68">
        <v>40</v>
      </c>
      <c r="G313" s="65"/>
      <c r="H313" s="69"/>
      <c r="I313" s="70"/>
      <c r="J313" s="70"/>
      <c r="K313" s="34" t="s">
        <v>65</v>
      </c>
      <c r="L313" s="77">
        <v>313</v>
      </c>
      <c r="M313" s="77"/>
      <c r="N313" s="72"/>
      <c r="O313" s="79" t="s">
        <v>610</v>
      </c>
      <c r="P313" s="79">
        <v>1</v>
      </c>
      <c r="Q313" s="78" t="str">
        <f>REPLACE(INDEX(GroupVertices[Group],MATCH(Edges[[#This Row],[Vertex 1]],GroupVertices[Vertex],0)),1,1,"")</f>
        <v>ati Morton</v>
      </c>
      <c r="R313" s="78" t="str">
        <f>REPLACE(INDEX(GroupVertices[Group],MATCH(Edges[[#This Row],[Vertex 2]],GroupVertices[Vertex],0)),1,1,"")</f>
        <v>ow to ADHD</v>
      </c>
    </row>
    <row r="314" spans="1:18" ht="15">
      <c r="A314" s="64" t="s">
        <v>244</v>
      </c>
      <c r="B314" s="64" t="s">
        <v>2499</v>
      </c>
      <c r="C314" s="65" t="s">
        <v>4443</v>
      </c>
      <c r="D314" s="66">
        <v>3</v>
      </c>
      <c r="E314" s="67"/>
      <c r="F314" s="68">
        <v>40</v>
      </c>
      <c r="G314" s="65"/>
      <c r="H314" s="69"/>
      <c r="I314" s="70"/>
      <c r="J314" s="70"/>
      <c r="K314" s="34" t="s">
        <v>65</v>
      </c>
      <c r="L314" s="77">
        <v>314</v>
      </c>
      <c r="M314" s="77"/>
      <c r="N314" s="72"/>
      <c r="O314" s="79" t="s">
        <v>610</v>
      </c>
      <c r="P314" s="79">
        <v>1</v>
      </c>
      <c r="Q314" s="78" t="str">
        <f>REPLACE(INDEX(GroupVertices[Group],MATCH(Edges[[#This Row],[Vertex 1]],GroupVertices[Vertex],0)),1,1,"")</f>
        <v>ati Morton</v>
      </c>
      <c r="R314" s="78" t="str">
        <f>REPLACE(INDEX(GroupVertices[Group],MATCH(Edges[[#This Row],[Vertex 2]],GroupVertices[Vertex],0)),1,1,"")</f>
        <v>ati Morton</v>
      </c>
    </row>
    <row r="315" spans="1:18" ht="15">
      <c r="A315" s="64" t="s">
        <v>244</v>
      </c>
      <c r="B315" s="64" t="s">
        <v>2500</v>
      </c>
      <c r="C315" s="65" t="s">
        <v>4443</v>
      </c>
      <c r="D315" s="66">
        <v>3</v>
      </c>
      <c r="E315" s="67"/>
      <c r="F315" s="68">
        <v>40</v>
      </c>
      <c r="G315" s="65"/>
      <c r="H315" s="69"/>
      <c r="I315" s="70"/>
      <c r="J315" s="70"/>
      <c r="K315" s="34" t="s">
        <v>65</v>
      </c>
      <c r="L315" s="77">
        <v>315</v>
      </c>
      <c r="M315" s="77"/>
      <c r="N315" s="72"/>
      <c r="O315" s="79" t="s">
        <v>610</v>
      </c>
      <c r="P315" s="79">
        <v>1</v>
      </c>
      <c r="Q315" s="78" t="str">
        <f>REPLACE(INDEX(GroupVertices[Group],MATCH(Edges[[#This Row],[Vertex 1]],GroupVertices[Vertex],0)),1,1,"")</f>
        <v>ati Morton</v>
      </c>
      <c r="R315" s="78" t="str">
        <f>REPLACE(INDEX(GroupVertices[Group],MATCH(Edges[[#This Row],[Vertex 2]],GroupVertices[Vertex],0)),1,1,"")</f>
        <v>ati Morton</v>
      </c>
    </row>
    <row r="316" spans="1:18" ht="15">
      <c r="A316" s="64" t="s">
        <v>244</v>
      </c>
      <c r="B316" s="64" t="s">
        <v>2501</v>
      </c>
      <c r="C316" s="65" t="s">
        <v>4443</v>
      </c>
      <c r="D316" s="66">
        <v>3</v>
      </c>
      <c r="E316" s="67"/>
      <c r="F316" s="68">
        <v>40</v>
      </c>
      <c r="G316" s="65"/>
      <c r="H316" s="69"/>
      <c r="I316" s="70"/>
      <c r="J316" s="70"/>
      <c r="K316" s="34" t="s">
        <v>65</v>
      </c>
      <c r="L316" s="77">
        <v>316</v>
      </c>
      <c r="M316" s="77"/>
      <c r="N316" s="72"/>
      <c r="O316" s="79" t="s">
        <v>610</v>
      </c>
      <c r="P316" s="79">
        <v>1</v>
      </c>
      <c r="Q316" s="78" t="str">
        <f>REPLACE(INDEX(GroupVertices[Group],MATCH(Edges[[#This Row],[Vertex 1]],GroupVertices[Vertex],0)),1,1,"")</f>
        <v>ati Morton</v>
      </c>
      <c r="R316" s="78" t="str">
        <f>REPLACE(INDEX(GroupVertices[Group],MATCH(Edges[[#This Row],[Vertex 2]],GroupVertices[Vertex],0)),1,1,"")</f>
        <v>he Guardian</v>
      </c>
    </row>
    <row r="317" spans="1:18" ht="15">
      <c r="A317" s="64" t="s">
        <v>244</v>
      </c>
      <c r="B317" s="64" t="s">
        <v>590</v>
      </c>
      <c r="C317" s="65" t="s">
        <v>4443</v>
      </c>
      <c r="D317" s="66">
        <v>3</v>
      </c>
      <c r="E317" s="67"/>
      <c r="F317" s="68">
        <v>40</v>
      </c>
      <c r="G317" s="65"/>
      <c r="H317" s="69"/>
      <c r="I317" s="70"/>
      <c r="J317" s="70"/>
      <c r="K317" s="34" t="s">
        <v>65</v>
      </c>
      <c r="L317" s="77">
        <v>317</v>
      </c>
      <c r="M317" s="77"/>
      <c r="N317" s="72"/>
      <c r="O317" s="79" t="s">
        <v>610</v>
      </c>
      <c r="P317" s="79">
        <v>1</v>
      </c>
      <c r="Q317" s="78" t="str">
        <f>REPLACE(INDEX(GroupVertices[Group],MATCH(Edges[[#This Row],[Vertex 1]],GroupVertices[Vertex],0)),1,1,"")</f>
        <v>ati Morton</v>
      </c>
      <c r="R317" s="78" t="str">
        <f>REPLACE(INDEX(GroupVertices[Group],MATCH(Edges[[#This Row],[Vertex 2]],GroupVertices[Vertex],0)),1,1,"")</f>
        <v>ati Morton</v>
      </c>
    </row>
    <row r="318" spans="1:18" ht="15">
      <c r="A318" s="64" t="s">
        <v>244</v>
      </c>
      <c r="B318" s="64" t="s">
        <v>2502</v>
      </c>
      <c r="C318" s="65" t="s">
        <v>4443</v>
      </c>
      <c r="D318" s="66">
        <v>3</v>
      </c>
      <c r="E318" s="67"/>
      <c r="F318" s="68">
        <v>40</v>
      </c>
      <c r="G318" s="65"/>
      <c r="H318" s="69"/>
      <c r="I318" s="70"/>
      <c r="J318" s="70"/>
      <c r="K318" s="34" t="s">
        <v>65</v>
      </c>
      <c r="L318" s="77">
        <v>318</v>
      </c>
      <c r="M318" s="77"/>
      <c r="N318" s="72"/>
      <c r="O318" s="79" t="s">
        <v>610</v>
      </c>
      <c r="P318" s="79">
        <v>1</v>
      </c>
      <c r="Q318" s="78" t="str">
        <f>REPLACE(INDEX(GroupVertices[Group],MATCH(Edges[[#This Row],[Vertex 1]],GroupVertices[Vertex],0)),1,1,"")</f>
        <v>ati Morton</v>
      </c>
      <c r="R318" s="78" t="str">
        <f>REPLACE(INDEX(GroupVertices[Group],MATCH(Edges[[#This Row],[Vertex 2]],GroupVertices[Vertex],0)),1,1,"")</f>
        <v>ati Morton</v>
      </c>
    </row>
    <row r="319" spans="1:18" ht="15">
      <c r="A319" s="64" t="s">
        <v>244</v>
      </c>
      <c r="B319" s="64" t="s">
        <v>2503</v>
      </c>
      <c r="C319" s="65" t="s">
        <v>4443</v>
      </c>
      <c r="D319" s="66">
        <v>3</v>
      </c>
      <c r="E319" s="67"/>
      <c r="F319" s="68">
        <v>40</v>
      </c>
      <c r="G319" s="65"/>
      <c r="H319" s="69"/>
      <c r="I319" s="70"/>
      <c r="J319" s="70"/>
      <c r="K319" s="34" t="s">
        <v>65</v>
      </c>
      <c r="L319" s="77">
        <v>319</v>
      </c>
      <c r="M319" s="77"/>
      <c r="N319" s="72"/>
      <c r="O319" s="79" t="s">
        <v>610</v>
      </c>
      <c r="P319" s="79">
        <v>1</v>
      </c>
      <c r="Q319" s="78" t="str">
        <f>REPLACE(INDEX(GroupVertices[Group],MATCH(Edges[[#This Row],[Vertex 1]],GroupVertices[Vertex],0)),1,1,"")</f>
        <v>ati Morton</v>
      </c>
      <c r="R319" s="78" t="str">
        <f>REPLACE(INDEX(GroupVertices[Group],MATCH(Edges[[#This Row],[Vertex 2]],GroupVertices[Vertex],0)),1,1,"")</f>
        <v>ati Morton</v>
      </c>
    </row>
    <row r="320" spans="1:18" ht="15">
      <c r="A320" s="64" t="s">
        <v>244</v>
      </c>
      <c r="B320" s="64" t="s">
        <v>2504</v>
      </c>
      <c r="C320" s="65" t="s">
        <v>4443</v>
      </c>
      <c r="D320" s="66">
        <v>3</v>
      </c>
      <c r="E320" s="67"/>
      <c r="F320" s="68">
        <v>40</v>
      </c>
      <c r="G320" s="65"/>
      <c r="H320" s="69"/>
      <c r="I320" s="70"/>
      <c r="J320" s="70"/>
      <c r="K320" s="34" t="s">
        <v>65</v>
      </c>
      <c r="L320" s="77">
        <v>320</v>
      </c>
      <c r="M320" s="77"/>
      <c r="N320" s="72"/>
      <c r="O320" s="79" t="s">
        <v>610</v>
      </c>
      <c r="P320" s="79">
        <v>1</v>
      </c>
      <c r="Q320" s="78" t="str">
        <f>REPLACE(INDEX(GroupVertices[Group],MATCH(Edges[[#This Row],[Vertex 1]],GroupVertices[Vertex],0)),1,1,"")</f>
        <v>ati Morton</v>
      </c>
      <c r="R320" s="78" t="str">
        <f>REPLACE(INDEX(GroupVertices[Group],MATCH(Edges[[#This Row],[Vertex 2]],GroupVertices[Vertex],0)),1,1,"")</f>
        <v>ati Morton</v>
      </c>
    </row>
    <row r="321" spans="1:18" ht="15">
      <c r="A321" s="64" t="s">
        <v>244</v>
      </c>
      <c r="B321" s="64" t="s">
        <v>592</v>
      </c>
      <c r="C321" s="65" t="s">
        <v>4443</v>
      </c>
      <c r="D321" s="66">
        <v>3</v>
      </c>
      <c r="E321" s="67"/>
      <c r="F321" s="68">
        <v>40</v>
      </c>
      <c r="G321" s="65"/>
      <c r="H321" s="69"/>
      <c r="I321" s="70"/>
      <c r="J321" s="70"/>
      <c r="K321" s="34" t="s">
        <v>65</v>
      </c>
      <c r="L321" s="77">
        <v>321</v>
      </c>
      <c r="M321" s="77"/>
      <c r="N321" s="72"/>
      <c r="O321" s="79" t="s">
        <v>610</v>
      </c>
      <c r="P321" s="79">
        <v>1</v>
      </c>
      <c r="Q321" s="78" t="str">
        <f>REPLACE(INDEX(GroupVertices[Group],MATCH(Edges[[#This Row],[Vertex 1]],GroupVertices[Vertex],0)),1,1,"")</f>
        <v>ati Morton</v>
      </c>
      <c r="R321" s="78" t="str">
        <f>REPLACE(INDEX(GroupVertices[Group],MATCH(Edges[[#This Row],[Vertex 2]],GroupVertices[Vertex],0)),1,1,"")</f>
        <v>ati Morton</v>
      </c>
    </row>
    <row r="322" spans="1:18" ht="15">
      <c r="A322" s="64" t="s">
        <v>244</v>
      </c>
      <c r="B322" s="64" t="s">
        <v>2505</v>
      </c>
      <c r="C322" s="65" t="s">
        <v>4443</v>
      </c>
      <c r="D322" s="66">
        <v>3</v>
      </c>
      <c r="E322" s="67"/>
      <c r="F322" s="68">
        <v>40</v>
      </c>
      <c r="G322" s="65"/>
      <c r="H322" s="69"/>
      <c r="I322" s="70"/>
      <c r="J322" s="70"/>
      <c r="K322" s="34" t="s">
        <v>65</v>
      </c>
      <c r="L322" s="77">
        <v>322</v>
      </c>
      <c r="M322" s="77"/>
      <c r="N322" s="72"/>
      <c r="O322" s="79" t="s">
        <v>610</v>
      </c>
      <c r="P322" s="79">
        <v>1</v>
      </c>
      <c r="Q322" s="78" t="str">
        <f>REPLACE(INDEX(GroupVertices[Group],MATCH(Edges[[#This Row],[Vertex 1]],GroupVertices[Vertex],0)),1,1,"")</f>
        <v>ati Morton</v>
      </c>
      <c r="R322" s="78" t="str">
        <f>REPLACE(INDEX(GroupVertices[Group],MATCH(Edges[[#This Row],[Vertex 2]],GroupVertices[Vertex],0)),1,1,"")</f>
        <v>r. Aaron Norton</v>
      </c>
    </row>
    <row r="323" spans="1:18" ht="15">
      <c r="A323" s="64" t="s">
        <v>244</v>
      </c>
      <c r="B323" s="64" t="s">
        <v>2506</v>
      </c>
      <c r="C323" s="65" t="s">
        <v>4443</v>
      </c>
      <c r="D323" s="66">
        <v>3</v>
      </c>
      <c r="E323" s="67"/>
      <c r="F323" s="68">
        <v>40</v>
      </c>
      <c r="G323" s="65"/>
      <c r="H323" s="69"/>
      <c r="I323" s="70"/>
      <c r="J323" s="70"/>
      <c r="K323" s="34" t="s">
        <v>65</v>
      </c>
      <c r="L323" s="77">
        <v>323</v>
      </c>
      <c r="M323" s="77"/>
      <c r="N323" s="72"/>
      <c r="O323" s="79" t="s">
        <v>610</v>
      </c>
      <c r="P323" s="79">
        <v>1</v>
      </c>
      <c r="Q323" s="78" t="str">
        <f>REPLACE(INDEX(GroupVertices[Group],MATCH(Edges[[#This Row],[Vertex 1]],GroupVertices[Vertex],0)),1,1,"")</f>
        <v>ati Morton</v>
      </c>
      <c r="R323" s="78" t="str">
        <f>REPLACE(INDEX(GroupVertices[Group],MATCH(Edges[[#This Row],[Vertex 2]],GroupVertices[Vertex],0)),1,1,"")</f>
        <v>ati Morton</v>
      </c>
    </row>
    <row r="324" spans="1:18" ht="15">
      <c r="A324" s="64" t="s">
        <v>244</v>
      </c>
      <c r="B324" s="64" t="s">
        <v>2507</v>
      </c>
      <c r="C324" s="65" t="s">
        <v>4443</v>
      </c>
      <c r="D324" s="66">
        <v>3</v>
      </c>
      <c r="E324" s="67"/>
      <c r="F324" s="68">
        <v>40</v>
      </c>
      <c r="G324" s="65"/>
      <c r="H324" s="69"/>
      <c r="I324" s="70"/>
      <c r="J324" s="70"/>
      <c r="K324" s="34" t="s">
        <v>65</v>
      </c>
      <c r="L324" s="77">
        <v>324</v>
      </c>
      <c r="M324" s="77"/>
      <c r="N324" s="72"/>
      <c r="O324" s="79" t="s">
        <v>610</v>
      </c>
      <c r="P324" s="79">
        <v>1</v>
      </c>
      <c r="Q324" s="78" t="str">
        <f>REPLACE(INDEX(GroupVertices[Group],MATCH(Edges[[#This Row],[Vertex 1]],GroupVertices[Vertex],0)),1,1,"")</f>
        <v>ati Morton</v>
      </c>
      <c r="R324" s="78" t="str">
        <f>REPLACE(INDEX(GroupVertices[Group],MATCH(Edges[[#This Row],[Vertex 2]],GroupVertices[Vertex],0)),1,1,"")</f>
        <v>ati Morton</v>
      </c>
    </row>
    <row r="325" spans="1:18" ht="15">
      <c r="A325" s="64" t="s">
        <v>244</v>
      </c>
      <c r="B325" s="64" t="s">
        <v>594</v>
      </c>
      <c r="C325" s="65" t="s">
        <v>4443</v>
      </c>
      <c r="D325" s="66">
        <v>3</v>
      </c>
      <c r="E325" s="67"/>
      <c r="F325" s="68">
        <v>40</v>
      </c>
      <c r="G325" s="65"/>
      <c r="H325" s="69"/>
      <c r="I325" s="70"/>
      <c r="J325" s="70"/>
      <c r="K325" s="34" t="s">
        <v>65</v>
      </c>
      <c r="L325" s="77">
        <v>325</v>
      </c>
      <c r="M325" s="77"/>
      <c r="N325" s="72"/>
      <c r="O325" s="79" t="s">
        <v>610</v>
      </c>
      <c r="P325" s="79">
        <v>1</v>
      </c>
      <c r="Q325" s="78" t="str">
        <f>REPLACE(INDEX(GroupVertices[Group],MATCH(Edges[[#This Row],[Vertex 1]],GroupVertices[Vertex],0)),1,1,"")</f>
        <v>ati Morton</v>
      </c>
      <c r="R325" s="78" t="str">
        <f>REPLACE(INDEX(GroupVertices[Group],MATCH(Edges[[#This Row],[Vertex 2]],GroupVertices[Vertex],0)),1,1,"")</f>
        <v>ati Morton</v>
      </c>
    </row>
    <row r="326" spans="1:18" ht="15">
      <c r="A326" s="64" t="s">
        <v>244</v>
      </c>
      <c r="B326" s="64" t="s">
        <v>268</v>
      </c>
      <c r="C326" s="65" t="s">
        <v>4443</v>
      </c>
      <c r="D326" s="66">
        <v>3</v>
      </c>
      <c r="E326" s="67"/>
      <c r="F326" s="68">
        <v>40</v>
      </c>
      <c r="G326" s="65"/>
      <c r="H326" s="69"/>
      <c r="I326" s="70"/>
      <c r="J326" s="70"/>
      <c r="K326" s="34" t="s">
        <v>65</v>
      </c>
      <c r="L326" s="77">
        <v>326</v>
      </c>
      <c r="M326" s="77"/>
      <c r="N326" s="72"/>
      <c r="O326" s="79" t="s">
        <v>610</v>
      </c>
      <c r="P326" s="79">
        <v>1</v>
      </c>
      <c r="Q326" s="78" t="str">
        <f>REPLACE(INDEX(GroupVertices[Group],MATCH(Edges[[#This Row],[Vertex 1]],GroupVertices[Vertex],0)),1,1,"")</f>
        <v>ati Morton</v>
      </c>
      <c r="R326" s="78" t="str">
        <f>REPLACE(INDEX(GroupVertices[Group],MATCH(Edges[[#This Row],[Vertex 2]],GroupVertices[Vertex],0)),1,1,"")</f>
        <v>ractical Psychology</v>
      </c>
    </row>
    <row r="327" spans="1:18" ht="15">
      <c r="A327" s="64" t="s">
        <v>244</v>
      </c>
      <c r="B327" s="64" t="s">
        <v>2508</v>
      </c>
      <c r="C327" s="65" t="s">
        <v>4443</v>
      </c>
      <c r="D327" s="66">
        <v>3</v>
      </c>
      <c r="E327" s="67"/>
      <c r="F327" s="68">
        <v>40</v>
      </c>
      <c r="G327" s="65"/>
      <c r="H327" s="69"/>
      <c r="I327" s="70"/>
      <c r="J327" s="70"/>
      <c r="K327" s="34" t="s">
        <v>65</v>
      </c>
      <c r="L327" s="77">
        <v>327</v>
      </c>
      <c r="M327" s="77"/>
      <c r="N327" s="72"/>
      <c r="O327" s="79" t="s">
        <v>610</v>
      </c>
      <c r="P327" s="79">
        <v>1</v>
      </c>
      <c r="Q327" s="78" t="str">
        <f>REPLACE(INDEX(GroupVertices[Group],MATCH(Edges[[#This Row],[Vertex 1]],GroupVertices[Vertex],0)),1,1,"")</f>
        <v>ati Morton</v>
      </c>
      <c r="R327" s="78" t="str">
        <f>REPLACE(INDEX(GroupVertices[Group],MATCH(Edges[[#This Row],[Vertex 2]],GroupVertices[Vertex],0)),1,1,"")</f>
        <v>ati Morton</v>
      </c>
    </row>
    <row r="328" spans="1:18" ht="15">
      <c r="A328" s="64" t="s">
        <v>244</v>
      </c>
      <c r="B328" s="64" t="s">
        <v>557</v>
      </c>
      <c r="C328" s="65" t="s">
        <v>4443</v>
      </c>
      <c r="D328" s="66">
        <v>3</v>
      </c>
      <c r="E328" s="67"/>
      <c r="F328" s="68">
        <v>40</v>
      </c>
      <c r="G328" s="65"/>
      <c r="H328" s="69"/>
      <c r="I328" s="70"/>
      <c r="J328" s="70"/>
      <c r="K328" s="34" t="s">
        <v>65</v>
      </c>
      <c r="L328" s="77">
        <v>328</v>
      </c>
      <c r="M328" s="77"/>
      <c r="N328" s="72"/>
      <c r="O328" s="79" t="s">
        <v>610</v>
      </c>
      <c r="P328" s="79">
        <v>1</v>
      </c>
      <c r="Q328" s="78" t="str">
        <f>REPLACE(INDEX(GroupVertices[Group],MATCH(Edges[[#This Row],[Vertex 1]],GroupVertices[Vertex],0)),1,1,"")</f>
        <v>ati Morton</v>
      </c>
      <c r="R328" s="78" t="str">
        <f>REPLACE(INDEX(GroupVertices[Group],MATCH(Edges[[#This Row],[Vertex 2]],GroupVertices[Vertex],0)),1,1,"")</f>
        <v>aul Bolin, M.D.</v>
      </c>
    </row>
    <row r="329" spans="1:18" ht="15">
      <c r="A329" s="64" t="s">
        <v>244</v>
      </c>
      <c r="B329" s="64" t="s">
        <v>591</v>
      </c>
      <c r="C329" s="65" t="s">
        <v>4443</v>
      </c>
      <c r="D329" s="66">
        <v>3</v>
      </c>
      <c r="E329" s="67"/>
      <c r="F329" s="68">
        <v>40</v>
      </c>
      <c r="G329" s="65"/>
      <c r="H329" s="69"/>
      <c r="I329" s="70"/>
      <c r="J329" s="70"/>
      <c r="K329" s="34" t="s">
        <v>65</v>
      </c>
      <c r="L329" s="77">
        <v>329</v>
      </c>
      <c r="M329" s="77"/>
      <c r="N329" s="72"/>
      <c r="O329" s="79" t="s">
        <v>610</v>
      </c>
      <c r="P329" s="79">
        <v>1</v>
      </c>
      <c r="Q329" s="78" t="str">
        <f>REPLACE(INDEX(GroupVertices[Group],MATCH(Edges[[#This Row],[Vertex 1]],GroupVertices[Vertex],0)),1,1,"")</f>
        <v>ati Morton</v>
      </c>
      <c r="R329" s="78" t="str">
        <f>REPLACE(INDEX(GroupVertices[Group],MATCH(Edges[[#This Row],[Vertex 2]],GroupVertices[Vertex],0)),1,1,"")</f>
        <v>ati Morton</v>
      </c>
    </row>
    <row r="330" spans="1:18" ht="15">
      <c r="A330" s="64" t="s">
        <v>244</v>
      </c>
      <c r="B330" s="64" t="s">
        <v>593</v>
      </c>
      <c r="C330" s="65" t="s">
        <v>4443</v>
      </c>
      <c r="D330" s="66">
        <v>3</v>
      </c>
      <c r="E330" s="67"/>
      <c r="F330" s="68">
        <v>40</v>
      </c>
      <c r="G330" s="65"/>
      <c r="H330" s="69"/>
      <c r="I330" s="70"/>
      <c r="J330" s="70"/>
      <c r="K330" s="34" t="s">
        <v>65</v>
      </c>
      <c r="L330" s="77">
        <v>330</v>
      </c>
      <c r="M330" s="77"/>
      <c r="N330" s="72"/>
      <c r="O330" s="79" t="s">
        <v>610</v>
      </c>
      <c r="P330" s="79">
        <v>1</v>
      </c>
      <c r="Q330" s="78" t="str">
        <f>REPLACE(INDEX(GroupVertices[Group],MATCH(Edges[[#This Row],[Vertex 1]],GroupVertices[Vertex],0)),1,1,"")</f>
        <v>ati Morton</v>
      </c>
      <c r="R330" s="78" t="str">
        <f>REPLACE(INDEX(GroupVertices[Group],MATCH(Edges[[#This Row],[Vertex 2]],GroupVertices[Vertex],0)),1,1,"")</f>
        <v>ebMD</v>
      </c>
    </row>
    <row r="331" spans="1:18" ht="15">
      <c r="A331" s="64" t="s">
        <v>244</v>
      </c>
      <c r="B331" s="64" t="s">
        <v>2509</v>
      </c>
      <c r="C331" s="65" t="s">
        <v>4443</v>
      </c>
      <c r="D331" s="66">
        <v>3</v>
      </c>
      <c r="E331" s="67"/>
      <c r="F331" s="68">
        <v>40</v>
      </c>
      <c r="G331" s="65"/>
      <c r="H331" s="69"/>
      <c r="I331" s="70"/>
      <c r="J331" s="70"/>
      <c r="K331" s="34" t="s">
        <v>65</v>
      </c>
      <c r="L331" s="77">
        <v>331</v>
      </c>
      <c r="M331" s="77"/>
      <c r="N331" s="72"/>
      <c r="O331" s="79" t="s">
        <v>610</v>
      </c>
      <c r="P331" s="79">
        <v>1</v>
      </c>
      <c r="Q331" s="78" t="str">
        <f>REPLACE(INDEX(GroupVertices[Group],MATCH(Edges[[#This Row],[Vertex 1]],GroupVertices[Vertex],0)),1,1,"")</f>
        <v>ati Morton</v>
      </c>
      <c r="R331" s="78" t="str">
        <f>REPLACE(INDEX(GroupVertices[Group],MATCH(Edges[[#This Row],[Vertex 2]],GroupVertices[Vertex],0)),1,1,"")</f>
        <v>ati Morton</v>
      </c>
    </row>
    <row r="332" spans="1:18" ht="15">
      <c r="A332" s="64" t="s">
        <v>244</v>
      </c>
      <c r="B332" s="64" t="s">
        <v>2510</v>
      </c>
      <c r="C332" s="65" t="s">
        <v>4443</v>
      </c>
      <c r="D332" s="66">
        <v>3</v>
      </c>
      <c r="E332" s="67"/>
      <c r="F332" s="68">
        <v>40</v>
      </c>
      <c r="G332" s="65"/>
      <c r="H332" s="69"/>
      <c r="I332" s="70"/>
      <c r="J332" s="70"/>
      <c r="K332" s="34" t="s">
        <v>65</v>
      </c>
      <c r="L332" s="77">
        <v>332</v>
      </c>
      <c r="M332" s="77"/>
      <c r="N332" s="72"/>
      <c r="O332" s="79" t="s">
        <v>610</v>
      </c>
      <c r="P332" s="79">
        <v>1</v>
      </c>
      <c r="Q332" s="78" t="str">
        <f>REPLACE(INDEX(GroupVertices[Group],MATCH(Edges[[#This Row],[Vertex 1]],GroupVertices[Vertex],0)),1,1,"")</f>
        <v>ati Morton</v>
      </c>
      <c r="R332" s="78" t="str">
        <f>REPLACE(INDEX(GroupVertices[Group],MATCH(Edges[[#This Row],[Vertex 2]],GroupVertices[Vertex],0)),1,1,"")</f>
        <v>ati Morton</v>
      </c>
    </row>
    <row r="333" spans="1:18" ht="15">
      <c r="A333" s="64" t="s">
        <v>244</v>
      </c>
      <c r="B333" s="64" t="s">
        <v>2511</v>
      </c>
      <c r="C333" s="65" t="s">
        <v>4443</v>
      </c>
      <c r="D333" s="66">
        <v>3</v>
      </c>
      <c r="E333" s="67"/>
      <c r="F333" s="68">
        <v>40</v>
      </c>
      <c r="G333" s="65"/>
      <c r="H333" s="69"/>
      <c r="I333" s="70"/>
      <c r="J333" s="70"/>
      <c r="K333" s="34" t="s">
        <v>65</v>
      </c>
      <c r="L333" s="77">
        <v>333</v>
      </c>
      <c r="M333" s="77"/>
      <c r="N333" s="72"/>
      <c r="O333" s="79" t="s">
        <v>610</v>
      </c>
      <c r="P333" s="79">
        <v>1</v>
      </c>
      <c r="Q333" s="78" t="str">
        <f>REPLACE(INDEX(GroupVertices[Group],MATCH(Edges[[#This Row],[Vertex 1]],GroupVertices[Vertex],0)),1,1,"")</f>
        <v>ati Morton</v>
      </c>
      <c r="R333" s="78" t="str">
        <f>REPLACE(INDEX(GroupVertices[Group],MATCH(Edges[[#This Row],[Vertex 2]],GroupVertices[Vertex],0)),1,1,"")</f>
        <v>ati Morton</v>
      </c>
    </row>
    <row r="334" spans="1:18" ht="15">
      <c r="A334" s="64" t="s">
        <v>244</v>
      </c>
      <c r="B334" s="64" t="s">
        <v>2512</v>
      </c>
      <c r="C334" s="65" t="s">
        <v>4443</v>
      </c>
      <c r="D334" s="66">
        <v>3</v>
      </c>
      <c r="E334" s="67"/>
      <c r="F334" s="68">
        <v>40</v>
      </c>
      <c r="G334" s="65"/>
      <c r="H334" s="69"/>
      <c r="I334" s="70"/>
      <c r="J334" s="70"/>
      <c r="K334" s="34" t="s">
        <v>65</v>
      </c>
      <c r="L334" s="77">
        <v>334</v>
      </c>
      <c r="M334" s="77"/>
      <c r="N334" s="72"/>
      <c r="O334" s="79" t="s">
        <v>610</v>
      </c>
      <c r="P334" s="79">
        <v>1</v>
      </c>
      <c r="Q334" s="78" t="str">
        <f>REPLACE(INDEX(GroupVertices[Group],MATCH(Edges[[#This Row],[Vertex 1]],GroupVertices[Vertex],0)),1,1,"")</f>
        <v>ati Morton</v>
      </c>
      <c r="R334" s="78" t="str">
        <f>REPLACE(INDEX(GroupVertices[Group],MATCH(Edges[[#This Row],[Vertex 2]],GroupVertices[Vertex],0)),1,1,"")</f>
        <v>ati Morton</v>
      </c>
    </row>
    <row r="335" spans="1:18" ht="15">
      <c r="A335" s="64" t="s">
        <v>244</v>
      </c>
      <c r="B335" s="64" t="s">
        <v>2513</v>
      </c>
      <c r="C335" s="65" t="s">
        <v>4443</v>
      </c>
      <c r="D335" s="66">
        <v>3</v>
      </c>
      <c r="E335" s="67"/>
      <c r="F335" s="68">
        <v>40</v>
      </c>
      <c r="G335" s="65"/>
      <c r="H335" s="69"/>
      <c r="I335" s="70"/>
      <c r="J335" s="70"/>
      <c r="K335" s="34" t="s">
        <v>65</v>
      </c>
      <c r="L335" s="77">
        <v>335</v>
      </c>
      <c r="M335" s="77"/>
      <c r="N335" s="72"/>
      <c r="O335" s="79" t="s">
        <v>610</v>
      </c>
      <c r="P335" s="79">
        <v>1</v>
      </c>
      <c r="Q335" s="78" t="str">
        <f>REPLACE(INDEX(GroupVertices[Group],MATCH(Edges[[#This Row],[Vertex 1]],GroupVertices[Vertex],0)),1,1,"")</f>
        <v>ati Morton</v>
      </c>
      <c r="R335" s="78" t="str">
        <f>REPLACE(INDEX(GroupVertices[Group],MATCH(Edges[[#This Row],[Vertex 2]],GroupVertices[Vertex],0)),1,1,"")</f>
        <v>ati Morton</v>
      </c>
    </row>
    <row r="336" spans="1:18" ht="15">
      <c r="A336" s="64" t="s">
        <v>244</v>
      </c>
      <c r="B336" s="64" t="s">
        <v>285</v>
      </c>
      <c r="C336" s="65" t="s">
        <v>4443</v>
      </c>
      <c r="D336" s="66">
        <v>3</v>
      </c>
      <c r="E336" s="67"/>
      <c r="F336" s="68">
        <v>40</v>
      </c>
      <c r="G336" s="65"/>
      <c r="H336" s="69"/>
      <c r="I336" s="70"/>
      <c r="J336" s="70"/>
      <c r="K336" s="34" t="s">
        <v>65</v>
      </c>
      <c r="L336" s="77">
        <v>336</v>
      </c>
      <c r="M336" s="77"/>
      <c r="N336" s="72"/>
      <c r="O336" s="79" t="s">
        <v>610</v>
      </c>
      <c r="P336" s="79">
        <v>1</v>
      </c>
      <c r="Q336" s="78" t="str">
        <f>REPLACE(INDEX(GroupVertices[Group],MATCH(Edges[[#This Row],[Vertex 1]],GroupVertices[Vertex],0)),1,1,"")</f>
        <v>ati Morton</v>
      </c>
      <c r="R336" s="78" t="str">
        <f>REPLACE(INDEX(GroupVertices[Group],MATCH(Edges[[#This Row],[Vertex 2]],GroupVertices[Vertex],0)),1,1,"")</f>
        <v>ati Morton</v>
      </c>
    </row>
    <row r="337" spans="1:18" ht="15">
      <c r="A337" s="64" t="s">
        <v>244</v>
      </c>
      <c r="B337" s="64" t="s">
        <v>2555</v>
      </c>
      <c r="C337" s="65" t="s">
        <v>4443</v>
      </c>
      <c r="D337" s="66">
        <v>3</v>
      </c>
      <c r="E337" s="67"/>
      <c r="F337" s="68">
        <v>40</v>
      </c>
      <c r="G337" s="65"/>
      <c r="H337" s="69"/>
      <c r="I337" s="70"/>
      <c r="J337" s="70"/>
      <c r="K337" s="34" t="s">
        <v>65</v>
      </c>
      <c r="L337" s="77">
        <v>337</v>
      </c>
      <c r="M337" s="77"/>
      <c r="N337" s="72"/>
      <c r="O337" s="79" t="s">
        <v>610</v>
      </c>
      <c r="P337" s="79">
        <v>1</v>
      </c>
      <c r="Q337" s="78" t="str">
        <f>REPLACE(INDEX(GroupVertices[Group],MATCH(Edges[[#This Row],[Vertex 1]],GroupVertices[Vertex],0)),1,1,"")</f>
        <v>ati Morton</v>
      </c>
      <c r="R337" s="78" t="str">
        <f>REPLACE(INDEX(GroupVertices[Group],MATCH(Edges[[#This Row],[Vertex 2]],GroupVertices[Vertex],0)),1,1,"")</f>
        <v>ounseling Minus the Bull</v>
      </c>
    </row>
    <row r="338" spans="1:18" ht="15">
      <c r="A338" s="64" t="s">
        <v>244</v>
      </c>
      <c r="B338" s="64" t="s">
        <v>595</v>
      </c>
      <c r="C338" s="65" t="s">
        <v>4443</v>
      </c>
      <c r="D338" s="66">
        <v>3</v>
      </c>
      <c r="E338" s="67"/>
      <c r="F338" s="68">
        <v>40</v>
      </c>
      <c r="G338" s="65"/>
      <c r="H338" s="69"/>
      <c r="I338" s="70"/>
      <c r="J338" s="70"/>
      <c r="K338" s="34" t="s">
        <v>65</v>
      </c>
      <c r="L338" s="77">
        <v>338</v>
      </c>
      <c r="M338" s="77"/>
      <c r="N338" s="72"/>
      <c r="O338" s="79" t="s">
        <v>610</v>
      </c>
      <c r="P338" s="79">
        <v>1</v>
      </c>
      <c r="Q338" s="78" t="str">
        <f>REPLACE(INDEX(GroupVertices[Group],MATCH(Edges[[#This Row],[Vertex 1]],GroupVertices[Vertex],0)),1,1,"")</f>
        <v>ati Morton</v>
      </c>
      <c r="R338" s="78" t="str">
        <f>REPLACE(INDEX(GroupVertices[Group],MATCH(Edges[[#This Row],[Vertex 2]],GroupVertices[Vertex],0)),1,1,"")</f>
        <v>smosis from Elsevier</v>
      </c>
    </row>
    <row r="339" spans="1:18" ht="15">
      <c r="A339" s="64" t="s">
        <v>244</v>
      </c>
      <c r="B339" s="64" t="s">
        <v>284</v>
      </c>
      <c r="C339" s="65" t="s">
        <v>4443</v>
      </c>
      <c r="D339" s="66">
        <v>3</v>
      </c>
      <c r="E339" s="67"/>
      <c r="F339" s="68">
        <v>40</v>
      </c>
      <c r="G339" s="65"/>
      <c r="H339" s="69"/>
      <c r="I339" s="70"/>
      <c r="J339" s="70"/>
      <c r="K339" s="34" t="s">
        <v>65</v>
      </c>
      <c r="L339" s="77">
        <v>339</v>
      </c>
      <c r="M339" s="77"/>
      <c r="N339" s="72"/>
      <c r="O339" s="79" t="s">
        <v>610</v>
      </c>
      <c r="P339" s="79">
        <v>1</v>
      </c>
      <c r="Q339" s="78" t="str">
        <f>REPLACE(INDEX(GroupVertices[Group],MATCH(Edges[[#This Row],[Vertex 1]],GroupVertices[Vertex],0)),1,1,"")</f>
        <v>ati Morton</v>
      </c>
      <c r="R339" s="78" t="str">
        <f>REPLACE(INDEX(GroupVertices[Group],MATCH(Edges[[#This Row],[Vertex 2]],GroupVertices[Vertex],0)),1,1,"")</f>
        <v>EDx Talks</v>
      </c>
    </row>
    <row r="340" spans="1:18" ht="15">
      <c r="A340" s="64" t="s">
        <v>244</v>
      </c>
      <c r="B340" s="64" t="s">
        <v>245</v>
      </c>
      <c r="C340" s="65" t="s">
        <v>4444</v>
      </c>
      <c r="D340" s="66">
        <v>3</v>
      </c>
      <c r="E340" s="67"/>
      <c r="F340" s="68">
        <v>40</v>
      </c>
      <c r="G340" s="65"/>
      <c r="H340" s="69"/>
      <c r="I340" s="70"/>
      <c r="J340" s="70"/>
      <c r="K340" s="34" t="s">
        <v>66</v>
      </c>
      <c r="L340" s="77">
        <v>340</v>
      </c>
      <c r="M340" s="77"/>
      <c r="N340" s="72"/>
      <c r="O340" s="79" t="s">
        <v>610</v>
      </c>
      <c r="P340" s="79">
        <v>1</v>
      </c>
      <c r="Q340" s="78" t="str">
        <f>REPLACE(INDEX(GroupVertices[Group],MATCH(Edges[[#This Row],[Vertex 1]],GroupVertices[Vertex],0)),1,1,"")</f>
        <v>ati Morton</v>
      </c>
      <c r="R340" s="78" t="str">
        <f>REPLACE(INDEX(GroupVertices[Group],MATCH(Edges[[#This Row],[Vertex 2]],GroupVertices[Vertex],0)),1,1,"")</f>
        <v>emystifying Medicine McMaster</v>
      </c>
    </row>
    <row r="341" spans="1:18" ht="15">
      <c r="A341" s="64" t="s">
        <v>224</v>
      </c>
      <c r="B341" s="64" t="s">
        <v>2222</v>
      </c>
      <c r="C341" s="65" t="s">
        <v>4443</v>
      </c>
      <c r="D341" s="66">
        <v>3</v>
      </c>
      <c r="E341" s="67"/>
      <c r="F341" s="68">
        <v>40</v>
      </c>
      <c r="G341" s="65"/>
      <c r="H341" s="69"/>
      <c r="I341" s="70"/>
      <c r="J341" s="70"/>
      <c r="K341" s="34" t="s">
        <v>65</v>
      </c>
      <c r="L341" s="77">
        <v>341</v>
      </c>
      <c r="M341" s="77"/>
      <c r="N341" s="72"/>
      <c r="O341" s="79" t="s">
        <v>610</v>
      </c>
      <c r="P341" s="79">
        <v>1</v>
      </c>
      <c r="Q341" s="78" t="str">
        <f>REPLACE(INDEX(GroupVertices[Group],MATCH(Edges[[#This Row],[Vertex 1]],GroupVertices[Vertex],0)),1,1,"")</f>
        <v>TSU Online</v>
      </c>
      <c r="R341" s="78" t="str">
        <f>REPLACE(INDEX(GroupVertices[Group],MATCH(Edges[[#This Row],[Vertex 2]],GroupVertices[Vertex],0)),1,1,"")</f>
        <v>cncableguy</v>
      </c>
    </row>
    <row r="342" spans="1:18" ht="15">
      <c r="A342" s="64" t="s">
        <v>224</v>
      </c>
      <c r="B342" s="64" t="s">
        <v>2223</v>
      </c>
      <c r="C342" s="65" t="s">
        <v>4443</v>
      </c>
      <c r="D342" s="66">
        <v>3</v>
      </c>
      <c r="E342" s="67"/>
      <c r="F342" s="68">
        <v>40</v>
      </c>
      <c r="G342" s="65"/>
      <c r="H342" s="69"/>
      <c r="I342" s="70"/>
      <c r="J342" s="70"/>
      <c r="K342" s="34" t="s">
        <v>65</v>
      </c>
      <c r="L342" s="77">
        <v>342</v>
      </c>
      <c r="M342" s="77"/>
      <c r="N342" s="72"/>
      <c r="O342" s="79" t="s">
        <v>610</v>
      </c>
      <c r="P342" s="79">
        <v>1</v>
      </c>
      <c r="Q342" s="78" t="str">
        <f>REPLACE(INDEX(GroupVertices[Group],MATCH(Edges[[#This Row],[Vertex 1]],GroupVertices[Vertex],0)),1,1,"")</f>
        <v>TSU Online</v>
      </c>
      <c r="R342" s="78" t="str">
        <f>REPLACE(INDEX(GroupVertices[Group],MATCH(Edges[[#This Row],[Vertex 2]],GroupVertices[Vertex],0)),1,1,"")</f>
        <v>nfosharing360</v>
      </c>
    </row>
    <row r="343" spans="1:18" ht="15">
      <c r="A343" s="64" t="s">
        <v>224</v>
      </c>
      <c r="B343" s="64" t="s">
        <v>2224</v>
      </c>
      <c r="C343" s="65" t="s">
        <v>4443</v>
      </c>
      <c r="D343" s="66">
        <v>3</v>
      </c>
      <c r="E343" s="67"/>
      <c r="F343" s="68">
        <v>40</v>
      </c>
      <c r="G343" s="65"/>
      <c r="H343" s="69"/>
      <c r="I343" s="70"/>
      <c r="J343" s="70"/>
      <c r="K343" s="34" t="s">
        <v>65</v>
      </c>
      <c r="L343" s="77">
        <v>343</v>
      </c>
      <c r="M343" s="77"/>
      <c r="N343" s="72"/>
      <c r="O343" s="79" t="s">
        <v>610</v>
      </c>
      <c r="P343" s="79">
        <v>1</v>
      </c>
      <c r="Q343" s="78" t="str">
        <f>REPLACE(INDEX(GroupVertices[Group],MATCH(Edges[[#This Row],[Vertex 1]],GroupVertices[Vertex],0)),1,1,"")</f>
        <v>TSU Online</v>
      </c>
      <c r="R343" s="78" t="str">
        <f>REPLACE(INDEX(GroupVertices[Group],MATCH(Edges[[#This Row],[Vertex 2]],GroupVertices[Vertex],0)),1,1,"")</f>
        <v>nfosharing360</v>
      </c>
    </row>
    <row r="344" spans="1:18" ht="15">
      <c r="A344" s="64" t="s">
        <v>224</v>
      </c>
      <c r="B344" s="64" t="s">
        <v>2225</v>
      </c>
      <c r="C344" s="65" t="s">
        <v>4443</v>
      </c>
      <c r="D344" s="66">
        <v>3</v>
      </c>
      <c r="E344" s="67"/>
      <c r="F344" s="68">
        <v>40</v>
      </c>
      <c r="G344" s="65"/>
      <c r="H344" s="69"/>
      <c r="I344" s="70"/>
      <c r="J344" s="70"/>
      <c r="K344" s="34" t="s">
        <v>65</v>
      </c>
      <c r="L344" s="77">
        <v>344</v>
      </c>
      <c r="M344" s="77"/>
      <c r="N344" s="72"/>
      <c r="O344" s="79" t="s">
        <v>610</v>
      </c>
      <c r="P344" s="79">
        <v>1</v>
      </c>
      <c r="Q344" s="78" t="str">
        <f>REPLACE(INDEX(GroupVertices[Group],MATCH(Edges[[#This Row],[Vertex 1]],GroupVertices[Vertex],0)),1,1,"")</f>
        <v>TSU Online</v>
      </c>
      <c r="R344" s="78" t="str">
        <f>REPLACE(INDEX(GroupVertices[Group],MATCH(Edges[[#This Row],[Vertex 2]],GroupVertices[Vertex],0)),1,1,"")</f>
        <v>udarma Microscope</v>
      </c>
    </row>
    <row r="345" spans="1:18" ht="15">
      <c r="A345" s="64" t="s">
        <v>224</v>
      </c>
      <c r="B345" s="64" t="s">
        <v>2226</v>
      </c>
      <c r="C345" s="65" t="s">
        <v>4443</v>
      </c>
      <c r="D345" s="66">
        <v>3</v>
      </c>
      <c r="E345" s="67"/>
      <c r="F345" s="68">
        <v>40</v>
      </c>
      <c r="G345" s="65"/>
      <c r="H345" s="69"/>
      <c r="I345" s="70"/>
      <c r="J345" s="70"/>
      <c r="K345" s="34" t="s">
        <v>65</v>
      </c>
      <c r="L345" s="77">
        <v>345</v>
      </c>
      <c r="M345" s="77"/>
      <c r="N345" s="72"/>
      <c r="O345" s="79" t="s">
        <v>610</v>
      </c>
      <c r="P345" s="79">
        <v>1</v>
      </c>
      <c r="Q345" s="78" t="str">
        <f>REPLACE(INDEX(GroupVertices[Group],MATCH(Edges[[#This Row],[Vertex 1]],GroupVertices[Vertex],0)),1,1,"")</f>
        <v>TSU Online</v>
      </c>
      <c r="R345" s="78" t="str">
        <f>REPLACE(INDEX(GroupVertices[Group],MATCH(Edges[[#This Row],[Vertex 2]],GroupVertices[Vertex],0)),1,1,"")</f>
        <v>ase Knowledge</v>
      </c>
    </row>
    <row r="346" spans="1:18" ht="15">
      <c r="A346" s="64" t="s">
        <v>224</v>
      </c>
      <c r="B346" s="64" t="s">
        <v>2227</v>
      </c>
      <c r="C346" s="65" t="s">
        <v>4443</v>
      </c>
      <c r="D346" s="66">
        <v>3</v>
      </c>
      <c r="E346" s="67"/>
      <c r="F346" s="68">
        <v>40</v>
      </c>
      <c r="G346" s="65"/>
      <c r="H346" s="69"/>
      <c r="I346" s="70"/>
      <c r="J346" s="70"/>
      <c r="K346" s="34" t="s">
        <v>65</v>
      </c>
      <c r="L346" s="77">
        <v>346</v>
      </c>
      <c r="M346" s="77"/>
      <c r="N346" s="72"/>
      <c r="O346" s="79" t="s">
        <v>610</v>
      </c>
      <c r="P346" s="79">
        <v>1</v>
      </c>
      <c r="Q346" s="78" t="str">
        <f>REPLACE(INDEX(GroupVertices[Group],MATCH(Edges[[#This Row],[Vertex 1]],GroupVertices[Vertex],0)),1,1,"")</f>
        <v>TSU Online</v>
      </c>
      <c r="R346" s="78" t="str">
        <f>REPLACE(INDEX(GroupVertices[Group],MATCH(Edges[[#This Row],[Vertex 2]],GroupVertices[Vertex],0)),1,1,"")</f>
        <v>ATE ACADEMY - Civil &amp; Mechanical</v>
      </c>
    </row>
    <row r="347" spans="1:18" ht="15">
      <c r="A347" s="64" t="s">
        <v>224</v>
      </c>
      <c r="B347" s="64" t="s">
        <v>2228</v>
      </c>
      <c r="C347" s="65" t="s">
        <v>4443</v>
      </c>
      <c r="D347" s="66">
        <v>3</v>
      </c>
      <c r="E347" s="67"/>
      <c r="F347" s="68">
        <v>40</v>
      </c>
      <c r="G347" s="65"/>
      <c r="H347" s="69"/>
      <c r="I347" s="70"/>
      <c r="J347" s="70"/>
      <c r="K347" s="34" t="s">
        <v>65</v>
      </c>
      <c r="L347" s="77">
        <v>347</v>
      </c>
      <c r="M347" s="77"/>
      <c r="N347" s="72"/>
      <c r="O347" s="79" t="s">
        <v>610</v>
      </c>
      <c r="P347" s="79">
        <v>1</v>
      </c>
      <c r="Q347" s="78" t="str">
        <f>REPLACE(INDEX(GroupVertices[Group],MATCH(Edges[[#This Row],[Vertex 1]],GroupVertices[Vertex],0)),1,1,"")</f>
        <v>TSU Online</v>
      </c>
      <c r="R347" s="78" t="str">
        <f>REPLACE(INDEX(GroupVertices[Group],MATCH(Edges[[#This Row],[Vertex 2]],GroupVertices[Vertex],0)),1,1,"")</f>
        <v>CAT Questions</v>
      </c>
    </row>
    <row r="348" spans="1:18" ht="15">
      <c r="A348" s="64" t="s">
        <v>224</v>
      </c>
      <c r="B348" s="64" t="s">
        <v>2229</v>
      </c>
      <c r="C348" s="65" t="s">
        <v>4443</v>
      </c>
      <c r="D348" s="66">
        <v>3</v>
      </c>
      <c r="E348" s="67"/>
      <c r="F348" s="68">
        <v>40</v>
      </c>
      <c r="G348" s="65"/>
      <c r="H348" s="69"/>
      <c r="I348" s="70"/>
      <c r="J348" s="70"/>
      <c r="K348" s="34" t="s">
        <v>65</v>
      </c>
      <c r="L348" s="77">
        <v>348</v>
      </c>
      <c r="M348" s="77"/>
      <c r="N348" s="72"/>
      <c r="O348" s="79" t="s">
        <v>610</v>
      </c>
      <c r="P348" s="79">
        <v>1</v>
      </c>
      <c r="Q348" s="78" t="str">
        <f>REPLACE(INDEX(GroupVertices[Group],MATCH(Edges[[#This Row],[Vertex 1]],GroupVertices[Vertex],0)),1,1,"")</f>
        <v>TSU Online</v>
      </c>
      <c r="R348" s="78" t="str">
        <f>REPLACE(INDEX(GroupVertices[Group],MATCH(Edges[[#This Row],[Vertex 2]],GroupVertices[Vertex],0)),1,1,"")</f>
        <v>allavi wase</v>
      </c>
    </row>
    <row r="349" spans="1:18" ht="15">
      <c r="A349" s="64" t="s">
        <v>224</v>
      </c>
      <c r="B349" s="64" t="s">
        <v>2230</v>
      </c>
      <c r="C349" s="65" t="s">
        <v>4443</v>
      </c>
      <c r="D349" s="66">
        <v>3</v>
      </c>
      <c r="E349" s="67"/>
      <c r="F349" s="68">
        <v>40</v>
      </c>
      <c r="G349" s="65"/>
      <c r="H349" s="69"/>
      <c r="I349" s="70"/>
      <c r="J349" s="70"/>
      <c r="K349" s="34" t="s">
        <v>65</v>
      </c>
      <c r="L349" s="77">
        <v>349</v>
      </c>
      <c r="M349" s="77"/>
      <c r="N349" s="72"/>
      <c r="O349" s="79" t="s">
        <v>610</v>
      </c>
      <c r="P349" s="79">
        <v>1</v>
      </c>
      <c r="Q349" s="78" t="str">
        <f>REPLACE(INDEX(GroupVertices[Group],MATCH(Edges[[#This Row],[Vertex 1]],GroupVertices[Vertex],0)),1,1,"")</f>
        <v>TSU Online</v>
      </c>
      <c r="R349" s="78" t="str">
        <f>REPLACE(INDEX(GroupVertices[Group],MATCH(Edges[[#This Row],[Vertex 2]],GroupVertices[Vertex],0)),1,1,"")</f>
        <v>iny Kiwi Studio</v>
      </c>
    </row>
    <row r="350" spans="1:18" ht="15">
      <c r="A350" s="64" t="s">
        <v>224</v>
      </c>
      <c r="B350" s="64" t="s">
        <v>2231</v>
      </c>
      <c r="C350" s="65" t="s">
        <v>4443</v>
      </c>
      <c r="D350" s="66">
        <v>3</v>
      </c>
      <c r="E350" s="67"/>
      <c r="F350" s="68">
        <v>40</v>
      </c>
      <c r="G350" s="65"/>
      <c r="H350" s="69"/>
      <c r="I350" s="70"/>
      <c r="J350" s="70"/>
      <c r="K350" s="34" t="s">
        <v>65</v>
      </c>
      <c r="L350" s="77">
        <v>350</v>
      </c>
      <c r="M350" s="77"/>
      <c r="N350" s="72"/>
      <c r="O350" s="79" t="s">
        <v>610</v>
      </c>
      <c r="P350" s="79">
        <v>1</v>
      </c>
      <c r="Q350" s="78" t="str">
        <f>REPLACE(INDEX(GroupVertices[Group],MATCH(Edges[[#This Row],[Vertex 1]],GroupVertices[Vertex],0)),1,1,"")</f>
        <v>TSU Online</v>
      </c>
      <c r="R350" s="78" t="str">
        <f>REPLACE(INDEX(GroupVertices[Group],MATCH(Edges[[#This Row],[Vertex 2]],GroupVertices[Vertex],0)),1,1,"")</f>
        <v>rving Institute</v>
      </c>
    </row>
    <row r="351" spans="1:18" ht="15">
      <c r="A351" s="64" t="s">
        <v>224</v>
      </c>
      <c r="B351" s="64" t="s">
        <v>2232</v>
      </c>
      <c r="C351" s="65" t="s">
        <v>4443</v>
      </c>
      <c r="D351" s="66">
        <v>3</v>
      </c>
      <c r="E351" s="67"/>
      <c r="F351" s="68">
        <v>40</v>
      </c>
      <c r="G351" s="65"/>
      <c r="H351" s="69"/>
      <c r="I351" s="70"/>
      <c r="J351" s="70"/>
      <c r="K351" s="34" t="s">
        <v>65</v>
      </c>
      <c r="L351" s="77">
        <v>351</v>
      </c>
      <c r="M351" s="77"/>
      <c r="N351" s="72"/>
      <c r="O351" s="79" t="s">
        <v>610</v>
      </c>
      <c r="P351" s="79">
        <v>1</v>
      </c>
      <c r="Q351" s="78" t="str">
        <f>REPLACE(INDEX(GroupVertices[Group],MATCH(Edges[[#This Row],[Vertex 1]],GroupVertices[Vertex],0)),1,1,"")</f>
        <v>TSU Online</v>
      </c>
      <c r="R351" s="78" t="str">
        <f>REPLACE(INDEX(GroupVertices[Group],MATCH(Edges[[#This Row],[Vertex 2]],GroupVertices[Vertex],0)),1,1,"")</f>
        <v>ulex</v>
      </c>
    </row>
    <row r="352" spans="1:18" ht="15">
      <c r="A352" s="64" t="s">
        <v>224</v>
      </c>
      <c r="B352" s="64" t="s">
        <v>2233</v>
      </c>
      <c r="C352" s="65" t="s">
        <v>4443</v>
      </c>
      <c r="D352" s="66">
        <v>3</v>
      </c>
      <c r="E352" s="67"/>
      <c r="F352" s="68">
        <v>40</v>
      </c>
      <c r="G352" s="65"/>
      <c r="H352" s="69"/>
      <c r="I352" s="70"/>
      <c r="J352" s="70"/>
      <c r="K352" s="34" t="s">
        <v>65</v>
      </c>
      <c r="L352" s="77">
        <v>352</v>
      </c>
      <c r="M352" s="77"/>
      <c r="N352" s="72"/>
      <c r="O352" s="79" t="s">
        <v>610</v>
      </c>
      <c r="P352" s="79">
        <v>1</v>
      </c>
      <c r="Q352" s="78" t="str">
        <f>REPLACE(INDEX(GroupVertices[Group],MATCH(Edges[[#This Row],[Vertex 1]],GroupVertices[Vertex],0)),1,1,"")</f>
        <v>TSU Online</v>
      </c>
      <c r="R352" s="78" t="str">
        <f>REPLACE(INDEX(GroupVertices[Group],MATCH(Edges[[#This Row],[Vertex 2]],GroupVertices[Vertex],0)),1,1,"")</f>
        <v>P Jayaswal</v>
      </c>
    </row>
    <row r="353" spans="1:18" ht="15">
      <c r="A353" s="64" t="s">
        <v>224</v>
      </c>
      <c r="B353" s="64" t="s">
        <v>2234</v>
      </c>
      <c r="C353" s="65" t="s">
        <v>4443</v>
      </c>
      <c r="D353" s="66">
        <v>3</v>
      </c>
      <c r="E353" s="67"/>
      <c r="F353" s="68">
        <v>40</v>
      </c>
      <c r="G353" s="65"/>
      <c r="H353" s="69"/>
      <c r="I353" s="70"/>
      <c r="J353" s="70"/>
      <c r="K353" s="34" t="s">
        <v>65</v>
      </c>
      <c r="L353" s="77">
        <v>353</v>
      </c>
      <c r="M353" s="77"/>
      <c r="N353" s="72"/>
      <c r="O353" s="79" t="s">
        <v>610</v>
      </c>
      <c r="P353" s="79">
        <v>1</v>
      </c>
      <c r="Q353" s="78" t="str">
        <f>REPLACE(INDEX(GroupVertices[Group],MATCH(Edges[[#This Row],[Vertex 1]],GroupVertices[Vertex],0)),1,1,"")</f>
        <v>TSU Online</v>
      </c>
      <c r="R353" s="78" t="str">
        <f>REPLACE(INDEX(GroupVertices[Group],MATCH(Edges[[#This Row],[Vertex 2]],GroupVertices[Vertex],0)),1,1,"")</f>
        <v>TSU Online</v>
      </c>
    </row>
    <row r="354" spans="1:18" ht="15">
      <c r="A354" s="64" t="s">
        <v>224</v>
      </c>
      <c r="B354" s="64" t="s">
        <v>2235</v>
      </c>
      <c r="C354" s="65" t="s">
        <v>4443</v>
      </c>
      <c r="D354" s="66">
        <v>3</v>
      </c>
      <c r="E354" s="67"/>
      <c r="F354" s="68">
        <v>40</v>
      </c>
      <c r="G354" s="65"/>
      <c r="H354" s="69"/>
      <c r="I354" s="70"/>
      <c r="J354" s="70"/>
      <c r="K354" s="34" t="s">
        <v>65</v>
      </c>
      <c r="L354" s="77">
        <v>354</v>
      </c>
      <c r="M354" s="77"/>
      <c r="N354" s="72"/>
      <c r="O354" s="79" t="s">
        <v>610</v>
      </c>
      <c r="P354" s="79">
        <v>1</v>
      </c>
      <c r="Q354" s="78" t="str">
        <f>REPLACE(INDEX(GroupVertices[Group],MATCH(Edges[[#This Row],[Vertex 1]],GroupVertices[Vertex],0)),1,1,"")</f>
        <v>TSU Online</v>
      </c>
      <c r="R354" s="78" t="str">
        <f>REPLACE(INDEX(GroupVertices[Group],MATCH(Edges[[#This Row],[Vertex 2]],GroupVertices[Vertex],0)),1,1,"")</f>
        <v>TSU Online</v>
      </c>
    </row>
    <row r="355" spans="1:18" ht="15">
      <c r="A355" s="64" t="s">
        <v>224</v>
      </c>
      <c r="B355" s="64" t="s">
        <v>2236</v>
      </c>
      <c r="C355" s="65" t="s">
        <v>4443</v>
      </c>
      <c r="D355" s="66">
        <v>3</v>
      </c>
      <c r="E355" s="67"/>
      <c r="F355" s="68">
        <v>40</v>
      </c>
      <c r="G355" s="65"/>
      <c r="H355" s="69"/>
      <c r="I355" s="70"/>
      <c r="J355" s="70"/>
      <c r="K355" s="34" t="s">
        <v>65</v>
      </c>
      <c r="L355" s="77">
        <v>355</v>
      </c>
      <c r="M355" s="77"/>
      <c r="N355" s="72"/>
      <c r="O355" s="79" t="s">
        <v>610</v>
      </c>
      <c r="P355" s="79">
        <v>1</v>
      </c>
      <c r="Q355" s="78" t="str">
        <f>REPLACE(INDEX(GroupVertices[Group],MATCH(Edges[[#This Row],[Vertex 1]],GroupVertices[Vertex],0)),1,1,"")</f>
        <v>TSU Online</v>
      </c>
      <c r="R355" s="78" t="str">
        <f>REPLACE(INDEX(GroupVertices[Group],MATCH(Edges[[#This Row],[Vertex 2]],GroupVertices[Vertex],0)),1,1,"")</f>
        <v>NO-Klinik und DHZ der MHH</v>
      </c>
    </row>
    <row r="356" spans="1:18" ht="15">
      <c r="A356" s="64" t="s">
        <v>224</v>
      </c>
      <c r="B356" s="64" t="s">
        <v>2237</v>
      </c>
      <c r="C356" s="65" t="s">
        <v>4443</v>
      </c>
      <c r="D356" s="66">
        <v>3</v>
      </c>
      <c r="E356" s="67"/>
      <c r="F356" s="68">
        <v>40</v>
      </c>
      <c r="G356" s="65"/>
      <c r="H356" s="69"/>
      <c r="I356" s="70"/>
      <c r="J356" s="70"/>
      <c r="K356" s="34" t="s">
        <v>65</v>
      </c>
      <c r="L356" s="77">
        <v>356</v>
      </c>
      <c r="M356" s="77"/>
      <c r="N356" s="72"/>
      <c r="O356" s="79" t="s">
        <v>610</v>
      </c>
      <c r="P356" s="79">
        <v>1</v>
      </c>
      <c r="Q356" s="78" t="str">
        <f>REPLACE(INDEX(GroupVertices[Group],MATCH(Edges[[#This Row],[Vertex 1]],GroupVertices[Vertex],0)),1,1,"")</f>
        <v>TSU Online</v>
      </c>
      <c r="R356" s="78" t="str">
        <f>REPLACE(INDEX(GroupVertices[Group],MATCH(Edges[[#This Row],[Vertex 2]],GroupVertices[Vertex],0)),1,1,"")</f>
        <v>TSU Online</v>
      </c>
    </row>
    <row r="357" spans="1:18" ht="15">
      <c r="A357" s="64" t="s">
        <v>224</v>
      </c>
      <c r="B357" s="64" t="s">
        <v>2238</v>
      </c>
      <c r="C357" s="65" t="s">
        <v>4443</v>
      </c>
      <c r="D357" s="66">
        <v>3</v>
      </c>
      <c r="E357" s="67"/>
      <c r="F357" s="68">
        <v>40</v>
      </c>
      <c r="G357" s="65"/>
      <c r="H357" s="69"/>
      <c r="I357" s="70"/>
      <c r="J357" s="70"/>
      <c r="K357" s="34" t="s">
        <v>65</v>
      </c>
      <c r="L357" s="77">
        <v>357</v>
      </c>
      <c r="M357" s="77"/>
      <c r="N357" s="72"/>
      <c r="O357" s="79" t="s">
        <v>610</v>
      </c>
      <c r="P357" s="79">
        <v>1</v>
      </c>
      <c r="Q357" s="78" t="str">
        <f>REPLACE(INDEX(GroupVertices[Group],MATCH(Edges[[#This Row],[Vertex 1]],GroupVertices[Vertex],0)),1,1,"")</f>
        <v>TSU Online</v>
      </c>
      <c r="R357" s="78" t="str">
        <f>REPLACE(INDEX(GroupVertices[Group],MATCH(Edges[[#This Row],[Vertex 2]],GroupVertices[Vertex],0)),1,1,"")</f>
        <v>TSU Online</v>
      </c>
    </row>
    <row r="358" spans="1:18" ht="15">
      <c r="A358" s="64" t="s">
        <v>224</v>
      </c>
      <c r="B358" s="64" t="s">
        <v>2239</v>
      </c>
      <c r="C358" s="65" t="s">
        <v>4443</v>
      </c>
      <c r="D358" s="66">
        <v>3</v>
      </c>
      <c r="E358" s="67"/>
      <c r="F358" s="68">
        <v>40</v>
      </c>
      <c r="G358" s="65"/>
      <c r="H358" s="69"/>
      <c r="I358" s="70"/>
      <c r="J358" s="70"/>
      <c r="K358" s="34" t="s">
        <v>65</v>
      </c>
      <c r="L358" s="77">
        <v>358</v>
      </c>
      <c r="M358" s="77"/>
      <c r="N358" s="72"/>
      <c r="O358" s="79" t="s">
        <v>610</v>
      </c>
      <c r="P358" s="79">
        <v>1</v>
      </c>
      <c r="Q358" s="78" t="str">
        <f>REPLACE(INDEX(GroupVertices[Group],MATCH(Edges[[#This Row],[Vertex 1]],GroupVertices[Vertex],0)),1,1,"")</f>
        <v>TSU Online</v>
      </c>
      <c r="R358" s="78" t="str">
        <f>REPLACE(INDEX(GroupVertices[Group],MATCH(Edges[[#This Row],[Vertex 2]],GroupVertices[Vertex],0)),1,1,"")</f>
        <v>TSU Online</v>
      </c>
    </row>
    <row r="359" spans="1:18" ht="15">
      <c r="A359" s="64" t="s">
        <v>224</v>
      </c>
      <c r="B359" s="64" t="s">
        <v>2240</v>
      </c>
      <c r="C359" s="65" t="s">
        <v>4443</v>
      </c>
      <c r="D359" s="66">
        <v>3</v>
      </c>
      <c r="E359" s="67"/>
      <c r="F359" s="68">
        <v>40</v>
      </c>
      <c r="G359" s="65"/>
      <c r="H359" s="69"/>
      <c r="I359" s="70"/>
      <c r="J359" s="70"/>
      <c r="K359" s="34" t="s">
        <v>65</v>
      </c>
      <c r="L359" s="77">
        <v>359</v>
      </c>
      <c r="M359" s="77"/>
      <c r="N359" s="72"/>
      <c r="O359" s="79" t="s">
        <v>610</v>
      </c>
      <c r="P359" s="79">
        <v>1</v>
      </c>
      <c r="Q359" s="78" t="str">
        <f>REPLACE(INDEX(GroupVertices[Group],MATCH(Edges[[#This Row],[Vertex 1]],GroupVertices[Vertex],0)),1,1,"")</f>
        <v>TSU Online</v>
      </c>
      <c r="R359" s="78" t="str">
        <f>REPLACE(INDEX(GroupVertices[Group],MATCH(Edges[[#This Row],[Vertex 2]],GroupVertices[Vertex],0)),1,1,"")</f>
        <v>TSU Online</v>
      </c>
    </row>
    <row r="360" spans="1:18" ht="15">
      <c r="A360" s="64" t="s">
        <v>224</v>
      </c>
      <c r="B360" s="64" t="s">
        <v>2241</v>
      </c>
      <c r="C360" s="65" t="s">
        <v>4443</v>
      </c>
      <c r="D360" s="66">
        <v>3</v>
      </c>
      <c r="E360" s="67"/>
      <c r="F360" s="68">
        <v>40</v>
      </c>
      <c r="G360" s="65"/>
      <c r="H360" s="69"/>
      <c r="I360" s="70"/>
      <c r="J360" s="70"/>
      <c r="K360" s="34" t="s">
        <v>65</v>
      </c>
      <c r="L360" s="77">
        <v>360</v>
      </c>
      <c r="M360" s="77"/>
      <c r="N360" s="72"/>
      <c r="O360" s="79" t="s">
        <v>610</v>
      </c>
      <c r="P360" s="79">
        <v>1</v>
      </c>
      <c r="Q360" s="78" t="str">
        <f>REPLACE(INDEX(GroupVertices[Group],MATCH(Edges[[#This Row],[Vertex 1]],GroupVertices[Vertex],0)),1,1,"")</f>
        <v>TSU Online</v>
      </c>
      <c r="R360" s="78" t="str">
        <f>REPLACE(INDEX(GroupVertices[Group],MATCH(Edges[[#This Row],[Vertex 2]],GroupVertices[Vertex],0)),1,1,"")</f>
        <v>TSU Online</v>
      </c>
    </row>
    <row r="361" spans="1:18" ht="15">
      <c r="A361" s="64" t="s">
        <v>224</v>
      </c>
      <c r="B361" s="64" t="s">
        <v>2242</v>
      </c>
      <c r="C361" s="65" t="s">
        <v>4443</v>
      </c>
      <c r="D361" s="66">
        <v>3</v>
      </c>
      <c r="E361" s="67"/>
      <c r="F361" s="68">
        <v>40</v>
      </c>
      <c r="G361" s="65"/>
      <c r="H361" s="69"/>
      <c r="I361" s="70"/>
      <c r="J361" s="70"/>
      <c r="K361" s="34" t="s">
        <v>65</v>
      </c>
      <c r="L361" s="77">
        <v>361</v>
      </c>
      <c r="M361" s="77"/>
      <c r="N361" s="72"/>
      <c r="O361" s="79" t="s">
        <v>610</v>
      </c>
      <c r="P361" s="79">
        <v>1</v>
      </c>
      <c r="Q361" s="78" t="str">
        <f>REPLACE(INDEX(GroupVertices[Group],MATCH(Edges[[#This Row],[Vertex 1]],GroupVertices[Vertex],0)),1,1,"")</f>
        <v>TSU Online</v>
      </c>
      <c r="R361" s="78" t="str">
        <f>REPLACE(INDEX(GroupVertices[Group],MATCH(Edges[[#This Row],[Vertex 2]],GroupVertices[Vertex],0)),1,1,"")</f>
        <v>TSU Online</v>
      </c>
    </row>
    <row r="362" spans="1:18" ht="15">
      <c r="A362" s="64" t="s">
        <v>224</v>
      </c>
      <c r="B362" s="64" t="s">
        <v>2243</v>
      </c>
      <c r="C362" s="65" t="s">
        <v>4443</v>
      </c>
      <c r="D362" s="66">
        <v>3</v>
      </c>
      <c r="E362" s="67"/>
      <c r="F362" s="68">
        <v>40</v>
      </c>
      <c r="G362" s="65"/>
      <c r="H362" s="69"/>
      <c r="I362" s="70"/>
      <c r="J362" s="70"/>
      <c r="K362" s="34" t="s">
        <v>65</v>
      </c>
      <c r="L362" s="77">
        <v>362</v>
      </c>
      <c r="M362" s="77"/>
      <c r="N362" s="72"/>
      <c r="O362" s="79" t="s">
        <v>610</v>
      </c>
      <c r="P362" s="79">
        <v>1</v>
      </c>
      <c r="Q362" s="78" t="str">
        <f>REPLACE(INDEX(GroupVertices[Group],MATCH(Edges[[#This Row],[Vertex 1]],GroupVertices[Vertex],0)),1,1,"")</f>
        <v>TSU Online</v>
      </c>
      <c r="R362" s="78" t="str">
        <f>REPLACE(INDEX(GroupVertices[Group],MATCH(Edges[[#This Row],[Vertex 2]],GroupVertices[Vertex],0)),1,1,"")</f>
        <v>TSU Online</v>
      </c>
    </row>
    <row r="363" spans="1:18" ht="15">
      <c r="A363" s="64" t="s">
        <v>224</v>
      </c>
      <c r="B363" s="64" t="s">
        <v>416</v>
      </c>
      <c r="C363" s="65" t="s">
        <v>4443</v>
      </c>
      <c r="D363" s="66">
        <v>3</v>
      </c>
      <c r="E363" s="67"/>
      <c r="F363" s="68">
        <v>40</v>
      </c>
      <c r="G363" s="65"/>
      <c r="H363" s="69"/>
      <c r="I363" s="70"/>
      <c r="J363" s="70"/>
      <c r="K363" s="34" t="s">
        <v>65</v>
      </c>
      <c r="L363" s="77">
        <v>363</v>
      </c>
      <c r="M363" s="77"/>
      <c r="N363" s="72"/>
      <c r="O363" s="79" t="s">
        <v>610</v>
      </c>
      <c r="P363" s="79">
        <v>1</v>
      </c>
      <c r="Q363" s="78" t="str">
        <f>REPLACE(INDEX(GroupVertices[Group],MATCH(Edges[[#This Row],[Vertex 1]],GroupVertices[Vertex],0)),1,1,"")</f>
        <v>TSU Online</v>
      </c>
      <c r="R363" s="78" t="str">
        <f>REPLACE(INDEX(GroupVertices[Group],MATCH(Edges[[#This Row],[Vertex 2]],GroupVertices[Vertex],0)),1,1,"")</f>
        <v>TSU Online</v>
      </c>
    </row>
    <row r="364" spans="1:18" ht="15">
      <c r="A364" s="64" t="s">
        <v>224</v>
      </c>
      <c r="B364" s="64" t="s">
        <v>417</v>
      </c>
      <c r="C364" s="65" t="s">
        <v>4443</v>
      </c>
      <c r="D364" s="66">
        <v>3</v>
      </c>
      <c r="E364" s="67"/>
      <c r="F364" s="68">
        <v>40</v>
      </c>
      <c r="G364" s="65"/>
      <c r="H364" s="69"/>
      <c r="I364" s="70"/>
      <c r="J364" s="70"/>
      <c r="K364" s="34" t="s">
        <v>65</v>
      </c>
      <c r="L364" s="77">
        <v>364</v>
      </c>
      <c r="M364" s="77"/>
      <c r="N364" s="72"/>
      <c r="O364" s="79" t="s">
        <v>610</v>
      </c>
      <c r="P364" s="79">
        <v>1</v>
      </c>
      <c r="Q364" s="78" t="str">
        <f>REPLACE(INDEX(GroupVertices[Group],MATCH(Edges[[#This Row],[Vertex 1]],GroupVertices[Vertex],0)),1,1,"")</f>
        <v>TSU Online</v>
      </c>
      <c r="R364" s="78" t="str">
        <f>REPLACE(INDEX(GroupVertices[Group],MATCH(Edges[[#This Row],[Vertex 2]],GroupVertices[Vertex],0)),1,1,"")</f>
        <v>TSU Online</v>
      </c>
    </row>
    <row r="365" spans="1:18" ht="15">
      <c r="A365" s="64" t="s">
        <v>224</v>
      </c>
      <c r="B365" s="64" t="s">
        <v>2244</v>
      </c>
      <c r="C365" s="65" t="s">
        <v>4443</v>
      </c>
      <c r="D365" s="66">
        <v>3</v>
      </c>
      <c r="E365" s="67"/>
      <c r="F365" s="68">
        <v>40</v>
      </c>
      <c r="G365" s="65"/>
      <c r="H365" s="69"/>
      <c r="I365" s="70"/>
      <c r="J365" s="70"/>
      <c r="K365" s="34" t="s">
        <v>65</v>
      </c>
      <c r="L365" s="77">
        <v>365</v>
      </c>
      <c r="M365" s="77"/>
      <c r="N365" s="72"/>
      <c r="O365" s="79" t="s">
        <v>610</v>
      </c>
      <c r="P365" s="79">
        <v>1</v>
      </c>
      <c r="Q365" s="78" t="str">
        <f>REPLACE(INDEX(GroupVertices[Group],MATCH(Edges[[#This Row],[Vertex 1]],GroupVertices[Vertex],0)),1,1,"")</f>
        <v>TSU Online</v>
      </c>
      <c r="R365" s="78" t="str">
        <f>REPLACE(INDEX(GroupVertices[Group],MATCH(Edges[[#This Row],[Vertex 2]],GroupVertices[Vertex],0)),1,1,"")</f>
        <v>TSU Online</v>
      </c>
    </row>
    <row r="366" spans="1:18" ht="15">
      <c r="A366" s="64" t="s">
        <v>224</v>
      </c>
      <c r="B366" s="64" t="s">
        <v>2245</v>
      </c>
      <c r="C366" s="65" t="s">
        <v>4443</v>
      </c>
      <c r="D366" s="66">
        <v>3</v>
      </c>
      <c r="E366" s="67"/>
      <c r="F366" s="68">
        <v>40</v>
      </c>
      <c r="G366" s="65"/>
      <c r="H366" s="69"/>
      <c r="I366" s="70"/>
      <c r="J366" s="70"/>
      <c r="K366" s="34" t="s">
        <v>65</v>
      </c>
      <c r="L366" s="77">
        <v>366</v>
      </c>
      <c r="M366" s="77"/>
      <c r="N366" s="72"/>
      <c r="O366" s="79" t="s">
        <v>610</v>
      </c>
      <c r="P366" s="79">
        <v>1</v>
      </c>
      <c r="Q366" s="78" t="str">
        <f>REPLACE(INDEX(GroupVertices[Group],MATCH(Edges[[#This Row],[Vertex 1]],GroupVertices[Vertex],0)),1,1,"")</f>
        <v>TSU Online</v>
      </c>
      <c r="R366" s="78" t="str">
        <f>REPLACE(INDEX(GroupVertices[Group],MATCH(Edges[[#This Row],[Vertex 2]],GroupVertices[Vertex],0)),1,1,"")</f>
        <v>TSU Online</v>
      </c>
    </row>
    <row r="367" spans="1:18" ht="15">
      <c r="A367" s="64" t="s">
        <v>224</v>
      </c>
      <c r="B367" s="64" t="s">
        <v>415</v>
      </c>
      <c r="C367" s="65" t="s">
        <v>4443</v>
      </c>
      <c r="D367" s="66">
        <v>3</v>
      </c>
      <c r="E367" s="67"/>
      <c r="F367" s="68">
        <v>40</v>
      </c>
      <c r="G367" s="65"/>
      <c r="H367" s="69"/>
      <c r="I367" s="70"/>
      <c r="J367" s="70"/>
      <c r="K367" s="34" t="s">
        <v>65</v>
      </c>
      <c r="L367" s="77">
        <v>367</v>
      </c>
      <c r="M367" s="77"/>
      <c r="N367" s="72"/>
      <c r="O367" s="79" t="s">
        <v>610</v>
      </c>
      <c r="P367" s="79">
        <v>1</v>
      </c>
      <c r="Q367" s="78" t="str">
        <f>REPLACE(INDEX(GroupVertices[Group],MATCH(Edges[[#This Row],[Vertex 1]],GroupVertices[Vertex],0)),1,1,"")</f>
        <v>TSU Online</v>
      </c>
      <c r="R367" s="78" t="str">
        <f>REPLACE(INDEX(GroupVertices[Group],MATCH(Edges[[#This Row],[Vertex 2]],GroupVertices[Vertex],0)),1,1,"")</f>
        <v>TSU Online</v>
      </c>
    </row>
    <row r="368" spans="1:18" ht="15">
      <c r="A368" s="64" t="s">
        <v>224</v>
      </c>
      <c r="B368" s="64" t="s">
        <v>418</v>
      </c>
      <c r="C368" s="65" t="s">
        <v>4443</v>
      </c>
      <c r="D368" s="66">
        <v>3</v>
      </c>
      <c r="E368" s="67"/>
      <c r="F368" s="68">
        <v>40</v>
      </c>
      <c r="G368" s="65"/>
      <c r="H368" s="69"/>
      <c r="I368" s="70"/>
      <c r="J368" s="70"/>
      <c r="K368" s="34" t="s">
        <v>65</v>
      </c>
      <c r="L368" s="77">
        <v>368</v>
      </c>
      <c r="M368" s="77"/>
      <c r="N368" s="72"/>
      <c r="O368" s="79" t="s">
        <v>610</v>
      </c>
      <c r="P368" s="79">
        <v>1</v>
      </c>
      <c r="Q368" s="78" t="str">
        <f>REPLACE(INDEX(GroupVertices[Group],MATCH(Edges[[#This Row],[Vertex 1]],GroupVertices[Vertex],0)),1,1,"")</f>
        <v>TSU Online</v>
      </c>
      <c r="R368" s="78" t="str">
        <f>REPLACE(INDEX(GroupVertices[Group],MATCH(Edges[[#This Row],[Vertex 2]],GroupVertices[Vertex],0)),1,1,"")</f>
        <v>TSU Online</v>
      </c>
    </row>
    <row r="369" spans="1:18" ht="15">
      <c r="A369" s="64" t="s">
        <v>212</v>
      </c>
      <c r="B369" s="64" t="s">
        <v>326</v>
      </c>
      <c r="C369" s="65" t="s">
        <v>4443</v>
      </c>
      <c r="D369" s="66">
        <v>3</v>
      </c>
      <c r="E369" s="67"/>
      <c r="F369" s="68">
        <v>40</v>
      </c>
      <c r="G369" s="65"/>
      <c r="H369" s="69"/>
      <c r="I369" s="70"/>
      <c r="J369" s="70"/>
      <c r="K369" s="34" t="s">
        <v>65</v>
      </c>
      <c r="L369" s="77">
        <v>369</v>
      </c>
      <c r="M369" s="77"/>
      <c r="N369" s="72"/>
      <c r="O369" s="79" t="s">
        <v>610</v>
      </c>
      <c r="P369" s="79">
        <v>1</v>
      </c>
      <c r="Q369" s="78" t="str">
        <f>REPLACE(INDEX(GroupVertices[Group],MATCH(Edges[[#This Row],[Vertex 1]],GroupVertices[Vertex],0)),1,1,"")</f>
        <v>nlineCEUCredit</v>
      </c>
      <c r="R369" s="78" t="str">
        <f>REPLACE(INDEX(GroupVertices[Group],MATCH(Edges[[#This Row],[Vertex 2]],GroupVertices[Vertex],0)),1,1,"")</f>
        <v>eady Study Go</v>
      </c>
    </row>
    <row r="370" spans="1:18" ht="15">
      <c r="A370" s="64" t="s">
        <v>212</v>
      </c>
      <c r="B370" s="64" t="s">
        <v>346</v>
      </c>
      <c r="C370" s="65" t="s">
        <v>4443</v>
      </c>
      <c r="D370" s="66">
        <v>3</v>
      </c>
      <c r="E370" s="67"/>
      <c r="F370" s="68">
        <v>40</v>
      </c>
      <c r="G370" s="65"/>
      <c r="H370" s="69"/>
      <c r="I370" s="70"/>
      <c r="J370" s="70"/>
      <c r="K370" s="34" t="s">
        <v>65</v>
      </c>
      <c r="L370" s="77">
        <v>370</v>
      </c>
      <c r="M370" s="77"/>
      <c r="N370" s="72"/>
      <c r="O370" s="79" t="s">
        <v>610</v>
      </c>
      <c r="P370" s="79">
        <v>1</v>
      </c>
      <c r="Q370" s="78" t="str">
        <f>REPLACE(INDEX(GroupVertices[Group],MATCH(Edges[[#This Row],[Vertex 1]],GroupVertices[Vertex],0)),1,1,"")</f>
        <v>nlineCEUCredit</v>
      </c>
      <c r="R370" s="78" t="str">
        <f>REPLACE(INDEX(GroupVertices[Group],MATCH(Edges[[#This Row],[Vertex 2]],GroupVertices[Vertex],0)),1,1,"")</f>
        <v>nlineCEUCredit</v>
      </c>
    </row>
    <row r="371" spans="1:18" ht="15">
      <c r="A371" s="64" t="s">
        <v>212</v>
      </c>
      <c r="B371" s="64" t="s">
        <v>327</v>
      </c>
      <c r="C371" s="65" t="s">
        <v>4443</v>
      </c>
      <c r="D371" s="66">
        <v>3</v>
      </c>
      <c r="E371" s="67"/>
      <c r="F371" s="68">
        <v>40</v>
      </c>
      <c r="G371" s="65"/>
      <c r="H371" s="69"/>
      <c r="I371" s="70"/>
      <c r="J371" s="70"/>
      <c r="K371" s="34" t="s">
        <v>65</v>
      </c>
      <c r="L371" s="77">
        <v>371</v>
      </c>
      <c r="M371" s="77"/>
      <c r="N371" s="72"/>
      <c r="O371" s="79" t="s">
        <v>610</v>
      </c>
      <c r="P371" s="79">
        <v>1</v>
      </c>
      <c r="Q371" s="78" t="str">
        <f>REPLACE(INDEX(GroupVertices[Group],MATCH(Edges[[#This Row],[Vertex 1]],GroupVertices[Vertex],0)),1,1,"")</f>
        <v>nlineCEUCredit</v>
      </c>
      <c r="R371" s="78" t="str">
        <f>REPLACE(INDEX(GroupVertices[Group],MATCH(Edges[[#This Row],[Vertex 2]],GroupVertices[Vertex],0)),1,1,"")</f>
        <v>nlineCEUCredit</v>
      </c>
    </row>
    <row r="372" spans="1:18" ht="15">
      <c r="A372" s="64" t="s">
        <v>212</v>
      </c>
      <c r="B372" s="64" t="s">
        <v>344</v>
      </c>
      <c r="C372" s="65" t="s">
        <v>4443</v>
      </c>
      <c r="D372" s="66">
        <v>3</v>
      </c>
      <c r="E372" s="67"/>
      <c r="F372" s="68">
        <v>40</v>
      </c>
      <c r="G372" s="65"/>
      <c r="H372" s="69"/>
      <c r="I372" s="70"/>
      <c r="J372" s="70"/>
      <c r="K372" s="34" t="s">
        <v>65</v>
      </c>
      <c r="L372" s="77">
        <v>372</v>
      </c>
      <c r="M372" s="77"/>
      <c r="N372" s="72"/>
      <c r="O372" s="79" t="s">
        <v>610</v>
      </c>
      <c r="P372" s="79">
        <v>1</v>
      </c>
      <c r="Q372" s="78" t="str">
        <f>REPLACE(INDEX(GroupVertices[Group],MATCH(Edges[[#This Row],[Vertex 1]],GroupVertices[Vertex],0)),1,1,"")</f>
        <v>nlineCEUCredit</v>
      </c>
      <c r="R372" s="78" t="str">
        <f>REPLACE(INDEX(GroupVertices[Group],MATCH(Edges[[#This Row],[Vertex 2]],GroupVertices[Vertex],0)),1,1,"")</f>
        <v>nlineCEUCredit</v>
      </c>
    </row>
    <row r="373" spans="1:18" ht="15">
      <c r="A373" s="64" t="s">
        <v>212</v>
      </c>
      <c r="B373" s="64" t="s">
        <v>329</v>
      </c>
      <c r="C373" s="65" t="s">
        <v>4443</v>
      </c>
      <c r="D373" s="66">
        <v>3</v>
      </c>
      <c r="E373" s="67"/>
      <c r="F373" s="68">
        <v>40</v>
      </c>
      <c r="G373" s="65"/>
      <c r="H373" s="69"/>
      <c r="I373" s="70"/>
      <c r="J373" s="70"/>
      <c r="K373" s="34" t="s">
        <v>65</v>
      </c>
      <c r="L373" s="77">
        <v>373</v>
      </c>
      <c r="M373" s="77"/>
      <c r="N373" s="72"/>
      <c r="O373" s="79" t="s">
        <v>610</v>
      </c>
      <c r="P373" s="79">
        <v>1</v>
      </c>
      <c r="Q373" s="78" t="str">
        <f>REPLACE(INDEX(GroupVertices[Group],MATCH(Edges[[#This Row],[Vertex 1]],GroupVertices[Vertex],0)),1,1,"")</f>
        <v>nlineCEUCredit</v>
      </c>
      <c r="R373" s="78" t="str">
        <f>REPLACE(INDEX(GroupVertices[Group],MATCH(Edges[[#This Row],[Vertex 2]],GroupVertices[Vertex],0)),1,1,"")</f>
        <v>nlineCEUCredit</v>
      </c>
    </row>
    <row r="374" spans="1:18" ht="15">
      <c r="A374" s="64" t="s">
        <v>212</v>
      </c>
      <c r="B374" s="64" t="s">
        <v>338</v>
      </c>
      <c r="C374" s="65" t="s">
        <v>4443</v>
      </c>
      <c r="D374" s="66">
        <v>3</v>
      </c>
      <c r="E374" s="67"/>
      <c r="F374" s="68">
        <v>40</v>
      </c>
      <c r="G374" s="65"/>
      <c r="H374" s="69"/>
      <c r="I374" s="70"/>
      <c r="J374" s="70"/>
      <c r="K374" s="34" t="s">
        <v>65</v>
      </c>
      <c r="L374" s="77">
        <v>374</v>
      </c>
      <c r="M374" s="77"/>
      <c r="N374" s="72"/>
      <c r="O374" s="79" t="s">
        <v>610</v>
      </c>
      <c r="P374" s="79">
        <v>1</v>
      </c>
      <c r="Q374" s="78" t="str">
        <f>REPLACE(INDEX(GroupVertices[Group],MATCH(Edges[[#This Row],[Vertex 1]],GroupVertices[Vertex],0)),1,1,"")</f>
        <v>nlineCEUCredit</v>
      </c>
      <c r="R374" s="78" t="str">
        <f>REPLACE(INDEX(GroupVertices[Group],MATCH(Edges[[#This Row],[Vertex 2]],GroupVertices[Vertex],0)),1,1,"")</f>
        <v>nlineCEUCredit</v>
      </c>
    </row>
    <row r="375" spans="1:18" ht="15">
      <c r="A375" s="64" t="s">
        <v>212</v>
      </c>
      <c r="B375" s="64" t="s">
        <v>330</v>
      </c>
      <c r="C375" s="65" t="s">
        <v>4443</v>
      </c>
      <c r="D375" s="66">
        <v>3</v>
      </c>
      <c r="E375" s="67"/>
      <c r="F375" s="68">
        <v>40</v>
      </c>
      <c r="G375" s="65"/>
      <c r="H375" s="69"/>
      <c r="I375" s="70"/>
      <c r="J375" s="70"/>
      <c r="K375" s="34" t="s">
        <v>65</v>
      </c>
      <c r="L375" s="77">
        <v>375</v>
      </c>
      <c r="M375" s="77"/>
      <c r="N375" s="72"/>
      <c r="O375" s="79" t="s">
        <v>610</v>
      </c>
      <c r="P375" s="79">
        <v>1</v>
      </c>
      <c r="Q375" s="78" t="str">
        <f>REPLACE(INDEX(GroupVertices[Group],MATCH(Edges[[#This Row],[Vertex 1]],GroupVertices[Vertex],0)),1,1,"")</f>
        <v>nlineCEUCredit</v>
      </c>
      <c r="R375" s="78" t="str">
        <f>REPLACE(INDEX(GroupVertices[Group],MATCH(Edges[[#This Row],[Vertex 2]],GroupVertices[Vertex],0)),1,1,"")</f>
        <v>nlineCEUCredit</v>
      </c>
    </row>
    <row r="376" spans="1:18" ht="15">
      <c r="A376" s="64" t="s">
        <v>212</v>
      </c>
      <c r="B376" s="64" t="s">
        <v>345</v>
      </c>
      <c r="C376" s="65" t="s">
        <v>4443</v>
      </c>
      <c r="D376" s="66">
        <v>3</v>
      </c>
      <c r="E376" s="67"/>
      <c r="F376" s="68">
        <v>40</v>
      </c>
      <c r="G376" s="65"/>
      <c r="H376" s="69"/>
      <c r="I376" s="70"/>
      <c r="J376" s="70"/>
      <c r="K376" s="34" t="s">
        <v>65</v>
      </c>
      <c r="L376" s="77">
        <v>376</v>
      </c>
      <c r="M376" s="77"/>
      <c r="N376" s="72"/>
      <c r="O376" s="79" t="s">
        <v>610</v>
      </c>
      <c r="P376" s="79">
        <v>1</v>
      </c>
      <c r="Q376" s="78" t="str">
        <f>REPLACE(INDEX(GroupVertices[Group],MATCH(Edges[[#This Row],[Vertex 1]],GroupVertices[Vertex],0)),1,1,"")</f>
        <v>nlineCEUCredit</v>
      </c>
      <c r="R376" s="78" t="str">
        <f>REPLACE(INDEX(GroupVertices[Group],MATCH(Edges[[#This Row],[Vertex 2]],GroupVertices[Vertex],0)),1,1,"")</f>
        <v>nlineCEUCredit</v>
      </c>
    </row>
    <row r="377" spans="1:18" ht="15">
      <c r="A377" s="64" t="s">
        <v>212</v>
      </c>
      <c r="B377" s="64" t="s">
        <v>333</v>
      </c>
      <c r="C377" s="65" t="s">
        <v>4443</v>
      </c>
      <c r="D377" s="66">
        <v>3</v>
      </c>
      <c r="E377" s="67"/>
      <c r="F377" s="68">
        <v>40</v>
      </c>
      <c r="G377" s="65"/>
      <c r="H377" s="69"/>
      <c r="I377" s="70"/>
      <c r="J377" s="70"/>
      <c r="K377" s="34" t="s">
        <v>65</v>
      </c>
      <c r="L377" s="77">
        <v>377</v>
      </c>
      <c r="M377" s="77"/>
      <c r="N377" s="72"/>
      <c r="O377" s="79" t="s">
        <v>610</v>
      </c>
      <c r="P377" s="79">
        <v>1</v>
      </c>
      <c r="Q377" s="78" t="str">
        <f>REPLACE(INDEX(GroupVertices[Group],MATCH(Edges[[#This Row],[Vertex 1]],GroupVertices[Vertex],0)),1,1,"")</f>
        <v>nlineCEUCredit</v>
      </c>
      <c r="R377" s="78" t="str">
        <f>REPLACE(INDEX(GroupVertices[Group],MATCH(Edges[[#This Row],[Vertex 2]],GroupVertices[Vertex],0)),1,1,"")</f>
        <v>nlineCEUCredit</v>
      </c>
    </row>
    <row r="378" spans="1:18" ht="15">
      <c r="A378" s="64" t="s">
        <v>212</v>
      </c>
      <c r="B378" s="64" t="s">
        <v>336</v>
      </c>
      <c r="C378" s="65" t="s">
        <v>4443</v>
      </c>
      <c r="D378" s="66">
        <v>3</v>
      </c>
      <c r="E378" s="67"/>
      <c r="F378" s="68">
        <v>40</v>
      </c>
      <c r="G378" s="65"/>
      <c r="H378" s="69"/>
      <c r="I378" s="70"/>
      <c r="J378" s="70"/>
      <c r="K378" s="34" t="s">
        <v>65</v>
      </c>
      <c r="L378" s="77">
        <v>378</v>
      </c>
      <c r="M378" s="77"/>
      <c r="N378" s="72"/>
      <c r="O378" s="79" t="s">
        <v>610</v>
      </c>
      <c r="P378" s="79">
        <v>1</v>
      </c>
      <c r="Q378" s="78" t="str">
        <f>REPLACE(INDEX(GroupVertices[Group],MATCH(Edges[[#This Row],[Vertex 1]],GroupVertices[Vertex],0)),1,1,"")</f>
        <v>nlineCEUCredit</v>
      </c>
      <c r="R378" s="78" t="str">
        <f>REPLACE(INDEX(GroupVertices[Group],MATCH(Edges[[#This Row],[Vertex 2]],GroupVertices[Vertex],0)),1,1,"")</f>
        <v>nlineCEUCredit</v>
      </c>
    </row>
    <row r="379" spans="1:18" ht="15">
      <c r="A379" s="64" t="s">
        <v>212</v>
      </c>
      <c r="B379" s="64" t="s">
        <v>337</v>
      </c>
      <c r="C379" s="65" t="s">
        <v>4443</v>
      </c>
      <c r="D379" s="66">
        <v>3</v>
      </c>
      <c r="E379" s="67"/>
      <c r="F379" s="68">
        <v>40</v>
      </c>
      <c r="G379" s="65"/>
      <c r="H379" s="69"/>
      <c r="I379" s="70"/>
      <c r="J379" s="70"/>
      <c r="K379" s="34" t="s">
        <v>65</v>
      </c>
      <c r="L379" s="77">
        <v>379</v>
      </c>
      <c r="M379" s="77"/>
      <c r="N379" s="72"/>
      <c r="O379" s="79" t="s">
        <v>610</v>
      </c>
      <c r="P379" s="79">
        <v>1</v>
      </c>
      <c r="Q379" s="78" t="str">
        <f>REPLACE(INDEX(GroupVertices[Group],MATCH(Edges[[#This Row],[Vertex 1]],GroupVertices[Vertex],0)),1,1,"")</f>
        <v>nlineCEUCredit</v>
      </c>
      <c r="R379" s="78" t="str">
        <f>REPLACE(INDEX(GroupVertices[Group],MATCH(Edges[[#This Row],[Vertex 2]],GroupVertices[Vertex],0)),1,1,"")</f>
        <v>nlineCEUCredit</v>
      </c>
    </row>
    <row r="380" spans="1:18" ht="15">
      <c r="A380" s="64" t="s">
        <v>212</v>
      </c>
      <c r="B380" s="64" t="s">
        <v>335</v>
      </c>
      <c r="C380" s="65" t="s">
        <v>4443</v>
      </c>
      <c r="D380" s="66">
        <v>3</v>
      </c>
      <c r="E380" s="67"/>
      <c r="F380" s="68">
        <v>40</v>
      </c>
      <c r="G380" s="65"/>
      <c r="H380" s="69"/>
      <c r="I380" s="70"/>
      <c r="J380" s="70"/>
      <c r="K380" s="34" t="s">
        <v>65</v>
      </c>
      <c r="L380" s="77">
        <v>380</v>
      </c>
      <c r="M380" s="77"/>
      <c r="N380" s="72"/>
      <c r="O380" s="79" t="s">
        <v>610</v>
      </c>
      <c r="P380" s="79">
        <v>1</v>
      </c>
      <c r="Q380" s="78" t="str">
        <f>REPLACE(INDEX(GroupVertices[Group],MATCH(Edges[[#This Row],[Vertex 1]],GroupVertices[Vertex],0)),1,1,"")</f>
        <v>nlineCEUCredit</v>
      </c>
      <c r="R380" s="78" t="str">
        <f>REPLACE(INDEX(GroupVertices[Group],MATCH(Edges[[#This Row],[Vertex 2]],GroupVertices[Vertex],0)),1,1,"")</f>
        <v>nlineCEUCredit</v>
      </c>
    </row>
    <row r="381" spans="1:18" ht="15">
      <c r="A381" s="64" t="s">
        <v>212</v>
      </c>
      <c r="B381" s="64" t="s">
        <v>348</v>
      </c>
      <c r="C381" s="65" t="s">
        <v>4443</v>
      </c>
      <c r="D381" s="66">
        <v>3</v>
      </c>
      <c r="E381" s="67"/>
      <c r="F381" s="68">
        <v>40</v>
      </c>
      <c r="G381" s="65"/>
      <c r="H381" s="69"/>
      <c r="I381" s="70"/>
      <c r="J381" s="70"/>
      <c r="K381" s="34" t="s">
        <v>65</v>
      </c>
      <c r="L381" s="77">
        <v>381</v>
      </c>
      <c r="M381" s="77"/>
      <c r="N381" s="72"/>
      <c r="O381" s="79" t="s">
        <v>610</v>
      </c>
      <c r="P381" s="79">
        <v>1</v>
      </c>
      <c r="Q381" s="78" t="str">
        <f>REPLACE(INDEX(GroupVertices[Group],MATCH(Edges[[#This Row],[Vertex 1]],GroupVertices[Vertex],0)),1,1,"")</f>
        <v>nlineCEUCredit</v>
      </c>
      <c r="R381" s="78" t="str">
        <f>REPLACE(INDEX(GroupVertices[Group],MATCH(Edges[[#This Row],[Vertex 2]],GroupVertices[Vertex],0)),1,1,"")</f>
        <v>nlineCEUCredit</v>
      </c>
    </row>
    <row r="382" spans="1:18" ht="15">
      <c r="A382" s="64" t="s">
        <v>212</v>
      </c>
      <c r="B382" s="64" t="s">
        <v>332</v>
      </c>
      <c r="C382" s="65" t="s">
        <v>4443</v>
      </c>
      <c r="D382" s="66">
        <v>3</v>
      </c>
      <c r="E382" s="67"/>
      <c r="F382" s="68">
        <v>40</v>
      </c>
      <c r="G382" s="65"/>
      <c r="H382" s="69"/>
      <c r="I382" s="70"/>
      <c r="J382" s="70"/>
      <c r="K382" s="34" t="s">
        <v>65</v>
      </c>
      <c r="L382" s="77">
        <v>382</v>
      </c>
      <c r="M382" s="77"/>
      <c r="N382" s="72"/>
      <c r="O382" s="79" t="s">
        <v>610</v>
      </c>
      <c r="P382" s="79">
        <v>1</v>
      </c>
      <c r="Q382" s="78" t="str">
        <f>REPLACE(INDEX(GroupVertices[Group],MATCH(Edges[[#This Row],[Vertex 1]],GroupVertices[Vertex],0)),1,1,"")</f>
        <v>nlineCEUCredit</v>
      </c>
      <c r="R382" s="78" t="str">
        <f>REPLACE(INDEX(GroupVertices[Group],MATCH(Edges[[#This Row],[Vertex 2]],GroupVertices[Vertex],0)),1,1,"")</f>
        <v>nlineCEUCredit</v>
      </c>
    </row>
    <row r="383" spans="1:18" ht="15">
      <c r="A383" s="64" t="s">
        <v>212</v>
      </c>
      <c r="B383" s="64" t="s">
        <v>339</v>
      </c>
      <c r="C383" s="65" t="s">
        <v>4443</v>
      </c>
      <c r="D383" s="66">
        <v>3</v>
      </c>
      <c r="E383" s="67"/>
      <c r="F383" s="68">
        <v>40</v>
      </c>
      <c r="G383" s="65"/>
      <c r="H383" s="69"/>
      <c r="I383" s="70"/>
      <c r="J383" s="70"/>
      <c r="K383" s="34" t="s">
        <v>65</v>
      </c>
      <c r="L383" s="77">
        <v>383</v>
      </c>
      <c r="M383" s="77"/>
      <c r="N383" s="72"/>
      <c r="O383" s="79" t="s">
        <v>610</v>
      </c>
      <c r="P383" s="79">
        <v>1</v>
      </c>
      <c r="Q383" s="78" t="str">
        <f>REPLACE(INDEX(GroupVertices[Group],MATCH(Edges[[#This Row],[Vertex 1]],GroupVertices[Vertex],0)),1,1,"")</f>
        <v>nlineCEUCredit</v>
      </c>
      <c r="R383" s="78" t="str">
        <f>REPLACE(INDEX(GroupVertices[Group],MATCH(Edges[[#This Row],[Vertex 2]],GroupVertices[Vertex],0)),1,1,"")</f>
        <v>nlineCEUCredit</v>
      </c>
    </row>
    <row r="384" spans="1:18" ht="15">
      <c r="A384" s="64" t="s">
        <v>212</v>
      </c>
      <c r="B384" s="64" t="s">
        <v>334</v>
      </c>
      <c r="C384" s="65" t="s">
        <v>4443</v>
      </c>
      <c r="D384" s="66">
        <v>3</v>
      </c>
      <c r="E384" s="67"/>
      <c r="F384" s="68">
        <v>40</v>
      </c>
      <c r="G384" s="65"/>
      <c r="H384" s="69"/>
      <c r="I384" s="70"/>
      <c r="J384" s="70"/>
      <c r="K384" s="34" t="s">
        <v>65</v>
      </c>
      <c r="L384" s="77">
        <v>384</v>
      </c>
      <c r="M384" s="77"/>
      <c r="N384" s="72"/>
      <c r="O384" s="79" t="s">
        <v>610</v>
      </c>
      <c r="P384" s="79">
        <v>1</v>
      </c>
      <c r="Q384" s="78" t="str">
        <f>REPLACE(INDEX(GroupVertices[Group],MATCH(Edges[[#This Row],[Vertex 1]],GroupVertices[Vertex],0)),1,1,"")</f>
        <v>nlineCEUCredit</v>
      </c>
      <c r="R384" s="78" t="str">
        <f>REPLACE(INDEX(GroupVertices[Group],MATCH(Edges[[#This Row],[Vertex 2]],GroupVertices[Vertex],0)),1,1,"")</f>
        <v>nlineCEUCredit</v>
      </c>
    </row>
    <row r="385" spans="1:18" ht="15">
      <c r="A385" s="64" t="s">
        <v>212</v>
      </c>
      <c r="B385" s="64" t="s">
        <v>341</v>
      </c>
      <c r="C385" s="65" t="s">
        <v>4443</v>
      </c>
      <c r="D385" s="66">
        <v>3</v>
      </c>
      <c r="E385" s="67"/>
      <c r="F385" s="68">
        <v>40</v>
      </c>
      <c r="G385" s="65"/>
      <c r="H385" s="69"/>
      <c r="I385" s="70"/>
      <c r="J385" s="70"/>
      <c r="K385" s="34" t="s">
        <v>65</v>
      </c>
      <c r="L385" s="77">
        <v>385</v>
      </c>
      <c r="M385" s="77"/>
      <c r="N385" s="72"/>
      <c r="O385" s="79" t="s">
        <v>610</v>
      </c>
      <c r="P385" s="79">
        <v>1</v>
      </c>
      <c r="Q385" s="78" t="str">
        <f>REPLACE(INDEX(GroupVertices[Group],MATCH(Edges[[#This Row],[Vertex 1]],GroupVertices[Vertex],0)),1,1,"")</f>
        <v>nlineCEUCredit</v>
      </c>
      <c r="R385" s="78" t="str">
        <f>REPLACE(INDEX(GroupVertices[Group],MATCH(Edges[[#This Row],[Vertex 2]],GroupVertices[Vertex],0)),1,1,"")</f>
        <v>nlineCEUCredit</v>
      </c>
    </row>
    <row r="386" spans="1:18" ht="15">
      <c r="A386" s="64" t="s">
        <v>212</v>
      </c>
      <c r="B386" s="64" t="s">
        <v>331</v>
      </c>
      <c r="C386" s="65" t="s">
        <v>4443</v>
      </c>
      <c r="D386" s="66">
        <v>3</v>
      </c>
      <c r="E386" s="67"/>
      <c r="F386" s="68">
        <v>40</v>
      </c>
      <c r="G386" s="65"/>
      <c r="H386" s="69"/>
      <c r="I386" s="70"/>
      <c r="J386" s="70"/>
      <c r="K386" s="34" t="s">
        <v>65</v>
      </c>
      <c r="L386" s="77">
        <v>386</v>
      </c>
      <c r="M386" s="77"/>
      <c r="N386" s="72"/>
      <c r="O386" s="79" t="s">
        <v>610</v>
      </c>
      <c r="P386" s="79">
        <v>1</v>
      </c>
      <c r="Q386" s="78" t="str">
        <f>REPLACE(INDEX(GroupVertices[Group],MATCH(Edges[[#This Row],[Vertex 1]],GroupVertices[Vertex],0)),1,1,"")</f>
        <v>nlineCEUCredit</v>
      </c>
      <c r="R386" s="78" t="str">
        <f>REPLACE(INDEX(GroupVertices[Group],MATCH(Edges[[#This Row],[Vertex 2]],GroupVertices[Vertex],0)),1,1,"")</f>
        <v>nlineCEUCredit</v>
      </c>
    </row>
    <row r="387" spans="1:18" ht="15">
      <c r="A387" s="64" t="s">
        <v>212</v>
      </c>
      <c r="B387" s="64" t="s">
        <v>340</v>
      </c>
      <c r="C387" s="65" t="s">
        <v>4443</v>
      </c>
      <c r="D387" s="66">
        <v>3</v>
      </c>
      <c r="E387" s="67"/>
      <c r="F387" s="68">
        <v>40</v>
      </c>
      <c r="G387" s="65"/>
      <c r="H387" s="69"/>
      <c r="I387" s="70"/>
      <c r="J387" s="70"/>
      <c r="K387" s="34" t="s">
        <v>65</v>
      </c>
      <c r="L387" s="77">
        <v>387</v>
      </c>
      <c r="M387" s="77"/>
      <c r="N387" s="72"/>
      <c r="O387" s="79" t="s">
        <v>610</v>
      </c>
      <c r="P387" s="79">
        <v>1</v>
      </c>
      <c r="Q387" s="78" t="str">
        <f>REPLACE(INDEX(GroupVertices[Group],MATCH(Edges[[#This Row],[Vertex 1]],GroupVertices[Vertex],0)),1,1,"")</f>
        <v>nlineCEUCredit</v>
      </c>
      <c r="R387" s="78" t="str">
        <f>REPLACE(INDEX(GroupVertices[Group],MATCH(Edges[[#This Row],[Vertex 2]],GroupVertices[Vertex],0)),1,1,"")</f>
        <v>nlineCEUCredit</v>
      </c>
    </row>
    <row r="388" spans="1:18" ht="15">
      <c r="A388" s="64" t="s">
        <v>212</v>
      </c>
      <c r="B388" s="64" t="s">
        <v>218</v>
      </c>
      <c r="C388" s="65" t="s">
        <v>4443</v>
      </c>
      <c r="D388" s="66">
        <v>3</v>
      </c>
      <c r="E388" s="67"/>
      <c r="F388" s="68">
        <v>40</v>
      </c>
      <c r="G388" s="65"/>
      <c r="H388" s="69"/>
      <c r="I388" s="70"/>
      <c r="J388" s="70"/>
      <c r="K388" s="34" t="s">
        <v>65</v>
      </c>
      <c r="L388" s="77">
        <v>388</v>
      </c>
      <c r="M388" s="77"/>
      <c r="N388" s="72"/>
      <c r="O388" s="79" t="s">
        <v>610</v>
      </c>
      <c r="P388" s="79">
        <v>1</v>
      </c>
      <c r="Q388" s="78" t="str">
        <f>REPLACE(INDEX(GroupVertices[Group],MATCH(Edges[[#This Row],[Vertex 1]],GroupVertices[Vertex],0)),1,1,"")</f>
        <v>nlineCEUCredit</v>
      </c>
      <c r="R388" s="78" t="str">
        <f>REPLACE(INDEX(GroupVertices[Group],MATCH(Edges[[#This Row],[Vertex 2]],GroupVertices[Vertex],0)),1,1,"")</f>
        <v>nlineCEUCredit</v>
      </c>
    </row>
    <row r="389" spans="1:18" ht="15">
      <c r="A389" s="64" t="s">
        <v>219</v>
      </c>
      <c r="B389" s="64" t="s">
        <v>398</v>
      </c>
      <c r="C389" s="65" t="s">
        <v>4443</v>
      </c>
      <c r="D389" s="66">
        <v>3</v>
      </c>
      <c r="E389" s="67"/>
      <c r="F389" s="68">
        <v>40</v>
      </c>
      <c r="G389" s="65"/>
      <c r="H389" s="69"/>
      <c r="I389" s="70"/>
      <c r="J389" s="70"/>
      <c r="K389" s="34" t="s">
        <v>65</v>
      </c>
      <c r="L389" s="77">
        <v>389</v>
      </c>
      <c r="M389" s="77"/>
      <c r="N389" s="72"/>
      <c r="O389" s="79" t="s">
        <v>610</v>
      </c>
      <c r="P389" s="79">
        <v>1</v>
      </c>
      <c r="Q389" s="78" t="str">
        <f>REPLACE(INDEX(GroupVertices[Group],MATCH(Edges[[#This Row],[Vertex 1]],GroupVertices[Vertex],0)),1,1,"")</f>
        <v>éminaires CESP Villejuif</v>
      </c>
      <c r="R389" s="78" t="str">
        <f>REPLACE(INDEX(GroupVertices[Group],MATCH(Edges[[#This Row],[Vertex 2]],GroupVertices[Vertex],0)),1,1,"")</f>
        <v>éminaires CESP Villejuif</v>
      </c>
    </row>
    <row r="390" spans="1:18" ht="15">
      <c r="A390" s="64" t="s">
        <v>219</v>
      </c>
      <c r="B390" s="64" t="s">
        <v>249</v>
      </c>
      <c r="C390" s="65" t="s">
        <v>4443</v>
      </c>
      <c r="D390" s="66">
        <v>3</v>
      </c>
      <c r="E390" s="67"/>
      <c r="F390" s="68">
        <v>40</v>
      </c>
      <c r="G390" s="65"/>
      <c r="H390" s="69"/>
      <c r="I390" s="70"/>
      <c r="J390" s="70"/>
      <c r="K390" s="34" t="s">
        <v>65</v>
      </c>
      <c r="L390" s="77">
        <v>390</v>
      </c>
      <c r="M390" s="77"/>
      <c r="N390" s="72"/>
      <c r="O390" s="79" t="s">
        <v>610</v>
      </c>
      <c r="P390" s="79">
        <v>1</v>
      </c>
      <c r="Q390" s="78" t="str">
        <f>REPLACE(INDEX(GroupVertices[Group],MATCH(Edges[[#This Row],[Vertex 1]],GroupVertices[Vertex],0)),1,1,"")</f>
        <v>éminaires CESP Villejuif</v>
      </c>
      <c r="R390" s="78" t="str">
        <f>REPLACE(INDEX(GroupVertices[Group],MATCH(Edges[[#This Row],[Vertex 2]],GroupVertices[Vertex],0)),1,1,"")</f>
        <v>alika Andrews - ESPN</v>
      </c>
    </row>
    <row r="391" spans="1:18" ht="15">
      <c r="A391" s="64" t="s">
        <v>219</v>
      </c>
      <c r="B391" s="64" t="s">
        <v>250</v>
      </c>
      <c r="C391" s="65" t="s">
        <v>4443</v>
      </c>
      <c r="D391" s="66">
        <v>3</v>
      </c>
      <c r="E391" s="67"/>
      <c r="F391" s="68">
        <v>40</v>
      </c>
      <c r="G391" s="65"/>
      <c r="H391" s="69"/>
      <c r="I391" s="70"/>
      <c r="J391" s="70"/>
      <c r="K391" s="34" t="s">
        <v>65</v>
      </c>
      <c r="L391" s="77">
        <v>391</v>
      </c>
      <c r="M391" s="77"/>
      <c r="N391" s="72"/>
      <c r="O391" s="79" t="s">
        <v>610</v>
      </c>
      <c r="P391" s="79">
        <v>1</v>
      </c>
      <c r="Q391" s="78" t="str">
        <f>REPLACE(INDEX(GroupVertices[Group],MATCH(Edges[[#This Row],[Vertex 1]],GroupVertices[Vertex],0)),1,1,"")</f>
        <v>éminaires CESP Villejuif</v>
      </c>
      <c r="R391" s="78" t="str">
        <f>REPLACE(INDEX(GroupVertices[Group],MATCH(Edges[[#This Row],[Vertex 2]],GroupVertices[Vertex],0)),1,1,"")</f>
        <v>PR Music</v>
      </c>
    </row>
    <row r="392" spans="1:18" ht="15">
      <c r="A392" s="64" t="s">
        <v>219</v>
      </c>
      <c r="B392" s="64" t="s">
        <v>251</v>
      </c>
      <c r="C392" s="65" t="s">
        <v>4443</v>
      </c>
      <c r="D392" s="66">
        <v>3</v>
      </c>
      <c r="E392" s="67"/>
      <c r="F392" s="68">
        <v>40</v>
      </c>
      <c r="G392" s="65"/>
      <c r="H392" s="69"/>
      <c r="I392" s="70"/>
      <c r="J392" s="70"/>
      <c r="K392" s="34" t="s">
        <v>65</v>
      </c>
      <c r="L392" s="77">
        <v>392</v>
      </c>
      <c r="M392" s="77"/>
      <c r="N392" s="72"/>
      <c r="O392" s="79" t="s">
        <v>610</v>
      </c>
      <c r="P392" s="79">
        <v>1</v>
      </c>
      <c r="Q392" s="78" t="str">
        <f>REPLACE(INDEX(GroupVertices[Group],MATCH(Edges[[#This Row],[Vertex 1]],GroupVertices[Vertex],0)),1,1,"")</f>
        <v>éminaires CESP Villejuif</v>
      </c>
      <c r="R392" s="78" t="str">
        <f>REPLACE(INDEX(GroupVertices[Group],MATCH(Edges[[#This Row],[Vertex 2]],GroupVertices[Vertex],0)),1,1,"")</f>
        <v>host</v>
      </c>
    </row>
    <row r="393" spans="1:18" ht="15">
      <c r="A393" s="64" t="s">
        <v>219</v>
      </c>
      <c r="B393" s="64" t="s">
        <v>252</v>
      </c>
      <c r="C393" s="65" t="s">
        <v>4443</v>
      </c>
      <c r="D393" s="66">
        <v>3</v>
      </c>
      <c r="E393" s="67"/>
      <c r="F393" s="68">
        <v>40</v>
      </c>
      <c r="G393" s="65"/>
      <c r="H393" s="69"/>
      <c r="I393" s="70"/>
      <c r="J393" s="70"/>
      <c r="K393" s="34" t="s">
        <v>65</v>
      </c>
      <c r="L393" s="77">
        <v>393</v>
      </c>
      <c r="M393" s="77"/>
      <c r="N393" s="72"/>
      <c r="O393" s="79" t="s">
        <v>610</v>
      </c>
      <c r="P393" s="79">
        <v>1</v>
      </c>
      <c r="Q393" s="78" t="str">
        <f>REPLACE(INDEX(GroupVertices[Group],MATCH(Edges[[#This Row],[Vertex 1]],GroupVertices[Vertex],0)),1,1,"")</f>
        <v>éminaires CESP Villejuif</v>
      </c>
      <c r="R393" s="78" t="str">
        <f>REPLACE(INDEX(GroupVertices[Group],MATCH(Edges[[#This Row],[Vertex 2]],GroupVertices[Vertex],0)),1,1,"")</f>
        <v>G)I-DLE (여자)아이들 (Official YouTube Channel)</v>
      </c>
    </row>
    <row r="394" spans="1:18" ht="15">
      <c r="A394" s="64" t="s">
        <v>219</v>
      </c>
      <c r="B394" s="64" t="s">
        <v>253</v>
      </c>
      <c r="C394" s="65" t="s">
        <v>4443</v>
      </c>
      <c r="D394" s="66">
        <v>3</v>
      </c>
      <c r="E394" s="67"/>
      <c r="F394" s="68">
        <v>40</v>
      </c>
      <c r="G394" s="65"/>
      <c r="H394" s="69"/>
      <c r="I394" s="70"/>
      <c r="J394" s="70"/>
      <c r="K394" s="34" t="s">
        <v>65</v>
      </c>
      <c r="L394" s="77">
        <v>394</v>
      </c>
      <c r="M394" s="77"/>
      <c r="N394" s="72"/>
      <c r="O394" s="79" t="s">
        <v>610</v>
      </c>
      <c r="P394" s="79">
        <v>1</v>
      </c>
      <c r="Q394" s="78" t="str">
        <f>REPLACE(INDEX(GroupVertices[Group],MATCH(Edges[[#This Row],[Vertex 1]],GroupVertices[Vertex],0)),1,1,"")</f>
        <v>éminaires CESP Villejuif</v>
      </c>
      <c r="R394" s="78" t="str">
        <f>REPLACE(INDEX(GroupVertices[Group],MATCH(Edges[[#This Row],[Vertex 2]],GroupVertices[Vertex],0)),1,1,"")</f>
        <v>etflix</v>
      </c>
    </row>
    <row r="395" spans="1:18" ht="15">
      <c r="A395" s="64" t="s">
        <v>219</v>
      </c>
      <c r="B395" s="64" t="s">
        <v>254</v>
      </c>
      <c r="C395" s="65" t="s">
        <v>4443</v>
      </c>
      <c r="D395" s="66">
        <v>3</v>
      </c>
      <c r="E395" s="67"/>
      <c r="F395" s="68">
        <v>40</v>
      </c>
      <c r="G395" s="65"/>
      <c r="H395" s="69"/>
      <c r="I395" s="70"/>
      <c r="J395" s="70"/>
      <c r="K395" s="34" t="s">
        <v>65</v>
      </c>
      <c r="L395" s="77">
        <v>395</v>
      </c>
      <c r="M395" s="77"/>
      <c r="N395" s="72"/>
      <c r="O395" s="79" t="s">
        <v>610</v>
      </c>
      <c r="P395" s="79">
        <v>1</v>
      </c>
      <c r="Q395" s="78" t="str">
        <f>REPLACE(INDEX(GroupVertices[Group],MATCH(Edges[[#This Row],[Vertex 1]],GroupVertices[Vertex],0)),1,1,"")</f>
        <v>éminaires CESP Villejuif</v>
      </c>
      <c r="R395" s="78" t="str">
        <f>REPLACE(INDEX(GroupVertices[Group],MATCH(Edges[[#This Row],[Vertex 2]],GroupVertices[Vertex],0)),1,1,"")</f>
        <v>lash of Clans</v>
      </c>
    </row>
    <row r="396" spans="1:18" ht="15">
      <c r="A396" s="64" t="s">
        <v>219</v>
      </c>
      <c r="B396" s="64" t="s">
        <v>255</v>
      </c>
      <c r="C396" s="65" t="s">
        <v>4443</v>
      </c>
      <c r="D396" s="66">
        <v>3</v>
      </c>
      <c r="E396" s="67"/>
      <c r="F396" s="68">
        <v>40</v>
      </c>
      <c r="G396" s="65"/>
      <c r="H396" s="69"/>
      <c r="I396" s="70"/>
      <c r="J396" s="70"/>
      <c r="K396" s="34" t="s">
        <v>65</v>
      </c>
      <c r="L396" s="77">
        <v>396</v>
      </c>
      <c r="M396" s="77"/>
      <c r="N396" s="72"/>
      <c r="O396" s="79" t="s">
        <v>610</v>
      </c>
      <c r="P396" s="79">
        <v>1</v>
      </c>
      <c r="Q396" s="78" t="str">
        <f>REPLACE(INDEX(GroupVertices[Group],MATCH(Edges[[#This Row],[Vertex 1]],GroupVertices[Vertex],0)),1,1,"")</f>
        <v>éminaires CESP Villejuif</v>
      </c>
      <c r="R396" s="78" t="str">
        <f>REPLACE(INDEX(GroupVertices[Group],MATCH(Edges[[#This Row],[Vertex 2]],GroupVertices[Vertex],0)),1,1,"")</f>
        <v>et's Game It Out</v>
      </c>
    </row>
    <row r="397" spans="1:18" ht="15">
      <c r="A397" s="64" t="s">
        <v>219</v>
      </c>
      <c r="B397" s="64" t="s">
        <v>256</v>
      </c>
      <c r="C397" s="65" t="s">
        <v>4443</v>
      </c>
      <c r="D397" s="66">
        <v>3</v>
      </c>
      <c r="E397" s="67"/>
      <c r="F397" s="68">
        <v>40</v>
      </c>
      <c r="G397" s="65"/>
      <c r="H397" s="69"/>
      <c r="I397" s="70"/>
      <c r="J397" s="70"/>
      <c r="K397" s="34" t="s">
        <v>65</v>
      </c>
      <c r="L397" s="77">
        <v>397</v>
      </c>
      <c r="M397" s="77"/>
      <c r="N397" s="72"/>
      <c r="O397" s="79" t="s">
        <v>610</v>
      </c>
      <c r="P397" s="79">
        <v>1</v>
      </c>
      <c r="Q397" s="78" t="str">
        <f>REPLACE(INDEX(GroupVertices[Group],MATCH(Edges[[#This Row],[Vertex 1]],GroupVertices[Vertex],0)),1,1,"")</f>
        <v>éminaires CESP Villejuif</v>
      </c>
      <c r="R397" s="78" t="str">
        <f>REPLACE(INDEX(GroupVertices[Group],MATCH(Edges[[#This Row],[Vertex 2]],GroupVertices[Vertex],0)),1,1,"")</f>
        <v>arques Brownlee</v>
      </c>
    </row>
    <row r="398" spans="1:18" ht="15">
      <c r="A398" s="64" t="s">
        <v>219</v>
      </c>
      <c r="B398" s="64" t="s">
        <v>257</v>
      </c>
      <c r="C398" s="65" t="s">
        <v>4443</v>
      </c>
      <c r="D398" s="66">
        <v>3</v>
      </c>
      <c r="E398" s="67"/>
      <c r="F398" s="68">
        <v>40</v>
      </c>
      <c r="G398" s="65"/>
      <c r="H398" s="69"/>
      <c r="I398" s="70"/>
      <c r="J398" s="70"/>
      <c r="K398" s="34" t="s">
        <v>65</v>
      </c>
      <c r="L398" s="77">
        <v>398</v>
      </c>
      <c r="M398" s="77"/>
      <c r="N398" s="72"/>
      <c r="O398" s="79" t="s">
        <v>610</v>
      </c>
      <c r="P398" s="79">
        <v>1</v>
      </c>
      <c r="Q398" s="78" t="str">
        <f>REPLACE(INDEX(GroupVertices[Group],MATCH(Edges[[#This Row],[Vertex 1]],GroupVertices[Vertex],0)),1,1,"")</f>
        <v>éminaires CESP Villejuif</v>
      </c>
      <c r="R398" s="78" t="str">
        <f>REPLACE(INDEX(GroupVertices[Group],MATCH(Edges[[#This Row],[Vertex 2]],GroupVertices[Vertex],0)),1,1,"")</f>
        <v>rchitectural Digest</v>
      </c>
    </row>
    <row r="399" spans="1:18" ht="15">
      <c r="A399" s="64" t="s">
        <v>219</v>
      </c>
      <c r="B399" s="64" t="s">
        <v>258</v>
      </c>
      <c r="C399" s="65" t="s">
        <v>4443</v>
      </c>
      <c r="D399" s="66">
        <v>3</v>
      </c>
      <c r="E399" s="67"/>
      <c r="F399" s="68">
        <v>40</v>
      </c>
      <c r="G399" s="65"/>
      <c r="H399" s="69"/>
      <c r="I399" s="70"/>
      <c r="J399" s="70"/>
      <c r="K399" s="34" t="s">
        <v>65</v>
      </c>
      <c r="L399" s="77">
        <v>399</v>
      </c>
      <c r="M399" s="77"/>
      <c r="N399" s="72"/>
      <c r="O399" s="79" t="s">
        <v>610</v>
      </c>
      <c r="P399" s="79">
        <v>1</v>
      </c>
      <c r="Q399" s="78" t="str">
        <f>REPLACE(INDEX(GroupVertices[Group],MATCH(Edges[[#This Row],[Vertex 1]],GroupVertices[Vertex],0)),1,1,"")</f>
        <v>éminaires CESP Villejuif</v>
      </c>
      <c r="R399" s="78" t="str">
        <f>REPLACE(INDEX(GroupVertices[Group],MATCH(Edges[[#This Row],[Vertex 2]],GroupVertices[Vertex],0)),1,1,"")</f>
        <v>alt Disney Studios</v>
      </c>
    </row>
    <row r="400" spans="1:18" ht="15">
      <c r="A400" s="64" t="s">
        <v>219</v>
      </c>
      <c r="B400" s="64" t="s">
        <v>259</v>
      </c>
      <c r="C400" s="65" t="s">
        <v>4443</v>
      </c>
      <c r="D400" s="66">
        <v>3</v>
      </c>
      <c r="E400" s="67"/>
      <c r="F400" s="68">
        <v>40</v>
      </c>
      <c r="G400" s="65"/>
      <c r="H400" s="69"/>
      <c r="I400" s="70"/>
      <c r="J400" s="70"/>
      <c r="K400" s="34" t="s">
        <v>65</v>
      </c>
      <c r="L400" s="77">
        <v>400</v>
      </c>
      <c r="M400" s="77"/>
      <c r="N400" s="72"/>
      <c r="O400" s="79" t="s">
        <v>610</v>
      </c>
      <c r="P400" s="79">
        <v>1</v>
      </c>
      <c r="Q400" s="78" t="str">
        <f>REPLACE(INDEX(GroupVertices[Group],MATCH(Edges[[#This Row],[Vertex 1]],GroupVertices[Vertex],0)),1,1,"")</f>
        <v>éminaires CESP Villejuif</v>
      </c>
      <c r="R400" s="78" t="str">
        <f>REPLACE(INDEX(GroupVertices[Group],MATCH(Edges[[#This Row],[Vertex 2]],GroupVertices[Vertex],0)),1,1,"")</f>
        <v>kip and Shannon: UNDISPUTED</v>
      </c>
    </row>
    <row r="401" spans="1:18" ht="15">
      <c r="A401" s="64" t="s">
        <v>219</v>
      </c>
      <c r="B401" s="64" t="s">
        <v>260</v>
      </c>
      <c r="C401" s="65" t="s">
        <v>4443</v>
      </c>
      <c r="D401" s="66">
        <v>3</v>
      </c>
      <c r="E401" s="67"/>
      <c r="F401" s="68">
        <v>40</v>
      </c>
      <c r="G401" s="65"/>
      <c r="H401" s="69"/>
      <c r="I401" s="70"/>
      <c r="J401" s="70"/>
      <c r="K401" s="34" t="s">
        <v>65</v>
      </c>
      <c r="L401" s="77">
        <v>401</v>
      </c>
      <c r="M401" s="77"/>
      <c r="N401" s="72"/>
      <c r="O401" s="79" t="s">
        <v>610</v>
      </c>
      <c r="P401" s="79">
        <v>1</v>
      </c>
      <c r="Q401" s="78" t="str">
        <f>REPLACE(INDEX(GroupVertices[Group],MATCH(Edges[[#This Row],[Vertex 1]],GroupVertices[Vertex],0)),1,1,"")</f>
        <v>éminaires CESP Villejuif</v>
      </c>
      <c r="R401" s="78" t="str">
        <f>REPLACE(INDEX(GroupVertices[Group],MATCH(Edges[[#This Row],[Vertex 2]],GroupVertices[Vertex],0)),1,1,"")</f>
        <v>hakira</v>
      </c>
    </row>
    <row r="402" spans="1:18" ht="15">
      <c r="A402" s="64" t="s">
        <v>209</v>
      </c>
      <c r="B402" s="64" t="s">
        <v>2336</v>
      </c>
      <c r="C402" s="65" t="s">
        <v>4443</v>
      </c>
      <c r="D402" s="66">
        <v>3</v>
      </c>
      <c r="E402" s="67"/>
      <c r="F402" s="68">
        <v>40</v>
      </c>
      <c r="G402" s="65"/>
      <c r="H402" s="69"/>
      <c r="I402" s="70"/>
      <c r="J402" s="70"/>
      <c r="K402" s="34" t="s">
        <v>65</v>
      </c>
      <c r="L402" s="77">
        <v>402</v>
      </c>
      <c r="M402" s="77"/>
      <c r="N402" s="72"/>
      <c r="O402" s="79" t="s">
        <v>610</v>
      </c>
      <c r="P402" s="79">
        <v>1</v>
      </c>
      <c r="Q402" s="78" t="str">
        <f>REPLACE(INDEX(GroupVertices[Group],MATCH(Edges[[#This Row],[Vertex 1]],GroupVertices[Vertex],0)),1,1,"")</f>
        <v>owcast</v>
      </c>
      <c r="R402" s="78" t="str">
        <f>REPLACE(INDEX(GroupVertices[Group],MATCH(Edges[[#This Row],[Vertex 2]],GroupVertices[Vertex],0)),1,1,"")</f>
        <v>orld Of Gem</v>
      </c>
    </row>
    <row r="403" spans="1:18" ht="15">
      <c r="A403" s="64" t="s">
        <v>209</v>
      </c>
      <c r="B403" s="64" t="s">
        <v>2337</v>
      </c>
      <c r="C403" s="65" t="s">
        <v>4443</v>
      </c>
      <c r="D403" s="66">
        <v>3</v>
      </c>
      <c r="E403" s="67"/>
      <c r="F403" s="68">
        <v>40</v>
      </c>
      <c r="G403" s="65"/>
      <c r="H403" s="69"/>
      <c r="I403" s="70"/>
      <c r="J403" s="70"/>
      <c r="K403" s="34" t="s">
        <v>65</v>
      </c>
      <c r="L403" s="77">
        <v>403</v>
      </c>
      <c r="M403" s="77"/>
      <c r="N403" s="72"/>
      <c r="O403" s="79" t="s">
        <v>610</v>
      </c>
      <c r="P403" s="79">
        <v>1</v>
      </c>
      <c r="Q403" s="78" t="str">
        <f>REPLACE(INDEX(GroupVertices[Group],MATCH(Edges[[#This Row],[Vertex 1]],GroupVertices[Vertex],0)),1,1,"")</f>
        <v>owcast</v>
      </c>
      <c r="R403" s="78" t="str">
        <f>REPLACE(INDEX(GroupVertices[Group],MATCH(Edges[[#This Row],[Vertex 2]],GroupVertices[Vertex],0)),1,1,"")</f>
        <v>etro RudyX</v>
      </c>
    </row>
    <row r="404" spans="1:18" ht="15">
      <c r="A404" s="64" t="s">
        <v>209</v>
      </c>
      <c r="B404" s="64" t="s">
        <v>2338</v>
      </c>
      <c r="C404" s="65" t="s">
        <v>4443</v>
      </c>
      <c r="D404" s="66">
        <v>3</v>
      </c>
      <c r="E404" s="67"/>
      <c r="F404" s="68">
        <v>40</v>
      </c>
      <c r="G404" s="65"/>
      <c r="H404" s="69"/>
      <c r="I404" s="70"/>
      <c r="J404" s="70"/>
      <c r="K404" s="34" t="s">
        <v>65</v>
      </c>
      <c r="L404" s="77">
        <v>404</v>
      </c>
      <c r="M404" s="77"/>
      <c r="N404" s="72"/>
      <c r="O404" s="79" t="s">
        <v>610</v>
      </c>
      <c r="P404" s="79">
        <v>1</v>
      </c>
      <c r="Q404" s="78" t="str">
        <f>REPLACE(INDEX(GroupVertices[Group],MATCH(Edges[[#This Row],[Vertex 1]],GroupVertices[Vertex],0)),1,1,"")</f>
        <v>owcast</v>
      </c>
      <c r="R404" s="78" t="str">
        <f>REPLACE(INDEX(GroupVertices[Group],MATCH(Edges[[#This Row],[Vertex 2]],GroupVertices[Vertex],0)),1,1,"")</f>
        <v>OVE STORIES &amp; FAIRY TALES</v>
      </c>
    </row>
    <row r="405" spans="1:18" ht="15">
      <c r="A405" s="64" t="s">
        <v>209</v>
      </c>
      <c r="B405" s="64" t="s">
        <v>2339</v>
      </c>
      <c r="C405" s="65" t="s">
        <v>4443</v>
      </c>
      <c r="D405" s="66">
        <v>3</v>
      </c>
      <c r="E405" s="67"/>
      <c r="F405" s="68">
        <v>40</v>
      </c>
      <c r="G405" s="65"/>
      <c r="H405" s="69"/>
      <c r="I405" s="70"/>
      <c r="J405" s="70"/>
      <c r="K405" s="34" t="s">
        <v>65</v>
      </c>
      <c r="L405" s="77">
        <v>405</v>
      </c>
      <c r="M405" s="77"/>
      <c r="N405" s="72"/>
      <c r="O405" s="79" t="s">
        <v>610</v>
      </c>
      <c r="P405" s="79">
        <v>1</v>
      </c>
      <c r="Q405" s="78" t="str">
        <f>REPLACE(INDEX(GroupVertices[Group],MATCH(Edges[[#This Row],[Vertex 1]],GroupVertices[Vertex],0)),1,1,"")</f>
        <v>owcast</v>
      </c>
      <c r="R405" s="78" t="str">
        <f>REPLACE(INDEX(GroupVertices[Group],MATCH(Edges[[#This Row],[Vertex 2]],GroupVertices[Vertex],0)),1,1,"")</f>
        <v>eGrapplez</v>
      </c>
    </row>
    <row r="406" spans="1:18" ht="15">
      <c r="A406" s="64" t="s">
        <v>209</v>
      </c>
      <c r="B406" s="64" t="s">
        <v>2340</v>
      </c>
      <c r="C406" s="65" t="s">
        <v>4443</v>
      </c>
      <c r="D406" s="66">
        <v>3</v>
      </c>
      <c r="E406" s="67"/>
      <c r="F406" s="68">
        <v>40</v>
      </c>
      <c r="G406" s="65"/>
      <c r="H406" s="69"/>
      <c r="I406" s="70"/>
      <c r="J406" s="70"/>
      <c r="K406" s="34" t="s">
        <v>65</v>
      </c>
      <c r="L406" s="77">
        <v>406</v>
      </c>
      <c r="M406" s="77"/>
      <c r="N406" s="72"/>
      <c r="O406" s="79" t="s">
        <v>610</v>
      </c>
      <c r="P406" s="79">
        <v>1</v>
      </c>
      <c r="Q406" s="78" t="str">
        <f>REPLACE(INDEX(GroupVertices[Group],MATCH(Edges[[#This Row],[Vertex 1]],GroupVertices[Vertex],0)),1,1,"")</f>
        <v>owcast</v>
      </c>
      <c r="R406" s="78" t="str">
        <f>REPLACE(INDEX(GroupVertices[Group],MATCH(Edges[[#This Row],[Vertex 2]],GroupVertices[Vertex],0)),1,1,"")</f>
        <v>att Southerland</v>
      </c>
    </row>
    <row r="407" spans="1:18" ht="15">
      <c r="A407" s="64" t="s">
        <v>209</v>
      </c>
      <c r="B407" s="64" t="s">
        <v>2341</v>
      </c>
      <c r="C407" s="65" t="s">
        <v>4443</v>
      </c>
      <c r="D407" s="66">
        <v>3</v>
      </c>
      <c r="E407" s="67"/>
      <c r="F407" s="68">
        <v>40</v>
      </c>
      <c r="G407" s="65"/>
      <c r="H407" s="69"/>
      <c r="I407" s="70"/>
      <c r="J407" s="70"/>
      <c r="K407" s="34" t="s">
        <v>65</v>
      </c>
      <c r="L407" s="77">
        <v>407</v>
      </c>
      <c r="M407" s="77"/>
      <c r="N407" s="72"/>
      <c r="O407" s="79" t="s">
        <v>610</v>
      </c>
      <c r="P407" s="79">
        <v>1</v>
      </c>
      <c r="Q407" s="78" t="str">
        <f>REPLACE(INDEX(GroupVertices[Group],MATCH(Edges[[#This Row],[Vertex 1]],GroupVertices[Vertex],0)),1,1,"")</f>
        <v>owcast</v>
      </c>
      <c r="R407" s="78" t="str">
        <f>REPLACE(INDEX(GroupVertices[Group],MATCH(Edges[[#This Row],[Vertex 2]],GroupVertices[Vertex],0)),1,1,"")</f>
        <v>W Maids</v>
      </c>
    </row>
    <row r="408" spans="1:18" ht="15">
      <c r="A408" s="64" t="s">
        <v>209</v>
      </c>
      <c r="B408" s="64" t="s">
        <v>2342</v>
      </c>
      <c r="C408" s="65" t="s">
        <v>4443</v>
      </c>
      <c r="D408" s="66">
        <v>3</v>
      </c>
      <c r="E408" s="67"/>
      <c r="F408" s="68">
        <v>40</v>
      </c>
      <c r="G408" s="65"/>
      <c r="H408" s="69"/>
      <c r="I408" s="70"/>
      <c r="J408" s="70"/>
      <c r="K408" s="34" t="s">
        <v>65</v>
      </c>
      <c r="L408" s="77">
        <v>408</v>
      </c>
      <c r="M408" s="77"/>
      <c r="N408" s="72"/>
      <c r="O408" s="79" t="s">
        <v>610</v>
      </c>
      <c r="P408" s="79">
        <v>1</v>
      </c>
      <c r="Q408" s="78" t="str">
        <f>REPLACE(INDEX(GroupVertices[Group],MATCH(Edges[[#This Row],[Vertex 1]],GroupVertices[Vertex],0)),1,1,"")</f>
        <v>owcast</v>
      </c>
      <c r="R408" s="78" t="str">
        <f>REPLACE(INDEX(GroupVertices[Group],MATCH(Edges[[#This Row],[Vertex 2]],GroupVertices[Vertex],0)),1,1,"")</f>
        <v>nnovative Tub Solutions</v>
      </c>
    </row>
    <row r="409" spans="1:18" ht="15">
      <c r="A409" s="64" t="s">
        <v>209</v>
      </c>
      <c r="B409" s="64" t="s">
        <v>2343</v>
      </c>
      <c r="C409" s="65" t="s">
        <v>4443</v>
      </c>
      <c r="D409" s="66">
        <v>3</v>
      </c>
      <c r="E409" s="67"/>
      <c r="F409" s="68">
        <v>40</v>
      </c>
      <c r="G409" s="65"/>
      <c r="H409" s="69"/>
      <c r="I409" s="70"/>
      <c r="J409" s="70"/>
      <c r="K409" s="34" t="s">
        <v>65</v>
      </c>
      <c r="L409" s="77">
        <v>409</v>
      </c>
      <c r="M409" s="77"/>
      <c r="N409" s="72"/>
      <c r="O409" s="79" t="s">
        <v>610</v>
      </c>
      <c r="P409" s="79">
        <v>1</v>
      </c>
      <c r="Q409" s="78" t="str">
        <f>REPLACE(INDEX(GroupVertices[Group],MATCH(Edges[[#This Row],[Vertex 1]],GroupVertices[Vertex],0)),1,1,"")</f>
        <v>owcast</v>
      </c>
      <c r="R409" s="78" t="str">
        <f>REPLACE(INDEX(GroupVertices[Group],MATCH(Edges[[#This Row],[Vertex 2]],GroupVertices[Vertex],0)),1,1,"")</f>
        <v>owcast</v>
      </c>
    </row>
    <row r="410" spans="1:18" ht="15">
      <c r="A410" s="64" t="s">
        <v>209</v>
      </c>
      <c r="B410" s="64" t="s">
        <v>2344</v>
      </c>
      <c r="C410" s="65" t="s">
        <v>4443</v>
      </c>
      <c r="D410" s="66">
        <v>3</v>
      </c>
      <c r="E410" s="67"/>
      <c r="F410" s="68">
        <v>40</v>
      </c>
      <c r="G410" s="65"/>
      <c r="H410" s="69"/>
      <c r="I410" s="70"/>
      <c r="J410" s="70"/>
      <c r="K410" s="34" t="s">
        <v>65</v>
      </c>
      <c r="L410" s="77">
        <v>410</v>
      </c>
      <c r="M410" s="77"/>
      <c r="N410" s="72"/>
      <c r="O410" s="79" t="s">
        <v>610</v>
      </c>
      <c r="P410" s="79">
        <v>1</v>
      </c>
      <c r="Q410" s="78" t="str">
        <f>REPLACE(INDEX(GroupVertices[Group],MATCH(Edges[[#This Row],[Vertex 1]],GroupVertices[Vertex],0)),1,1,"")</f>
        <v>owcast</v>
      </c>
      <c r="R410" s="78" t="str">
        <f>REPLACE(INDEX(GroupVertices[Group],MATCH(Edges[[#This Row],[Vertex 2]],GroupVertices[Vertex],0)),1,1,"")</f>
        <v>ise Above Personal Training</v>
      </c>
    </row>
    <row r="411" spans="1:18" ht="15">
      <c r="A411" s="64" t="s">
        <v>209</v>
      </c>
      <c r="B411" s="64" t="s">
        <v>2345</v>
      </c>
      <c r="C411" s="65" t="s">
        <v>4443</v>
      </c>
      <c r="D411" s="66">
        <v>3</v>
      </c>
      <c r="E411" s="67"/>
      <c r="F411" s="68">
        <v>40</v>
      </c>
      <c r="G411" s="65"/>
      <c r="H411" s="69"/>
      <c r="I411" s="70"/>
      <c r="J411" s="70"/>
      <c r="K411" s="34" t="s">
        <v>65</v>
      </c>
      <c r="L411" s="77">
        <v>411</v>
      </c>
      <c r="M411" s="77"/>
      <c r="N411" s="72"/>
      <c r="O411" s="79" t="s">
        <v>610</v>
      </c>
      <c r="P411" s="79">
        <v>1</v>
      </c>
      <c r="Q411" s="78" t="str">
        <f>REPLACE(INDEX(GroupVertices[Group],MATCH(Edges[[#This Row],[Vertex 1]],GroupVertices[Vertex],0)),1,1,"")</f>
        <v>owcast</v>
      </c>
      <c r="R411" s="78" t="str">
        <f>REPLACE(INDEX(GroupVertices[Group],MATCH(Edges[[#This Row],[Vertex 2]],GroupVertices[Vertex],0)),1,1,"")</f>
        <v>arre None Dance Company</v>
      </c>
    </row>
    <row r="412" spans="1:18" ht="15">
      <c r="A412" s="64" t="s">
        <v>209</v>
      </c>
      <c r="B412" s="64" t="s">
        <v>2346</v>
      </c>
      <c r="C412" s="65" t="s">
        <v>4443</v>
      </c>
      <c r="D412" s="66">
        <v>3</v>
      </c>
      <c r="E412" s="67"/>
      <c r="F412" s="68">
        <v>40</v>
      </c>
      <c r="G412" s="65"/>
      <c r="H412" s="69"/>
      <c r="I412" s="70"/>
      <c r="J412" s="70"/>
      <c r="K412" s="34" t="s">
        <v>65</v>
      </c>
      <c r="L412" s="77">
        <v>412</v>
      </c>
      <c r="M412" s="77"/>
      <c r="N412" s="72"/>
      <c r="O412" s="79" t="s">
        <v>610</v>
      </c>
      <c r="P412" s="79">
        <v>1</v>
      </c>
      <c r="Q412" s="78" t="str">
        <f>REPLACE(INDEX(GroupVertices[Group],MATCH(Edges[[#This Row],[Vertex 1]],GroupVertices[Vertex],0)),1,1,"")</f>
        <v>owcast</v>
      </c>
      <c r="R412" s="78" t="str">
        <f>REPLACE(INDEX(GroupVertices[Group],MATCH(Edges[[#This Row],[Vertex 2]],GroupVertices[Vertex],0)),1,1,"")</f>
        <v>owcast</v>
      </c>
    </row>
    <row r="413" spans="1:18" ht="15">
      <c r="A413" s="64" t="s">
        <v>209</v>
      </c>
      <c r="B413" s="64" t="s">
        <v>2347</v>
      </c>
      <c r="C413" s="65" t="s">
        <v>4443</v>
      </c>
      <c r="D413" s="66">
        <v>3</v>
      </c>
      <c r="E413" s="67"/>
      <c r="F413" s="68">
        <v>40</v>
      </c>
      <c r="G413" s="65"/>
      <c r="H413" s="69"/>
      <c r="I413" s="70"/>
      <c r="J413" s="70"/>
      <c r="K413" s="34" t="s">
        <v>65</v>
      </c>
      <c r="L413" s="77">
        <v>413</v>
      </c>
      <c r="M413" s="77"/>
      <c r="N413" s="72"/>
      <c r="O413" s="79" t="s">
        <v>610</v>
      </c>
      <c r="P413" s="79">
        <v>1</v>
      </c>
      <c r="Q413" s="78" t="str">
        <f>REPLACE(INDEX(GroupVertices[Group],MATCH(Edges[[#This Row],[Vertex 1]],GroupVertices[Vertex],0)),1,1,"")</f>
        <v>owcast</v>
      </c>
      <c r="R413" s="78" t="str">
        <f>REPLACE(INDEX(GroupVertices[Group],MATCH(Edges[[#This Row],[Vertex 2]],GroupVertices[Vertex],0)),1,1,"")</f>
        <v>owcast</v>
      </c>
    </row>
    <row r="414" spans="1:18" ht="15">
      <c r="A414" s="64" t="s">
        <v>209</v>
      </c>
      <c r="B414" s="64" t="s">
        <v>2348</v>
      </c>
      <c r="C414" s="65" t="s">
        <v>4443</v>
      </c>
      <c r="D414" s="66">
        <v>3</v>
      </c>
      <c r="E414" s="67"/>
      <c r="F414" s="68">
        <v>40</v>
      </c>
      <c r="G414" s="65"/>
      <c r="H414" s="69"/>
      <c r="I414" s="70"/>
      <c r="J414" s="70"/>
      <c r="K414" s="34" t="s">
        <v>65</v>
      </c>
      <c r="L414" s="77">
        <v>414</v>
      </c>
      <c r="M414" s="77"/>
      <c r="N414" s="72"/>
      <c r="O414" s="79" t="s">
        <v>610</v>
      </c>
      <c r="P414" s="79">
        <v>1</v>
      </c>
      <c r="Q414" s="78" t="str">
        <f>REPLACE(INDEX(GroupVertices[Group],MATCH(Edges[[#This Row],[Vertex 1]],GroupVertices[Vertex],0)),1,1,"")</f>
        <v>owcast</v>
      </c>
      <c r="R414" s="78" t="str">
        <f>REPLACE(INDEX(GroupVertices[Group],MATCH(Edges[[#This Row],[Vertex 2]],GroupVertices[Vertex],0)),1,1,"")</f>
        <v>owcast</v>
      </c>
    </row>
    <row r="415" spans="1:18" ht="15">
      <c r="A415" s="64" t="s">
        <v>209</v>
      </c>
      <c r="B415" s="64" t="s">
        <v>2349</v>
      </c>
      <c r="C415" s="65" t="s">
        <v>4443</v>
      </c>
      <c r="D415" s="66">
        <v>3</v>
      </c>
      <c r="E415" s="67"/>
      <c r="F415" s="68">
        <v>40</v>
      </c>
      <c r="G415" s="65"/>
      <c r="H415" s="69"/>
      <c r="I415" s="70"/>
      <c r="J415" s="70"/>
      <c r="K415" s="34" t="s">
        <v>65</v>
      </c>
      <c r="L415" s="77">
        <v>415</v>
      </c>
      <c r="M415" s="77"/>
      <c r="N415" s="72"/>
      <c r="O415" s="79" t="s">
        <v>610</v>
      </c>
      <c r="P415" s="79">
        <v>1</v>
      </c>
      <c r="Q415" s="78" t="str">
        <f>REPLACE(INDEX(GroupVertices[Group],MATCH(Edges[[#This Row],[Vertex 1]],GroupVertices[Vertex],0)),1,1,"")</f>
        <v>owcast</v>
      </c>
      <c r="R415" s="78" t="str">
        <f>REPLACE(INDEX(GroupVertices[Group],MATCH(Edges[[#This Row],[Vertex 2]],GroupVertices[Vertex],0)),1,1,"")</f>
        <v>owcast</v>
      </c>
    </row>
    <row r="416" spans="1:18" ht="15">
      <c r="A416" s="64" t="s">
        <v>209</v>
      </c>
      <c r="B416" s="64" t="s">
        <v>2350</v>
      </c>
      <c r="C416" s="65" t="s">
        <v>4443</v>
      </c>
      <c r="D416" s="66">
        <v>3</v>
      </c>
      <c r="E416" s="67"/>
      <c r="F416" s="68">
        <v>40</v>
      </c>
      <c r="G416" s="65"/>
      <c r="H416" s="69"/>
      <c r="I416" s="70"/>
      <c r="J416" s="70"/>
      <c r="K416" s="34" t="s">
        <v>65</v>
      </c>
      <c r="L416" s="77">
        <v>416</v>
      </c>
      <c r="M416" s="77"/>
      <c r="N416" s="72"/>
      <c r="O416" s="79" t="s">
        <v>610</v>
      </c>
      <c r="P416" s="79">
        <v>1</v>
      </c>
      <c r="Q416" s="78" t="str">
        <f>REPLACE(INDEX(GroupVertices[Group],MATCH(Edges[[#This Row],[Vertex 1]],GroupVertices[Vertex],0)),1,1,"")</f>
        <v>owcast</v>
      </c>
      <c r="R416" s="78" t="str">
        <f>REPLACE(INDEX(GroupVertices[Group],MATCH(Edges[[#This Row],[Vertex 2]],GroupVertices[Vertex],0)),1,1,"")</f>
        <v>owcast</v>
      </c>
    </row>
    <row r="417" spans="1:18" ht="15">
      <c r="A417" s="64" t="s">
        <v>209</v>
      </c>
      <c r="B417" s="64" t="s">
        <v>2351</v>
      </c>
      <c r="C417" s="65" t="s">
        <v>4443</v>
      </c>
      <c r="D417" s="66">
        <v>3</v>
      </c>
      <c r="E417" s="67"/>
      <c r="F417" s="68">
        <v>40</v>
      </c>
      <c r="G417" s="65"/>
      <c r="H417" s="69"/>
      <c r="I417" s="70"/>
      <c r="J417" s="70"/>
      <c r="K417" s="34" t="s">
        <v>65</v>
      </c>
      <c r="L417" s="77">
        <v>417</v>
      </c>
      <c r="M417" s="77"/>
      <c r="N417" s="72"/>
      <c r="O417" s="79" t="s">
        <v>610</v>
      </c>
      <c r="P417" s="79">
        <v>1</v>
      </c>
      <c r="Q417" s="78" t="str">
        <f>REPLACE(INDEX(GroupVertices[Group],MATCH(Edges[[#This Row],[Vertex 1]],GroupVertices[Vertex],0)),1,1,"")</f>
        <v>owcast</v>
      </c>
      <c r="R417" s="78" t="str">
        <f>REPLACE(INDEX(GroupVertices[Group],MATCH(Edges[[#This Row],[Vertex 2]],GroupVertices[Vertex],0)),1,1,"")</f>
        <v>owcast</v>
      </c>
    </row>
    <row r="418" spans="1:18" ht="15">
      <c r="A418" s="64" t="s">
        <v>209</v>
      </c>
      <c r="B418" s="64" t="s">
        <v>2352</v>
      </c>
      <c r="C418" s="65" t="s">
        <v>4443</v>
      </c>
      <c r="D418" s="66">
        <v>3</v>
      </c>
      <c r="E418" s="67"/>
      <c r="F418" s="68">
        <v>40</v>
      </c>
      <c r="G418" s="65"/>
      <c r="H418" s="69"/>
      <c r="I418" s="70"/>
      <c r="J418" s="70"/>
      <c r="K418" s="34" t="s">
        <v>65</v>
      </c>
      <c r="L418" s="77">
        <v>418</v>
      </c>
      <c r="M418" s="77"/>
      <c r="N418" s="72"/>
      <c r="O418" s="79" t="s">
        <v>610</v>
      </c>
      <c r="P418" s="79">
        <v>1</v>
      </c>
      <c r="Q418" s="78" t="str">
        <f>REPLACE(INDEX(GroupVertices[Group],MATCH(Edges[[#This Row],[Vertex 1]],GroupVertices[Vertex],0)),1,1,"")</f>
        <v>owcast</v>
      </c>
      <c r="R418" s="78" t="str">
        <f>REPLACE(INDEX(GroupVertices[Group],MATCH(Edges[[#This Row],[Vertex 2]],GroupVertices[Vertex],0)),1,1,"")</f>
        <v>owcast</v>
      </c>
    </row>
    <row r="419" spans="1:18" ht="15">
      <c r="A419" s="64" t="s">
        <v>209</v>
      </c>
      <c r="B419" s="64" t="s">
        <v>2353</v>
      </c>
      <c r="C419" s="65" t="s">
        <v>4443</v>
      </c>
      <c r="D419" s="66">
        <v>3</v>
      </c>
      <c r="E419" s="67"/>
      <c r="F419" s="68">
        <v>40</v>
      </c>
      <c r="G419" s="65"/>
      <c r="H419" s="69"/>
      <c r="I419" s="70"/>
      <c r="J419" s="70"/>
      <c r="K419" s="34" t="s">
        <v>65</v>
      </c>
      <c r="L419" s="77">
        <v>419</v>
      </c>
      <c r="M419" s="77"/>
      <c r="N419" s="72"/>
      <c r="O419" s="79" t="s">
        <v>610</v>
      </c>
      <c r="P419" s="79">
        <v>1</v>
      </c>
      <c r="Q419" s="78" t="str">
        <f>REPLACE(INDEX(GroupVertices[Group],MATCH(Edges[[#This Row],[Vertex 1]],GroupVertices[Vertex],0)),1,1,"")</f>
        <v>owcast</v>
      </c>
      <c r="R419" s="78" t="str">
        <f>REPLACE(INDEX(GroupVertices[Group],MATCH(Edges[[#This Row],[Vertex 2]],GroupVertices[Vertex],0)),1,1,"")</f>
        <v>owcast</v>
      </c>
    </row>
    <row r="420" spans="1:18" ht="15">
      <c r="A420" s="64" t="s">
        <v>209</v>
      </c>
      <c r="B420" s="64" t="s">
        <v>2354</v>
      </c>
      <c r="C420" s="65" t="s">
        <v>4443</v>
      </c>
      <c r="D420" s="66">
        <v>3</v>
      </c>
      <c r="E420" s="67"/>
      <c r="F420" s="68">
        <v>40</v>
      </c>
      <c r="G420" s="65"/>
      <c r="H420" s="69"/>
      <c r="I420" s="70"/>
      <c r="J420" s="70"/>
      <c r="K420" s="34" t="s">
        <v>65</v>
      </c>
      <c r="L420" s="77">
        <v>420</v>
      </c>
      <c r="M420" s="77"/>
      <c r="N420" s="72"/>
      <c r="O420" s="79" t="s">
        <v>610</v>
      </c>
      <c r="P420" s="79">
        <v>1</v>
      </c>
      <c r="Q420" s="78" t="str">
        <f>REPLACE(INDEX(GroupVertices[Group],MATCH(Edges[[#This Row],[Vertex 1]],GroupVertices[Vertex],0)),1,1,"")</f>
        <v>owcast</v>
      </c>
      <c r="R420" s="78" t="str">
        <f>REPLACE(INDEX(GroupVertices[Group],MATCH(Edges[[#This Row],[Vertex 2]],GroupVertices[Vertex],0)),1,1,"")</f>
        <v>owcast</v>
      </c>
    </row>
    <row r="421" spans="1:18" ht="15">
      <c r="A421" s="64" t="s">
        <v>209</v>
      </c>
      <c r="B421" s="64" t="s">
        <v>2355</v>
      </c>
      <c r="C421" s="65" t="s">
        <v>4443</v>
      </c>
      <c r="D421" s="66">
        <v>3</v>
      </c>
      <c r="E421" s="67"/>
      <c r="F421" s="68">
        <v>40</v>
      </c>
      <c r="G421" s="65"/>
      <c r="H421" s="69"/>
      <c r="I421" s="70"/>
      <c r="J421" s="70"/>
      <c r="K421" s="34" t="s">
        <v>65</v>
      </c>
      <c r="L421" s="77">
        <v>421</v>
      </c>
      <c r="M421" s="77"/>
      <c r="N421" s="72"/>
      <c r="O421" s="79" t="s">
        <v>610</v>
      </c>
      <c r="P421" s="79">
        <v>1</v>
      </c>
      <c r="Q421" s="78" t="str">
        <f>REPLACE(INDEX(GroupVertices[Group],MATCH(Edges[[#This Row],[Vertex 1]],GroupVertices[Vertex],0)),1,1,"")</f>
        <v>owcast</v>
      </c>
      <c r="R421" s="78" t="str">
        <f>REPLACE(INDEX(GroupVertices[Group],MATCH(Edges[[#This Row],[Vertex 2]],GroupVertices[Vertex],0)),1,1,"")</f>
        <v>owcast</v>
      </c>
    </row>
    <row r="422" spans="1:18" ht="15">
      <c r="A422" s="64" t="s">
        <v>209</v>
      </c>
      <c r="B422" s="64" t="s">
        <v>2356</v>
      </c>
      <c r="C422" s="65" t="s">
        <v>4443</v>
      </c>
      <c r="D422" s="66">
        <v>3</v>
      </c>
      <c r="E422" s="67"/>
      <c r="F422" s="68">
        <v>40</v>
      </c>
      <c r="G422" s="65"/>
      <c r="H422" s="69"/>
      <c r="I422" s="70"/>
      <c r="J422" s="70"/>
      <c r="K422" s="34" t="s">
        <v>65</v>
      </c>
      <c r="L422" s="77">
        <v>422</v>
      </c>
      <c r="M422" s="77"/>
      <c r="N422" s="72"/>
      <c r="O422" s="79" t="s">
        <v>610</v>
      </c>
      <c r="P422" s="79">
        <v>1</v>
      </c>
      <c r="Q422" s="78" t="str">
        <f>REPLACE(INDEX(GroupVertices[Group],MATCH(Edges[[#This Row],[Vertex 1]],GroupVertices[Vertex],0)),1,1,"")</f>
        <v>owcast</v>
      </c>
      <c r="R422" s="78" t="str">
        <f>REPLACE(INDEX(GroupVertices[Group],MATCH(Edges[[#This Row],[Vertex 2]],GroupVertices[Vertex],0)),1,1,"")</f>
        <v>owcast</v>
      </c>
    </row>
    <row r="423" spans="1:18" ht="15">
      <c r="A423" s="64" t="s">
        <v>209</v>
      </c>
      <c r="B423" s="64" t="s">
        <v>2357</v>
      </c>
      <c r="C423" s="65" t="s">
        <v>4443</v>
      </c>
      <c r="D423" s="66">
        <v>3</v>
      </c>
      <c r="E423" s="67"/>
      <c r="F423" s="68">
        <v>40</v>
      </c>
      <c r="G423" s="65"/>
      <c r="H423" s="69"/>
      <c r="I423" s="70"/>
      <c r="J423" s="70"/>
      <c r="K423" s="34" t="s">
        <v>65</v>
      </c>
      <c r="L423" s="77">
        <v>423</v>
      </c>
      <c r="M423" s="77"/>
      <c r="N423" s="72"/>
      <c r="O423" s="79" t="s">
        <v>610</v>
      </c>
      <c r="P423" s="79">
        <v>1</v>
      </c>
      <c r="Q423" s="78" t="str">
        <f>REPLACE(INDEX(GroupVertices[Group],MATCH(Edges[[#This Row],[Vertex 1]],GroupVertices[Vertex],0)),1,1,"")</f>
        <v>owcast</v>
      </c>
      <c r="R423" s="78" t="str">
        <f>REPLACE(INDEX(GroupVertices[Group],MATCH(Edges[[#This Row],[Vertex 2]],GroupVertices[Vertex],0)),1,1,"")</f>
        <v>smosis from Elsevier</v>
      </c>
    </row>
    <row r="424" spans="1:18" ht="15">
      <c r="A424" s="64" t="s">
        <v>209</v>
      </c>
      <c r="B424" s="64" t="s">
        <v>373</v>
      </c>
      <c r="C424" s="65" t="s">
        <v>4443</v>
      </c>
      <c r="D424" s="66">
        <v>3</v>
      </c>
      <c r="E424" s="67"/>
      <c r="F424" s="68">
        <v>40</v>
      </c>
      <c r="G424" s="65"/>
      <c r="H424" s="69"/>
      <c r="I424" s="70"/>
      <c r="J424" s="70"/>
      <c r="K424" s="34" t="s">
        <v>65</v>
      </c>
      <c r="L424" s="77">
        <v>424</v>
      </c>
      <c r="M424" s="77"/>
      <c r="N424" s="72"/>
      <c r="O424" s="79" t="s">
        <v>610</v>
      </c>
      <c r="P424" s="79">
        <v>1</v>
      </c>
      <c r="Q424" s="78" t="str">
        <f>REPLACE(INDEX(GroupVertices[Group],MATCH(Edges[[#This Row],[Vertex 1]],GroupVertices[Vertex],0)),1,1,"")</f>
        <v>owcast</v>
      </c>
      <c r="R424" s="78" t="str">
        <f>REPLACE(INDEX(GroupVertices[Group],MATCH(Edges[[#This Row],[Vertex 2]],GroupVertices[Vertex],0)),1,1,"")</f>
        <v>owcast</v>
      </c>
    </row>
    <row r="425" spans="1:18" ht="15">
      <c r="A425" s="64" t="s">
        <v>209</v>
      </c>
      <c r="B425" s="64" t="s">
        <v>374</v>
      </c>
      <c r="C425" s="65" t="s">
        <v>4443</v>
      </c>
      <c r="D425" s="66">
        <v>3</v>
      </c>
      <c r="E425" s="67"/>
      <c r="F425" s="68">
        <v>40</v>
      </c>
      <c r="G425" s="65"/>
      <c r="H425" s="69"/>
      <c r="I425" s="70"/>
      <c r="J425" s="70"/>
      <c r="K425" s="34" t="s">
        <v>65</v>
      </c>
      <c r="L425" s="77">
        <v>425</v>
      </c>
      <c r="M425" s="77"/>
      <c r="N425" s="72"/>
      <c r="O425" s="79" t="s">
        <v>610</v>
      </c>
      <c r="P425" s="79">
        <v>1</v>
      </c>
      <c r="Q425" s="78" t="str">
        <f>REPLACE(INDEX(GroupVertices[Group],MATCH(Edges[[#This Row],[Vertex 1]],GroupVertices[Vertex],0)),1,1,"")</f>
        <v>owcast</v>
      </c>
      <c r="R425" s="78" t="str">
        <f>REPLACE(INDEX(GroupVertices[Group],MATCH(Edges[[#This Row],[Vertex 2]],GroupVertices[Vertex],0)),1,1,"")</f>
        <v>smosis from Elsevier</v>
      </c>
    </row>
    <row r="426" spans="1:18" ht="15">
      <c r="A426" s="64" t="s">
        <v>209</v>
      </c>
      <c r="B426" s="64" t="s">
        <v>375</v>
      </c>
      <c r="C426" s="65" t="s">
        <v>4443</v>
      </c>
      <c r="D426" s="66">
        <v>3</v>
      </c>
      <c r="E426" s="67"/>
      <c r="F426" s="68">
        <v>40</v>
      </c>
      <c r="G426" s="65"/>
      <c r="H426" s="69"/>
      <c r="I426" s="70"/>
      <c r="J426" s="70"/>
      <c r="K426" s="34" t="s">
        <v>65</v>
      </c>
      <c r="L426" s="77">
        <v>426</v>
      </c>
      <c r="M426" s="77"/>
      <c r="N426" s="72"/>
      <c r="O426" s="79" t="s">
        <v>610</v>
      </c>
      <c r="P426" s="79">
        <v>1</v>
      </c>
      <c r="Q426" s="78" t="str">
        <f>REPLACE(INDEX(GroupVertices[Group],MATCH(Edges[[#This Row],[Vertex 1]],GroupVertices[Vertex],0)),1,1,"")</f>
        <v>owcast</v>
      </c>
      <c r="R426" s="78" t="str">
        <f>REPLACE(INDEX(GroupVertices[Group],MATCH(Edges[[#This Row],[Vertex 2]],GroupVertices[Vertex],0)),1,1,"")</f>
        <v>owcast</v>
      </c>
    </row>
    <row r="427" spans="1:18" ht="15">
      <c r="A427" s="64" t="s">
        <v>209</v>
      </c>
      <c r="B427" s="64" t="s">
        <v>377</v>
      </c>
      <c r="C427" s="65" t="s">
        <v>4443</v>
      </c>
      <c r="D427" s="66">
        <v>3</v>
      </c>
      <c r="E427" s="67"/>
      <c r="F427" s="68">
        <v>40</v>
      </c>
      <c r="G427" s="65"/>
      <c r="H427" s="69"/>
      <c r="I427" s="70"/>
      <c r="J427" s="70"/>
      <c r="K427" s="34" t="s">
        <v>65</v>
      </c>
      <c r="L427" s="77">
        <v>427</v>
      </c>
      <c r="M427" s="77"/>
      <c r="N427" s="72"/>
      <c r="O427" s="79" t="s">
        <v>610</v>
      </c>
      <c r="P427" s="79">
        <v>1</v>
      </c>
      <c r="Q427" s="78" t="str">
        <f>REPLACE(INDEX(GroupVertices[Group],MATCH(Edges[[#This Row],[Vertex 1]],GroupVertices[Vertex],0)),1,1,"")</f>
        <v>owcast</v>
      </c>
      <c r="R427" s="78" t="str">
        <f>REPLACE(INDEX(GroupVertices[Group],MATCH(Edges[[#This Row],[Vertex 2]],GroupVertices[Vertex],0)),1,1,"")</f>
        <v>owcast</v>
      </c>
    </row>
    <row r="428" spans="1:18" ht="15">
      <c r="A428" s="64" t="s">
        <v>209</v>
      </c>
      <c r="B428" s="64" t="s">
        <v>376</v>
      </c>
      <c r="C428" s="65" t="s">
        <v>4443</v>
      </c>
      <c r="D428" s="66">
        <v>3</v>
      </c>
      <c r="E428" s="67"/>
      <c r="F428" s="68">
        <v>40</v>
      </c>
      <c r="G428" s="65"/>
      <c r="H428" s="69"/>
      <c r="I428" s="70"/>
      <c r="J428" s="70"/>
      <c r="K428" s="34" t="s">
        <v>65</v>
      </c>
      <c r="L428" s="77">
        <v>428</v>
      </c>
      <c r="M428" s="77"/>
      <c r="N428" s="72"/>
      <c r="O428" s="79" t="s">
        <v>610</v>
      </c>
      <c r="P428" s="79">
        <v>1</v>
      </c>
      <c r="Q428" s="78" t="str">
        <f>REPLACE(INDEX(GroupVertices[Group],MATCH(Edges[[#This Row],[Vertex 1]],GroupVertices[Vertex],0)),1,1,"")</f>
        <v>owcast</v>
      </c>
      <c r="R428" s="78" t="str">
        <f>REPLACE(INDEX(GroupVertices[Group],MATCH(Edges[[#This Row],[Vertex 2]],GroupVertices[Vertex],0)),1,1,"")</f>
        <v>owcast</v>
      </c>
    </row>
    <row r="429" spans="1:18" ht="15">
      <c r="A429" s="64" t="s">
        <v>209</v>
      </c>
      <c r="B429" s="64" t="s">
        <v>322</v>
      </c>
      <c r="C429" s="65" t="s">
        <v>4443</v>
      </c>
      <c r="D429" s="66">
        <v>3</v>
      </c>
      <c r="E429" s="67"/>
      <c r="F429" s="68">
        <v>40</v>
      </c>
      <c r="G429" s="65"/>
      <c r="H429" s="69"/>
      <c r="I429" s="70"/>
      <c r="J429" s="70"/>
      <c r="K429" s="34" t="s">
        <v>65</v>
      </c>
      <c r="L429" s="77">
        <v>429</v>
      </c>
      <c r="M429" s="77"/>
      <c r="N429" s="72"/>
      <c r="O429" s="79" t="s">
        <v>610</v>
      </c>
      <c r="P429" s="79">
        <v>1</v>
      </c>
      <c r="Q429" s="78" t="str">
        <f>REPLACE(INDEX(GroupVertices[Group],MATCH(Edges[[#This Row],[Vertex 1]],GroupVertices[Vertex],0)),1,1,"")</f>
        <v>owcast</v>
      </c>
      <c r="R429" s="78" t="str">
        <f>REPLACE(INDEX(GroupVertices[Group],MATCH(Edges[[#This Row],[Vertex 2]],GroupVertices[Vertex],0)),1,1,"")</f>
        <v>owcast</v>
      </c>
    </row>
    <row r="430" spans="1:18" ht="15">
      <c r="A430" s="64" t="s">
        <v>209</v>
      </c>
      <c r="B430" s="64" t="s">
        <v>342</v>
      </c>
      <c r="C430" s="65" t="s">
        <v>4443</v>
      </c>
      <c r="D430" s="66">
        <v>3</v>
      </c>
      <c r="E430" s="67"/>
      <c r="F430" s="68">
        <v>40</v>
      </c>
      <c r="G430" s="65"/>
      <c r="H430" s="69"/>
      <c r="I430" s="70"/>
      <c r="J430" s="70"/>
      <c r="K430" s="34" t="s">
        <v>65</v>
      </c>
      <c r="L430" s="77">
        <v>430</v>
      </c>
      <c r="M430" s="77"/>
      <c r="N430" s="72"/>
      <c r="O430" s="79" t="s">
        <v>610</v>
      </c>
      <c r="P430" s="79">
        <v>1</v>
      </c>
      <c r="Q430" s="78" t="str">
        <f>REPLACE(INDEX(GroupVertices[Group],MATCH(Edges[[#This Row],[Vertex 1]],GroupVertices[Vertex],0)),1,1,"")</f>
        <v>owcast</v>
      </c>
      <c r="R430" s="78" t="str">
        <f>REPLACE(INDEX(GroupVertices[Group],MATCH(Edges[[#This Row],[Vertex 2]],GroupVertices[Vertex],0)),1,1,"")</f>
        <v>owcast</v>
      </c>
    </row>
    <row r="431" spans="1:18" ht="15">
      <c r="A431" s="64" t="s">
        <v>209</v>
      </c>
      <c r="B431" s="64" t="s">
        <v>245</v>
      </c>
      <c r="C431" s="65" t="s">
        <v>4444</v>
      </c>
      <c r="D431" s="66">
        <v>3</v>
      </c>
      <c r="E431" s="67"/>
      <c r="F431" s="68">
        <v>40</v>
      </c>
      <c r="G431" s="65"/>
      <c r="H431" s="69"/>
      <c r="I431" s="70"/>
      <c r="J431" s="70"/>
      <c r="K431" s="34" t="s">
        <v>66</v>
      </c>
      <c r="L431" s="77">
        <v>431</v>
      </c>
      <c r="M431" s="77"/>
      <c r="N431" s="72"/>
      <c r="O431" s="79" t="s">
        <v>610</v>
      </c>
      <c r="P431" s="79">
        <v>1</v>
      </c>
      <c r="Q431" s="78" t="str">
        <f>REPLACE(INDEX(GroupVertices[Group],MATCH(Edges[[#This Row],[Vertex 1]],GroupVertices[Vertex],0)),1,1,"")</f>
        <v>owcast</v>
      </c>
      <c r="R431" s="78" t="str">
        <f>REPLACE(INDEX(GroupVertices[Group],MATCH(Edges[[#This Row],[Vertex 2]],GroupVertices[Vertex],0)),1,1,"")</f>
        <v>emystifying Medicine McMaster</v>
      </c>
    </row>
    <row r="432" spans="1:18" ht="15">
      <c r="A432" s="64" t="s">
        <v>215</v>
      </c>
      <c r="B432" s="64" t="s">
        <v>2162</v>
      </c>
      <c r="C432" s="65" t="s">
        <v>4443</v>
      </c>
      <c r="D432" s="66">
        <v>3</v>
      </c>
      <c r="E432" s="67"/>
      <c r="F432" s="68">
        <v>40</v>
      </c>
      <c r="G432" s="65"/>
      <c r="H432" s="69"/>
      <c r="I432" s="70"/>
      <c r="J432" s="70"/>
      <c r="K432" s="34" t="s">
        <v>65</v>
      </c>
      <c r="L432" s="77">
        <v>432</v>
      </c>
      <c r="M432" s="77"/>
      <c r="N432" s="72"/>
      <c r="O432" s="79" t="s">
        <v>610</v>
      </c>
      <c r="P432" s="79">
        <v>1</v>
      </c>
      <c r="Q432" s="78" t="str">
        <f>REPLACE(INDEX(GroupVertices[Group],MATCH(Edges[[#This Row],[Vertex 1]],GroupVertices[Vertex],0)),1,1,"")</f>
        <v>edical Centric</v>
      </c>
      <c r="R432" s="78" t="str">
        <f>REPLACE(INDEX(GroupVertices[Group],MATCH(Edges[[#This Row],[Vertex 2]],GroupVertices[Vertex],0)),1,1,"")</f>
        <v>ife Synergy</v>
      </c>
    </row>
    <row r="433" spans="1:18" ht="15">
      <c r="A433" s="64" t="s">
        <v>215</v>
      </c>
      <c r="B433" s="64" t="s">
        <v>2163</v>
      </c>
      <c r="C433" s="65" t="s">
        <v>4443</v>
      </c>
      <c r="D433" s="66">
        <v>3</v>
      </c>
      <c r="E433" s="67"/>
      <c r="F433" s="68">
        <v>40</v>
      </c>
      <c r="G433" s="65"/>
      <c r="H433" s="69"/>
      <c r="I433" s="70"/>
      <c r="J433" s="70"/>
      <c r="K433" s="34" t="s">
        <v>65</v>
      </c>
      <c r="L433" s="77">
        <v>433</v>
      </c>
      <c r="M433" s="77"/>
      <c r="N433" s="72"/>
      <c r="O433" s="79" t="s">
        <v>610</v>
      </c>
      <c r="P433" s="79">
        <v>1</v>
      </c>
      <c r="Q433" s="78" t="str">
        <f>REPLACE(INDEX(GroupVertices[Group],MATCH(Edges[[#This Row],[Vertex 1]],GroupVertices[Vertex],0)),1,1,"")</f>
        <v>edical Centric</v>
      </c>
      <c r="R433" s="78" t="str">
        <f>REPLACE(INDEX(GroupVertices[Group],MATCH(Edges[[#This Row],[Vertex 2]],GroupVertices[Vertex],0)),1,1,"")</f>
        <v>on morrow</v>
      </c>
    </row>
    <row r="434" spans="1:18" ht="15">
      <c r="A434" s="64" t="s">
        <v>215</v>
      </c>
      <c r="B434" s="64" t="s">
        <v>2164</v>
      </c>
      <c r="C434" s="65" t="s">
        <v>4443</v>
      </c>
      <c r="D434" s="66">
        <v>3</v>
      </c>
      <c r="E434" s="67"/>
      <c r="F434" s="68">
        <v>40</v>
      </c>
      <c r="G434" s="65"/>
      <c r="H434" s="69"/>
      <c r="I434" s="70"/>
      <c r="J434" s="70"/>
      <c r="K434" s="34" t="s">
        <v>65</v>
      </c>
      <c r="L434" s="77">
        <v>434</v>
      </c>
      <c r="M434" s="77"/>
      <c r="N434" s="72"/>
      <c r="O434" s="79" t="s">
        <v>610</v>
      </c>
      <c r="P434" s="79">
        <v>1</v>
      </c>
      <c r="Q434" s="78" t="str">
        <f>REPLACE(INDEX(GroupVertices[Group],MATCH(Edges[[#This Row],[Vertex 1]],GroupVertices[Vertex],0)),1,1,"")</f>
        <v>edical Centric</v>
      </c>
      <c r="R434" s="78" t="str">
        <f>REPLACE(INDEX(GroupVertices[Group],MATCH(Edges[[#This Row],[Vertex 2]],GroupVertices[Vertex],0)),1,1,"")</f>
        <v>arepatron</v>
      </c>
    </row>
    <row r="435" spans="1:18" ht="15">
      <c r="A435" s="64" t="s">
        <v>215</v>
      </c>
      <c r="B435" s="64" t="s">
        <v>2165</v>
      </c>
      <c r="C435" s="65" t="s">
        <v>4443</v>
      </c>
      <c r="D435" s="66">
        <v>3</v>
      </c>
      <c r="E435" s="67"/>
      <c r="F435" s="68">
        <v>40</v>
      </c>
      <c r="G435" s="65"/>
      <c r="H435" s="69"/>
      <c r="I435" s="70"/>
      <c r="J435" s="70"/>
      <c r="K435" s="34" t="s">
        <v>65</v>
      </c>
      <c r="L435" s="77">
        <v>435</v>
      </c>
      <c r="M435" s="77"/>
      <c r="N435" s="72"/>
      <c r="O435" s="79" t="s">
        <v>610</v>
      </c>
      <c r="P435" s="79">
        <v>1</v>
      </c>
      <c r="Q435" s="78" t="str">
        <f>REPLACE(INDEX(GroupVertices[Group],MATCH(Edges[[#This Row],[Vertex 1]],GroupVertices[Vertex],0)),1,1,"")</f>
        <v>edical Centric</v>
      </c>
      <c r="R435" s="78" t="str">
        <f>REPLACE(INDEX(GroupVertices[Group],MATCH(Edges[[#This Row],[Vertex 2]],GroupVertices[Vertex],0)),1,1,"")</f>
        <v>amily First</v>
      </c>
    </row>
    <row r="436" spans="1:18" ht="15">
      <c r="A436" s="64" t="s">
        <v>215</v>
      </c>
      <c r="B436" s="64" t="s">
        <v>2166</v>
      </c>
      <c r="C436" s="65" t="s">
        <v>4443</v>
      </c>
      <c r="D436" s="66">
        <v>3</v>
      </c>
      <c r="E436" s="67"/>
      <c r="F436" s="68">
        <v>40</v>
      </c>
      <c r="G436" s="65"/>
      <c r="H436" s="69"/>
      <c r="I436" s="70"/>
      <c r="J436" s="70"/>
      <c r="K436" s="34" t="s">
        <v>65</v>
      </c>
      <c r="L436" s="77">
        <v>436</v>
      </c>
      <c r="M436" s="77"/>
      <c r="N436" s="72"/>
      <c r="O436" s="79" t="s">
        <v>610</v>
      </c>
      <c r="P436" s="79">
        <v>1</v>
      </c>
      <c r="Q436" s="78" t="str">
        <f>REPLACE(INDEX(GroupVertices[Group],MATCH(Edges[[#This Row],[Vertex 1]],GroupVertices[Vertex],0)),1,1,"")</f>
        <v>edical Centric</v>
      </c>
      <c r="R436" s="78" t="str">
        <f>REPLACE(INDEX(GroupVertices[Group],MATCH(Edges[[#This Row],[Vertex 2]],GroupVertices[Vertex],0)),1,1,"")</f>
        <v>hanbormey Rous</v>
      </c>
    </row>
    <row r="437" spans="1:18" ht="15">
      <c r="A437" s="64" t="s">
        <v>215</v>
      </c>
      <c r="B437" s="64" t="s">
        <v>2167</v>
      </c>
      <c r="C437" s="65" t="s">
        <v>4443</v>
      </c>
      <c r="D437" s="66">
        <v>3</v>
      </c>
      <c r="E437" s="67"/>
      <c r="F437" s="68">
        <v>40</v>
      </c>
      <c r="G437" s="65"/>
      <c r="H437" s="69"/>
      <c r="I437" s="70"/>
      <c r="J437" s="70"/>
      <c r="K437" s="34" t="s">
        <v>65</v>
      </c>
      <c r="L437" s="77">
        <v>437</v>
      </c>
      <c r="M437" s="77"/>
      <c r="N437" s="72"/>
      <c r="O437" s="79" t="s">
        <v>610</v>
      </c>
      <c r="P437" s="79">
        <v>1</v>
      </c>
      <c r="Q437" s="78" t="str">
        <f>REPLACE(INDEX(GroupVertices[Group],MATCH(Edges[[#This Row],[Vertex 1]],GroupVertices[Vertex],0)),1,1,"")</f>
        <v>edical Centric</v>
      </c>
      <c r="R437" s="78" t="str">
        <f>REPLACE(INDEX(GroupVertices[Group],MATCH(Edges[[#This Row],[Vertex 2]],GroupVertices[Vertex],0)),1,1,"")</f>
        <v>entian Sovan</v>
      </c>
    </row>
    <row r="438" spans="1:18" ht="15">
      <c r="A438" s="64" t="s">
        <v>215</v>
      </c>
      <c r="B438" s="64" t="s">
        <v>2168</v>
      </c>
      <c r="C438" s="65" t="s">
        <v>4443</v>
      </c>
      <c r="D438" s="66">
        <v>3</v>
      </c>
      <c r="E438" s="67"/>
      <c r="F438" s="68">
        <v>40</v>
      </c>
      <c r="G438" s="65"/>
      <c r="H438" s="69"/>
      <c r="I438" s="70"/>
      <c r="J438" s="70"/>
      <c r="K438" s="34" t="s">
        <v>65</v>
      </c>
      <c r="L438" s="77">
        <v>438</v>
      </c>
      <c r="M438" s="77"/>
      <c r="N438" s="72"/>
      <c r="O438" s="79" t="s">
        <v>610</v>
      </c>
      <c r="P438" s="79">
        <v>1</v>
      </c>
      <c r="Q438" s="78" t="str">
        <f>REPLACE(INDEX(GroupVertices[Group],MATCH(Edges[[#This Row],[Vertex 1]],GroupVertices[Vertex],0)),1,1,"")</f>
        <v>edical Centric</v>
      </c>
      <c r="R438" s="78" t="str">
        <f>REPLACE(INDEX(GroupVertices[Group],MATCH(Edges[[#This Row],[Vertex 2]],GroupVertices[Vertex],0)),1,1,"")</f>
        <v>nowledge In World</v>
      </c>
    </row>
    <row r="439" spans="1:18" ht="15">
      <c r="A439" s="64" t="s">
        <v>215</v>
      </c>
      <c r="B439" s="64" t="s">
        <v>2169</v>
      </c>
      <c r="C439" s="65" t="s">
        <v>4443</v>
      </c>
      <c r="D439" s="66">
        <v>3</v>
      </c>
      <c r="E439" s="67"/>
      <c r="F439" s="68">
        <v>40</v>
      </c>
      <c r="G439" s="65"/>
      <c r="H439" s="69"/>
      <c r="I439" s="70"/>
      <c r="J439" s="70"/>
      <c r="K439" s="34" t="s">
        <v>65</v>
      </c>
      <c r="L439" s="77">
        <v>439</v>
      </c>
      <c r="M439" s="77"/>
      <c r="N439" s="72"/>
      <c r="O439" s="79" t="s">
        <v>610</v>
      </c>
      <c r="P439" s="79">
        <v>1</v>
      </c>
      <c r="Q439" s="78" t="str">
        <f>REPLACE(INDEX(GroupVertices[Group],MATCH(Edges[[#This Row],[Vertex 1]],GroupVertices[Vertex],0)),1,1,"")</f>
        <v>edical Centric</v>
      </c>
      <c r="R439" s="78" t="str">
        <f>REPLACE(INDEX(GroupVertices[Group],MATCH(Edges[[#This Row],[Vertex 2]],GroupVertices[Vertex],0)),1,1,"")</f>
        <v>r. Soumen Roy</v>
      </c>
    </row>
    <row r="440" spans="1:18" ht="15">
      <c r="A440" s="64" t="s">
        <v>215</v>
      </c>
      <c r="B440" s="64" t="s">
        <v>2170</v>
      </c>
      <c r="C440" s="65" t="s">
        <v>4443</v>
      </c>
      <c r="D440" s="66">
        <v>3</v>
      </c>
      <c r="E440" s="67"/>
      <c r="F440" s="68">
        <v>40</v>
      </c>
      <c r="G440" s="65"/>
      <c r="H440" s="69"/>
      <c r="I440" s="70"/>
      <c r="J440" s="70"/>
      <c r="K440" s="34" t="s">
        <v>65</v>
      </c>
      <c r="L440" s="77">
        <v>440</v>
      </c>
      <c r="M440" s="77"/>
      <c r="N440" s="72"/>
      <c r="O440" s="79" t="s">
        <v>610</v>
      </c>
      <c r="P440" s="79">
        <v>1</v>
      </c>
      <c r="Q440" s="78" t="str">
        <f>REPLACE(INDEX(GroupVertices[Group],MATCH(Edges[[#This Row],[Vertex 1]],GroupVertices[Vertex],0)),1,1,"")</f>
        <v>edical Centric</v>
      </c>
      <c r="R440" s="78" t="str">
        <f>REPLACE(INDEX(GroupVertices[Group],MATCH(Edges[[#This Row],[Vertex 2]],GroupVertices[Vertex],0)),1,1,"")</f>
        <v>edCare Metropolis</v>
      </c>
    </row>
    <row r="441" spans="1:18" ht="15">
      <c r="A441" s="64" t="s">
        <v>215</v>
      </c>
      <c r="B441" s="64" t="s">
        <v>2171</v>
      </c>
      <c r="C441" s="65" t="s">
        <v>4443</v>
      </c>
      <c r="D441" s="66">
        <v>3</v>
      </c>
      <c r="E441" s="67"/>
      <c r="F441" s="68">
        <v>40</v>
      </c>
      <c r="G441" s="65"/>
      <c r="H441" s="69"/>
      <c r="I441" s="70"/>
      <c r="J441" s="70"/>
      <c r="K441" s="34" t="s">
        <v>65</v>
      </c>
      <c r="L441" s="77">
        <v>441</v>
      </c>
      <c r="M441" s="77"/>
      <c r="N441" s="72"/>
      <c r="O441" s="79" t="s">
        <v>610</v>
      </c>
      <c r="P441" s="79">
        <v>1</v>
      </c>
      <c r="Q441" s="78" t="str">
        <f>REPLACE(INDEX(GroupVertices[Group],MATCH(Edges[[#This Row],[Vertex 1]],GroupVertices[Vertex],0)),1,1,"")</f>
        <v>edical Centric</v>
      </c>
      <c r="R441" s="78" t="str">
        <f>REPLACE(INDEX(GroupVertices[Group],MATCH(Edges[[#This Row],[Vertex 2]],GroupVertices[Vertex],0)),1,1,"")</f>
        <v>d.Sabbir Islam Moon</v>
      </c>
    </row>
    <row r="442" spans="1:18" ht="15">
      <c r="A442" s="64" t="s">
        <v>215</v>
      </c>
      <c r="B442" s="64" t="s">
        <v>2172</v>
      </c>
      <c r="C442" s="65" t="s">
        <v>4443</v>
      </c>
      <c r="D442" s="66">
        <v>3</v>
      </c>
      <c r="E442" s="67"/>
      <c r="F442" s="68">
        <v>40</v>
      </c>
      <c r="G442" s="65"/>
      <c r="H442" s="69"/>
      <c r="I442" s="70"/>
      <c r="J442" s="70"/>
      <c r="K442" s="34" t="s">
        <v>65</v>
      </c>
      <c r="L442" s="77">
        <v>442</v>
      </c>
      <c r="M442" s="77"/>
      <c r="N442" s="72"/>
      <c r="O442" s="79" t="s">
        <v>610</v>
      </c>
      <c r="P442" s="79">
        <v>1</v>
      </c>
      <c r="Q442" s="78" t="str">
        <f>REPLACE(INDEX(GroupVertices[Group],MATCH(Edges[[#This Row],[Vertex 1]],GroupVertices[Vertex],0)),1,1,"")</f>
        <v>edical Centric</v>
      </c>
      <c r="R442" s="78" t="str">
        <f>REPLACE(INDEX(GroupVertices[Group],MATCH(Edges[[#This Row],[Vertex 2]],GroupVertices[Vertex],0)),1,1,"")</f>
        <v>ingdomPrincess</v>
      </c>
    </row>
    <row r="443" spans="1:18" ht="15">
      <c r="A443" s="64" t="s">
        <v>215</v>
      </c>
      <c r="B443" s="64" t="s">
        <v>2173</v>
      </c>
      <c r="C443" s="65" t="s">
        <v>4443</v>
      </c>
      <c r="D443" s="66">
        <v>3</v>
      </c>
      <c r="E443" s="67"/>
      <c r="F443" s="68">
        <v>40</v>
      </c>
      <c r="G443" s="65"/>
      <c r="H443" s="69"/>
      <c r="I443" s="70"/>
      <c r="J443" s="70"/>
      <c r="K443" s="34" t="s">
        <v>65</v>
      </c>
      <c r="L443" s="77">
        <v>443</v>
      </c>
      <c r="M443" s="77"/>
      <c r="N443" s="72"/>
      <c r="O443" s="79" t="s">
        <v>610</v>
      </c>
      <c r="P443" s="79">
        <v>1</v>
      </c>
      <c r="Q443" s="78" t="str">
        <f>REPLACE(INDEX(GroupVertices[Group],MATCH(Edges[[#This Row],[Vertex 1]],GroupVertices[Vertex],0)),1,1,"")</f>
        <v>edical Centric</v>
      </c>
      <c r="R443" s="78" t="str">
        <f>REPLACE(INDEX(GroupVertices[Group],MATCH(Edges[[#This Row],[Vertex 2]],GroupVertices[Vertex],0)),1,1,"")</f>
        <v>odium Physio</v>
      </c>
    </row>
    <row r="444" spans="1:18" ht="15">
      <c r="A444" s="64" t="s">
        <v>215</v>
      </c>
      <c r="B444" s="64" t="s">
        <v>2174</v>
      </c>
      <c r="C444" s="65" t="s">
        <v>4443</v>
      </c>
      <c r="D444" s="66">
        <v>3</v>
      </c>
      <c r="E444" s="67"/>
      <c r="F444" s="68">
        <v>40</v>
      </c>
      <c r="G444" s="65"/>
      <c r="H444" s="69"/>
      <c r="I444" s="70"/>
      <c r="J444" s="70"/>
      <c r="K444" s="34" t="s">
        <v>65</v>
      </c>
      <c r="L444" s="77">
        <v>444</v>
      </c>
      <c r="M444" s="77"/>
      <c r="N444" s="72"/>
      <c r="O444" s="79" t="s">
        <v>610</v>
      </c>
      <c r="P444" s="79">
        <v>1</v>
      </c>
      <c r="Q444" s="78" t="str">
        <f>REPLACE(INDEX(GroupVertices[Group],MATCH(Edges[[#This Row],[Vertex 1]],GroupVertices[Vertex],0)),1,1,"")</f>
        <v>edical Centric</v>
      </c>
      <c r="R444" s="78" t="str">
        <f>REPLACE(INDEX(GroupVertices[Group],MATCH(Edges[[#This Row],[Vertex 2]],GroupVertices[Vertex],0)),1,1,"")</f>
        <v>otomac Dental Centre</v>
      </c>
    </row>
    <row r="445" spans="1:18" ht="15">
      <c r="A445" s="64" t="s">
        <v>215</v>
      </c>
      <c r="B445" s="64" t="s">
        <v>2175</v>
      </c>
      <c r="C445" s="65" t="s">
        <v>4443</v>
      </c>
      <c r="D445" s="66">
        <v>3</v>
      </c>
      <c r="E445" s="67"/>
      <c r="F445" s="68">
        <v>40</v>
      </c>
      <c r="G445" s="65"/>
      <c r="H445" s="69"/>
      <c r="I445" s="70"/>
      <c r="J445" s="70"/>
      <c r="K445" s="34" t="s">
        <v>65</v>
      </c>
      <c r="L445" s="77">
        <v>445</v>
      </c>
      <c r="M445" s="77"/>
      <c r="N445" s="72"/>
      <c r="O445" s="79" t="s">
        <v>610</v>
      </c>
      <c r="P445" s="79">
        <v>1</v>
      </c>
      <c r="Q445" s="78" t="str">
        <f>REPLACE(INDEX(GroupVertices[Group],MATCH(Edges[[#This Row],[Vertex 1]],GroupVertices[Vertex],0)),1,1,"")</f>
        <v>edical Centric</v>
      </c>
      <c r="R445" s="78" t="str">
        <f>REPLACE(INDEX(GroupVertices[Group],MATCH(Edges[[#This Row],[Vertex 2]],GroupVertices[Vertex],0)),1,1,"")</f>
        <v>etours:  Understanding Acquired Brain Injury</v>
      </c>
    </row>
    <row r="446" spans="1:18" ht="15">
      <c r="A446" s="64" t="s">
        <v>215</v>
      </c>
      <c r="B446" s="64" t="s">
        <v>2176</v>
      </c>
      <c r="C446" s="65" t="s">
        <v>4443</v>
      </c>
      <c r="D446" s="66">
        <v>3</v>
      </c>
      <c r="E446" s="67"/>
      <c r="F446" s="68">
        <v>40</v>
      </c>
      <c r="G446" s="65"/>
      <c r="H446" s="69"/>
      <c r="I446" s="70"/>
      <c r="J446" s="70"/>
      <c r="K446" s="34" t="s">
        <v>65</v>
      </c>
      <c r="L446" s="77">
        <v>446</v>
      </c>
      <c r="M446" s="77"/>
      <c r="N446" s="72"/>
      <c r="O446" s="79" t="s">
        <v>610</v>
      </c>
      <c r="P446" s="79">
        <v>1</v>
      </c>
      <c r="Q446" s="78" t="str">
        <f>REPLACE(INDEX(GroupVertices[Group],MATCH(Edges[[#This Row],[Vertex 1]],GroupVertices[Vertex],0)),1,1,"")</f>
        <v>edical Centric</v>
      </c>
      <c r="R446" s="78" t="str">
        <f>REPLACE(INDEX(GroupVertices[Group],MATCH(Edges[[#This Row],[Vertex 2]],GroupVertices[Vertex],0)),1,1,"")</f>
        <v>pplied Radiology</v>
      </c>
    </row>
    <row r="447" spans="1:18" ht="15">
      <c r="A447" s="64" t="s">
        <v>215</v>
      </c>
      <c r="B447" s="64" t="s">
        <v>2177</v>
      </c>
      <c r="C447" s="65" t="s">
        <v>4443</v>
      </c>
      <c r="D447" s="66">
        <v>3</v>
      </c>
      <c r="E447" s="67"/>
      <c r="F447" s="68">
        <v>40</v>
      </c>
      <c r="G447" s="65"/>
      <c r="H447" s="69"/>
      <c r="I447" s="70"/>
      <c r="J447" s="70"/>
      <c r="K447" s="34" t="s">
        <v>65</v>
      </c>
      <c r="L447" s="77">
        <v>447</v>
      </c>
      <c r="M447" s="77"/>
      <c r="N447" s="72"/>
      <c r="O447" s="79" t="s">
        <v>610</v>
      </c>
      <c r="P447" s="79">
        <v>1</v>
      </c>
      <c r="Q447" s="78" t="str">
        <f>REPLACE(INDEX(GroupVertices[Group],MATCH(Edges[[#This Row],[Vertex 1]],GroupVertices[Vertex],0)),1,1,"")</f>
        <v>edical Centric</v>
      </c>
      <c r="R447" s="78" t="str">
        <f>REPLACE(INDEX(GroupVertices[Group],MATCH(Edges[[#This Row],[Vertex 2]],GroupVertices[Vertex],0)),1,1,"")</f>
        <v>rkin Canada</v>
      </c>
    </row>
    <row r="448" spans="1:18" ht="15">
      <c r="A448" s="64" t="s">
        <v>215</v>
      </c>
      <c r="B448" s="64" t="s">
        <v>201</v>
      </c>
      <c r="C448" s="65" t="s">
        <v>4443</v>
      </c>
      <c r="D448" s="66">
        <v>3</v>
      </c>
      <c r="E448" s="67"/>
      <c r="F448" s="68">
        <v>40</v>
      </c>
      <c r="G448" s="65"/>
      <c r="H448" s="69"/>
      <c r="I448" s="70"/>
      <c r="J448" s="70"/>
      <c r="K448" s="34" t="s">
        <v>65</v>
      </c>
      <c r="L448" s="77">
        <v>448</v>
      </c>
      <c r="M448" s="77"/>
      <c r="N448" s="72"/>
      <c r="O448" s="79" t="s">
        <v>610</v>
      </c>
      <c r="P448" s="79">
        <v>1</v>
      </c>
      <c r="Q448" s="78" t="str">
        <f>REPLACE(INDEX(GroupVertices[Group],MATCH(Edges[[#This Row],[Vertex 1]],GroupVertices[Vertex],0)),1,1,"")</f>
        <v>edical Centric</v>
      </c>
      <c r="R448" s="78" t="str">
        <f>REPLACE(INDEX(GroupVertices[Group],MATCH(Edges[[#This Row],[Vertex 2]],GroupVertices[Vertex],0)),1,1,"")</f>
        <v>BeautifulMindClinic</v>
      </c>
    </row>
    <row r="449" spans="1:18" ht="15">
      <c r="A449" s="64" t="s">
        <v>215</v>
      </c>
      <c r="B449" s="64" t="s">
        <v>2178</v>
      </c>
      <c r="C449" s="65" t="s">
        <v>4443</v>
      </c>
      <c r="D449" s="66">
        <v>3</v>
      </c>
      <c r="E449" s="67"/>
      <c r="F449" s="68">
        <v>40</v>
      </c>
      <c r="G449" s="65"/>
      <c r="H449" s="69"/>
      <c r="I449" s="70"/>
      <c r="J449" s="70"/>
      <c r="K449" s="34" t="s">
        <v>65</v>
      </c>
      <c r="L449" s="77">
        <v>449</v>
      </c>
      <c r="M449" s="77"/>
      <c r="N449" s="72"/>
      <c r="O449" s="79" t="s">
        <v>610</v>
      </c>
      <c r="P449" s="79">
        <v>1</v>
      </c>
      <c r="Q449" s="78" t="str">
        <f>REPLACE(INDEX(GroupVertices[Group],MATCH(Edges[[#This Row],[Vertex 1]],GroupVertices[Vertex],0)),1,1,"")</f>
        <v>edical Centric</v>
      </c>
      <c r="R449" s="78" t="str">
        <f>REPLACE(INDEX(GroupVertices[Group],MATCH(Edges[[#This Row],[Vertex 2]],GroupVertices[Vertex],0)),1,1,"")</f>
        <v>edical Centric</v>
      </c>
    </row>
    <row r="450" spans="1:18" ht="15">
      <c r="A450" s="64" t="s">
        <v>215</v>
      </c>
      <c r="B450" s="64" t="s">
        <v>2179</v>
      </c>
      <c r="C450" s="65" t="s">
        <v>4443</v>
      </c>
      <c r="D450" s="66">
        <v>3</v>
      </c>
      <c r="E450" s="67"/>
      <c r="F450" s="68">
        <v>40</v>
      </c>
      <c r="G450" s="65"/>
      <c r="H450" s="69"/>
      <c r="I450" s="70"/>
      <c r="J450" s="70"/>
      <c r="K450" s="34" t="s">
        <v>65</v>
      </c>
      <c r="L450" s="77">
        <v>450</v>
      </c>
      <c r="M450" s="77"/>
      <c r="N450" s="72"/>
      <c r="O450" s="79" t="s">
        <v>610</v>
      </c>
      <c r="P450" s="79">
        <v>1</v>
      </c>
      <c r="Q450" s="78" t="str">
        <f>REPLACE(INDEX(GroupVertices[Group],MATCH(Edges[[#This Row],[Vertex 1]],GroupVertices[Vertex],0)),1,1,"")</f>
        <v>edical Centric</v>
      </c>
      <c r="R450" s="78" t="str">
        <f>REPLACE(INDEX(GroupVertices[Group],MATCH(Edges[[#This Row],[Vertex 2]],GroupVertices[Vertex],0)),1,1,"")</f>
        <v>anny Shouhed, MD</v>
      </c>
    </row>
    <row r="451" spans="1:18" ht="15">
      <c r="A451" s="64" t="s">
        <v>215</v>
      </c>
      <c r="B451" s="64" t="s">
        <v>2180</v>
      </c>
      <c r="C451" s="65" t="s">
        <v>4443</v>
      </c>
      <c r="D451" s="66">
        <v>3</v>
      </c>
      <c r="E451" s="67"/>
      <c r="F451" s="68">
        <v>40</v>
      </c>
      <c r="G451" s="65"/>
      <c r="H451" s="69"/>
      <c r="I451" s="70"/>
      <c r="J451" s="70"/>
      <c r="K451" s="34" t="s">
        <v>65</v>
      </c>
      <c r="L451" s="77">
        <v>451</v>
      </c>
      <c r="M451" s="77"/>
      <c r="N451" s="72"/>
      <c r="O451" s="79" t="s">
        <v>610</v>
      </c>
      <c r="P451" s="79">
        <v>1</v>
      </c>
      <c r="Q451" s="78" t="str">
        <f>REPLACE(INDEX(GroupVertices[Group],MATCH(Edges[[#This Row],[Vertex 1]],GroupVertices[Vertex],0)),1,1,"")</f>
        <v>edical Centric</v>
      </c>
      <c r="R451" s="78" t="str">
        <f>REPLACE(INDEX(GroupVertices[Group],MATCH(Edges[[#This Row],[Vertex 2]],GroupVertices[Vertex],0)),1,1,"")</f>
        <v>edical Centric</v>
      </c>
    </row>
    <row r="452" spans="1:18" ht="15">
      <c r="A452" s="64" t="s">
        <v>215</v>
      </c>
      <c r="B452" s="64" t="s">
        <v>2181</v>
      </c>
      <c r="C452" s="65" t="s">
        <v>4443</v>
      </c>
      <c r="D452" s="66">
        <v>3</v>
      </c>
      <c r="E452" s="67"/>
      <c r="F452" s="68">
        <v>40</v>
      </c>
      <c r="G452" s="65"/>
      <c r="H452" s="69"/>
      <c r="I452" s="70"/>
      <c r="J452" s="70"/>
      <c r="K452" s="34" t="s">
        <v>65</v>
      </c>
      <c r="L452" s="77">
        <v>452</v>
      </c>
      <c r="M452" s="77"/>
      <c r="N452" s="72"/>
      <c r="O452" s="79" t="s">
        <v>610</v>
      </c>
      <c r="P452" s="79">
        <v>1</v>
      </c>
      <c r="Q452" s="78" t="str">
        <f>REPLACE(INDEX(GroupVertices[Group],MATCH(Edges[[#This Row],[Vertex 1]],GroupVertices[Vertex],0)),1,1,"")</f>
        <v>edical Centric</v>
      </c>
      <c r="R452" s="78" t="str">
        <f>REPLACE(INDEX(GroupVertices[Group],MATCH(Edges[[#This Row],[Vertex 2]],GroupVertices[Vertex],0)),1,1,"")</f>
        <v>edical Centric</v>
      </c>
    </row>
    <row r="453" spans="1:18" ht="15">
      <c r="A453" s="64" t="s">
        <v>215</v>
      </c>
      <c r="B453" s="64" t="s">
        <v>2182</v>
      </c>
      <c r="C453" s="65" t="s">
        <v>4443</v>
      </c>
      <c r="D453" s="66">
        <v>3</v>
      </c>
      <c r="E453" s="67"/>
      <c r="F453" s="68">
        <v>40</v>
      </c>
      <c r="G453" s="65"/>
      <c r="H453" s="69"/>
      <c r="I453" s="70"/>
      <c r="J453" s="70"/>
      <c r="K453" s="34" t="s">
        <v>65</v>
      </c>
      <c r="L453" s="77">
        <v>453</v>
      </c>
      <c r="M453" s="77"/>
      <c r="N453" s="72"/>
      <c r="O453" s="79" t="s">
        <v>610</v>
      </c>
      <c r="P453" s="79">
        <v>1</v>
      </c>
      <c r="Q453" s="78" t="str">
        <f>REPLACE(INDEX(GroupVertices[Group],MATCH(Edges[[#This Row],[Vertex 1]],GroupVertices[Vertex],0)),1,1,"")</f>
        <v>edical Centric</v>
      </c>
      <c r="R453" s="78" t="str">
        <f>REPLACE(INDEX(GroupVertices[Group],MATCH(Edges[[#This Row],[Vertex 2]],GroupVertices[Vertex],0)),1,1,"")</f>
        <v>ational Institute of Mental Health (NIMH)</v>
      </c>
    </row>
    <row r="454" spans="1:18" ht="15">
      <c r="A454" s="64" t="s">
        <v>215</v>
      </c>
      <c r="B454" s="64" t="s">
        <v>2183</v>
      </c>
      <c r="C454" s="65" t="s">
        <v>4443</v>
      </c>
      <c r="D454" s="66">
        <v>3</v>
      </c>
      <c r="E454" s="67"/>
      <c r="F454" s="68">
        <v>40</v>
      </c>
      <c r="G454" s="65"/>
      <c r="H454" s="69"/>
      <c r="I454" s="70"/>
      <c r="J454" s="70"/>
      <c r="K454" s="34" t="s">
        <v>65</v>
      </c>
      <c r="L454" s="77">
        <v>454</v>
      </c>
      <c r="M454" s="77"/>
      <c r="N454" s="72"/>
      <c r="O454" s="79" t="s">
        <v>610</v>
      </c>
      <c r="P454" s="79">
        <v>1</v>
      </c>
      <c r="Q454" s="78" t="str">
        <f>REPLACE(INDEX(GroupVertices[Group],MATCH(Edges[[#This Row],[Vertex 1]],GroupVertices[Vertex],0)),1,1,"")</f>
        <v>edical Centric</v>
      </c>
      <c r="R454" s="78" t="str">
        <f>REPLACE(INDEX(GroupVertices[Group],MATCH(Edges[[#This Row],[Vertex 2]],GroupVertices[Vertex],0)),1,1,"")</f>
        <v>edical Centric</v>
      </c>
    </row>
    <row r="455" spans="1:18" ht="15">
      <c r="A455" s="64" t="s">
        <v>215</v>
      </c>
      <c r="B455" s="64" t="s">
        <v>2184</v>
      </c>
      <c r="C455" s="65" t="s">
        <v>4443</v>
      </c>
      <c r="D455" s="66">
        <v>3</v>
      </c>
      <c r="E455" s="67"/>
      <c r="F455" s="68">
        <v>40</v>
      </c>
      <c r="G455" s="65"/>
      <c r="H455" s="69"/>
      <c r="I455" s="70"/>
      <c r="J455" s="70"/>
      <c r="K455" s="34" t="s">
        <v>65</v>
      </c>
      <c r="L455" s="77">
        <v>455</v>
      </c>
      <c r="M455" s="77"/>
      <c r="N455" s="72"/>
      <c r="O455" s="79" t="s">
        <v>610</v>
      </c>
      <c r="P455" s="79">
        <v>1</v>
      </c>
      <c r="Q455" s="78" t="str">
        <f>REPLACE(INDEX(GroupVertices[Group],MATCH(Edges[[#This Row],[Vertex 1]],GroupVertices[Vertex],0)),1,1,"")</f>
        <v>edical Centric</v>
      </c>
      <c r="R455" s="78" t="str">
        <f>REPLACE(INDEX(GroupVertices[Group],MATCH(Edges[[#This Row],[Vertex 2]],GroupVertices[Vertex],0)),1,1,"")</f>
        <v>edical Centric</v>
      </c>
    </row>
    <row r="456" spans="1:18" ht="15">
      <c r="A456" s="64" t="s">
        <v>215</v>
      </c>
      <c r="B456" s="64" t="s">
        <v>2185</v>
      </c>
      <c r="C456" s="65" t="s">
        <v>4443</v>
      </c>
      <c r="D456" s="66">
        <v>3</v>
      </c>
      <c r="E456" s="67"/>
      <c r="F456" s="68">
        <v>40</v>
      </c>
      <c r="G456" s="65"/>
      <c r="H456" s="69"/>
      <c r="I456" s="70"/>
      <c r="J456" s="70"/>
      <c r="K456" s="34" t="s">
        <v>65</v>
      </c>
      <c r="L456" s="77">
        <v>456</v>
      </c>
      <c r="M456" s="77"/>
      <c r="N456" s="72"/>
      <c r="O456" s="79" t="s">
        <v>610</v>
      </c>
      <c r="P456" s="79">
        <v>1</v>
      </c>
      <c r="Q456" s="78" t="str">
        <f>REPLACE(INDEX(GroupVertices[Group],MATCH(Edges[[#This Row],[Vertex 1]],GroupVertices[Vertex],0)),1,1,"")</f>
        <v>edical Centric</v>
      </c>
      <c r="R456" s="78" t="str">
        <f>REPLACE(INDEX(GroupVertices[Group],MATCH(Edges[[#This Row],[Vertex 2]],GroupVertices[Vertex],0)),1,1,"")</f>
        <v>edical Centric</v>
      </c>
    </row>
    <row r="457" spans="1:18" ht="15">
      <c r="A457" s="64" t="s">
        <v>215</v>
      </c>
      <c r="B457" s="64" t="s">
        <v>2186</v>
      </c>
      <c r="C457" s="65" t="s">
        <v>4443</v>
      </c>
      <c r="D457" s="66">
        <v>3</v>
      </c>
      <c r="E457" s="67"/>
      <c r="F457" s="68">
        <v>40</v>
      </c>
      <c r="G457" s="65"/>
      <c r="H457" s="69"/>
      <c r="I457" s="70"/>
      <c r="J457" s="70"/>
      <c r="K457" s="34" t="s">
        <v>65</v>
      </c>
      <c r="L457" s="77">
        <v>457</v>
      </c>
      <c r="M457" s="77"/>
      <c r="N457" s="72"/>
      <c r="O457" s="79" t="s">
        <v>610</v>
      </c>
      <c r="P457" s="79">
        <v>1</v>
      </c>
      <c r="Q457" s="78" t="str">
        <f>REPLACE(INDEX(GroupVertices[Group],MATCH(Edges[[#This Row],[Vertex 1]],GroupVertices[Vertex],0)),1,1,"")</f>
        <v>edical Centric</v>
      </c>
      <c r="R457" s="78" t="str">
        <f>REPLACE(INDEX(GroupVertices[Group],MATCH(Edges[[#This Row],[Vertex 2]],GroupVertices[Vertex],0)),1,1,"")</f>
        <v>edical Centric</v>
      </c>
    </row>
    <row r="458" spans="1:18" ht="15">
      <c r="A458" s="64" t="s">
        <v>215</v>
      </c>
      <c r="B458" s="64" t="s">
        <v>2187</v>
      </c>
      <c r="C458" s="65" t="s">
        <v>4443</v>
      </c>
      <c r="D458" s="66">
        <v>3</v>
      </c>
      <c r="E458" s="67"/>
      <c r="F458" s="68">
        <v>40</v>
      </c>
      <c r="G458" s="65"/>
      <c r="H458" s="69"/>
      <c r="I458" s="70"/>
      <c r="J458" s="70"/>
      <c r="K458" s="34" t="s">
        <v>65</v>
      </c>
      <c r="L458" s="77">
        <v>458</v>
      </c>
      <c r="M458" s="77"/>
      <c r="N458" s="72"/>
      <c r="O458" s="79" t="s">
        <v>610</v>
      </c>
      <c r="P458" s="79">
        <v>1</v>
      </c>
      <c r="Q458" s="78" t="str">
        <f>REPLACE(INDEX(GroupVertices[Group],MATCH(Edges[[#This Row],[Vertex 1]],GroupVertices[Vertex],0)),1,1,"")</f>
        <v>edical Centric</v>
      </c>
      <c r="R458" s="78" t="str">
        <f>REPLACE(INDEX(GroupVertices[Group],MATCH(Edges[[#This Row],[Vertex 2]],GroupVertices[Vertex],0)),1,1,"")</f>
        <v>edical Centric</v>
      </c>
    </row>
    <row r="459" spans="1:18" ht="15">
      <c r="A459" s="64" t="s">
        <v>215</v>
      </c>
      <c r="B459" s="64" t="s">
        <v>2188</v>
      </c>
      <c r="C459" s="65" t="s">
        <v>4443</v>
      </c>
      <c r="D459" s="66">
        <v>3</v>
      </c>
      <c r="E459" s="67"/>
      <c r="F459" s="68">
        <v>40</v>
      </c>
      <c r="G459" s="65"/>
      <c r="H459" s="69"/>
      <c r="I459" s="70"/>
      <c r="J459" s="70"/>
      <c r="K459" s="34" t="s">
        <v>65</v>
      </c>
      <c r="L459" s="77">
        <v>459</v>
      </c>
      <c r="M459" s="77"/>
      <c r="N459" s="72"/>
      <c r="O459" s="79" t="s">
        <v>610</v>
      </c>
      <c r="P459" s="79">
        <v>1</v>
      </c>
      <c r="Q459" s="78" t="str">
        <f>REPLACE(INDEX(GroupVertices[Group],MATCH(Edges[[#This Row],[Vertex 1]],GroupVertices[Vertex],0)),1,1,"")</f>
        <v>edical Centric</v>
      </c>
      <c r="R459" s="78" t="str">
        <f>REPLACE(INDEX(GroupVertices[Group],MATCH(Edges[[#This Row],[Vertex 2]],GroupVertices[Vertex],0)),1,1,"")</f>
        <v>edical Centric</v>
      </c>
    </row>
    <row r="460" spans="1:18" ht="15">
      <c r="A460" s="64" t="s">
        <v>215</v>
      </c>
      <c r="B460" s="64" t="s">
        <v>2189</v>
      </c>
      <c r="C460" s="65" t="s">
        <v>4443</v>
      </c>
      <c r="D460" s="66">
        <v>3</v>
      </c>
      <c r="E460" s="67"/>
      <c r="F460" s="68">
        <v>40</v>
      </c>
      <c r="G460" s="65"/>
      <c r="H460" s="69"/>
      <c r="I460" s="70"/>
      <c r="J460" s="70"/>
      <c r="K460" s="34" t="s">
        <v>65</v>
      </c>
      <c r="L460" s="77">
        <v>460</v>
      </c>
      <c r="M460" s="77"/>
      <c r="N460" s="72"/>
      <c r="O460" s="79" t="s">
        <v>610</v>
      </c>
      <c r="P460" s="79">
        <v>1</v>
      </c>
      <c r="Q460" s="78" t="str">
        <f>REPLACE(INDEX(GroupVertices[Group],MATCH(Edges[[#This Row],[Vertex 1]],GroupVertices[Vertex],0)),1,1,"")</f>
        <v>edical Centric</v>
      </c>
      <c r="R460" s="78" t="str">
        <f>REPLACE(INDEX(GroupVertices[Group],MATCH(Edges[[#This Row],[Vertex 2]],GroupVertices[Vertex],0)),1,1,"")</f>
        <v>edical Centric</v>
      </c>
    </row>
    <row r="461" spans="1:18" ht="15">
      <c r="A461" s="64" t="s">
        <v>215</v>
      </c>
      <c r="B461" s="64" t="s">
        <v>389</v>
      </c>
      <c r="C461" s="65" t="s">
        <v>4443</v>
      </c>
      <c r="D461" s="66">
        <v>3</v>
      </c>
      <c r="E461" s="67"/>
      <c r="F461" s="68">
        <v>40</v>
      </c>
      <c r="G461" s="65"/>
      <c r="H461" s="69"/>
      <c r="I461" s="70"/>
      <c r="J461" s="70"/>
      <c r="K461" s="34" t="s">
        <v>65</v>
      </c>
      <c r="L461" s="77">
        <v>461</v>
      </c>
      <c r="M461" s="77"/>
      <c r="N461" s="72"/>
      <c r="O461" s="79" t="s">
        <v>610</v>
      </c>
      <c r="P461" s="79">
        <v>1</v>
      </c>
      <c r="Q461" s="78" t="str">
        <f>REPLACE(INDEX(GroupVertices[Group],MATCH(Edges[[#This Row],[Vertex 1]],GroupVertices[Vertex],0)),1,1,"")</f>
        <v>edical Centric</v>
      </c>
      <c r="R461" s="78" t="str">
        <f>REPLACE(INDEX(GroupVertices[Group],MATCH(Edges[[#This Row],[Vertex 2]],GroupVertices[Vertex],0)),1,1,"")</f>
        <v>edical Centric</v>
      </c>
    </row>
    <row r="462" spans="1:18" ht="15">
      <c r="A462" s="64" t="s">
        <v>215</v>
      </c>
      <c r="B462" s="64" t="s">
        <v>391</v>
      </c>
      <c r="C462" s="65" t="s">
        <v>4443</v>
      </c>
      <c r="D462" s="66">
        <v>3</v>
      </c>
      <c r="E462" s="67"/>
      <c r="F462" s="68">
        <v>40</v>
      </c>
      <c r="G462" s="65"/>
      <c r="H462" s="69"/>
      <c r="I462" s="70"/>
      <c r="J462" s="70"/>
      <c r="K462" s="34" t="s">
        <v>65</v>
      </c>
      <c r="L462" s="77">
        <v>462</v>
      </c>
      <c r="M462" s="77"/>
      <c r="N462" s="72"/>
      <c r="O462" s="79" t="s">
        <v>610</v>
      </c>
      <c r="P462" s="79">
        <v>1</v>
      </c>
      <c r="Q462" s="78" t="str">
        <f>REPLACE(INDEX(GroupVertices[Group],MATCH(Edges[[#This Row],[Vertex 1]],GroupVertices[Vertex],0)),1,1,"")</f>
        <v>edical Centric</v>
      </c>
      <c r="R462" s="78" t="str">
        <f>REPLACE(INDEX(GroupVertices[Group],MATCH(Edges[[#This Row],[Vertex 2]],GroupVertices[Vertex],0)),1,1,"")</f>
        <v>edical Centric</v>
      </c>
    </row>
    <row r="463" spans="1:18" ht="15">
      <c r="A463" s="64" t="s">
        <v>215</v>
      </c>
      <c r="B463" s="64" t="s">
        <v>390</v>
      </c>
      <c r="C463" s="65" t="s">
        <v>4443</v>
      </c>
      <c r="D463" s="66">
        <v>3</v>
      </c>
      <c r="E463" s="67"/>
      <c r="F463" s="68">
        <v>40</v>
      </c>
      <c r="G463" s="65"/>
      <c r="H463" s="69"/>
      <c r="I463" s="70"/>
      <c r="J463" s="70"/>
      <c r="K463" s="34" t="s">
        <v>65</v>
      </c>
      <c r="L463" s="77">
        <v>463</v>
      </c>
      <c r="M463" s="77"/>
      <c r="N463" s="72"/>
      <c r="O463" s="79" t="s">
        <v>610</v>
      </c>
      <c r="P463" s="79">
        <v>1</v>
      </c>
      <c r="Q463" s="78" t="str">
        <f>REPLACE(INDEX(GroupVertices[Group],MATCH(Edges[[#This Row],[Vertex 1]],GroupVertices[Vertex],0)),1,1,"")</f>
        <v>edical Centric</v>
      </c>
      <c r="R463" s="78" t="str">
        <f>REPLACE(INDEX(GroupVertices[Group],MATCH(Edges[[#This Row],[Vertex 2]],GroupVertices[Vertex],0)),1,1,"")</f>
        <v>edical Centric</v>
      </c>
    </row>
    <row r="464" spans="1:18" ht="15">
      <c r="A464" s="64" t="s">
        <v>215</v>
      </c>
      <c r="B464" s="64" t="s">
        <v>2190</v>
      </c>
      <c r="C464" s="65" t="s">
        <v>4443</v>
      </c>
      <c r="D464" s="66">
        <v>3</v>
      </c>
      <c r="E464" s="67"/>
      <c r="F464" s="68">
        <v>40</v>
      </c>
      <c r="G464" s="65"/>
      <c r="H464" s="69"/>
      <c r="I464" s="70"/>
      <c r="J464" s="70"/>
      <c r="K464" s="34" t="s">
        <v>65</v>
      </c>
      <c r="L464" s="77">
        <v>464</v>
      </c>
      <c r="M464" s="77"/>
      <c r="N464" s="72"/>
      <c r="O464" s="79" t="s">
        <v>610</v>
      </c>
      <c r="P464" s="79">
        <v>1</v>
      </c>
      <c r="Q464" s="78" t="str">
        <f>REPLACE(INDEX(GroupVertices[Group],MATCH(Edges[[#This Row],[Vertex 1]],GroupVertices[Vertex],0)),1,1,"")</f>
        <v>edical Centric</v>
      </c>
      <c r="R464" s="78" t="str">
        <f>REPLACE(INDEX(GroupVertices[Group],MATCH(Edges[[#This Row],[Vertex 2]],GroupVertices[Vertex],0)),1,1,"")</f>
        <v>edical Centric</v>
      </c>
    </row>
    <row r="465" spans="1:18" ht="15">
      <c r="A465" s="64" t="s">
        <v>215</v>
      </c>
      <c r="B465" s="64" t="s">
        <v>2191</v>
      </c>
      <c r="C465" s="65" t="s">
        <v>4443</v>
      </c>
      <c r="D465" s="66">
        <v>3</v>
      </c>
      <c r="E465" s="67"/>
      <c r="F465" s="68">
        <v>40</v>
      </c>
      <c r="G465" s="65"/>
      <c r="H465" s="69"/>
      <c r="I465" s="70"/>
      <c r="J465" s="70"/>
      <c r="K465" s="34" t="s">
        <v>65</v>
      </c>
      <c r="L465" s="77">
        <v>465</v>
      </c>
      <c r="M465" s="77"/>
      <c r="N465" s="72"/>
      <c r="O465" s="79" t="s">
        <v>610</v>
      </c>
      <c r="P465" s="79">
        <v>1</v>
      </c>
      <c r="Q465" s="78" t="str">
        <f>REPLACE(INDEX(GroupVertices[Group],MATCH(Edges[[#This Row],[Vertex 1]],GroupVertices[Vertex],0)),1,1,"")</f>
        <v>edical Centric</v>
      </c>
      <c r="R465" s="78" t="str">
        <f>REPLACE(INDEX(GroupVertices[Group],MATCH(Edges[[#This Row],[Vertex 2]],GroupVertices[Vertex],0)),1,1,"")</f>
        <v>edical Centric</v>
      </c>
    </row>
    <row r="466" spans="1:18" ht="15">
      <c r="A466" s="64" t="s">
        <v>215</v>
      </c>
      <c r="B466" s="64" t="s">
        <v>2192</v>
      </c>
      <c r="C466" s="65" t="s">
        <v>4443</v>
      </c>
      <c r="D466" s="66">
        <v>3</v>
      </c>
      <c r="E466" s="67"/>
      <c r="F466" s="68">
        <v>40</v>
      </c>
      <c r="G466" s="65"/>
      <c r="H466" s="69"/>
      <c r="I466" s="70"/>
      <c r="J466" s="70"/>
      <c r="K466" s="34" t="s">
        <v>65</v>
      </c>
      <c r="L466" s="77">
        <v>466</v>
      </c>
      <c r="M466" s="77"/>
      <c r="N466" s="72"/>
      <c r="O466" s="79" t="s">
        <v>610</v>
      </c>
      <c r="P466" s="79">
        <v>1</v>
      </c>
      <c r="Q466" s="78" t="str">
        <f>REPLACE(INDEX(GroupVertices[Group],MATCH(Edges[[#This Row],[Vertex 1]],GroupVertices[Vertex],0)),1,1,"")</f>
        <v>edical Centric</v>
      </c>
      <c r="R466" s="78" t="str">
        <f>REPLACE(INDEX(GroupVertices[Group],MATCH(Edges[[#This Row],[Vertex 2]],GroupVertices[Vertex],0)),1,1,"")</f>
        <v>edical Centric</v>
      </c>
    </row>
    <row r="467" spans="1:18" ht="15">
      <c r="A467" s="64" t="s">
        <v>215</v>
      </c>
      <c r="B467" s="64" t="s">
        <v>288</v>
      </c>
      <c r="C467" s="65" t="s">
        <v>4443</v>
      </c>
      <c r="D467" s="66">
        <v>3</v>
      </c>
      <c r="E467" s="67"/>
      <c r="F467" s="68">
        <v>40</v>
      </c>
      <c r="G467" s="65"/>
      <c r="H467" s="69"/>
      <c r="I467" s="70"/>
      <c r="J467" s="70"/>
      <c r="K467" s="34" t="s">
        <v>65</v>
      </c>
      <c r="L467" s="77">
        <v>467</v>
      </c>
      <c r="M467" s="77"/>
      <c r="N467" s="72"/>
      <c r="O467" s="79" t="s">
        <v>610</v>
      </c>
      <c r="P467" s="79">
        <v>1</v>
      </c>
      <c r="Q467" s="78" t="str">
        <f>REPLACE(INDEX(GroupVertices[Group],MATCH(Edges[[#This Row],[Vertex 1]],GroupVertices[Vertex],0)),1,1,"")</f>
        <v>edical Centric</v>
      </c>
      <c r="R467" s="78" t="str">
        <f>REPLACE(INDEX(GroupVertices[Group],MATCH(Edges[[#This Row],[Vertex 2]],GroupVertices[Vertex],0)),1,1,"")</f>
        <v>r. Tracey Marks</v>
      </c>
    </row>
    <row r="468" spans="1:18" ht="15">
      <c r="A468" s="64" t="s">
        <v>215</v>
      </c>
      <c r="B468" s="64" t="s">
        <v>2193</v>
      </c>
      <c r="C468" s="65" t="s">
        <v>4443</v>
      </c>
      <c r="D468" s="66">
        <v>3</v>
      </c>
      <c r="E468" s="67"/>
      <c r="F468" s="68">
        <v>40</v>
      </c>
      <c r="G468" s="65"/>
      <c r="H468" s="69"/>
      <c r="I468" s="70"/>
      <c r="J468" s="70"/>
      <c r="K468" s="34" t="s">
        <v>65</v>
      </c>
      <c r="L468" s="77">
        <v>468</v>
      </c>
      <c r="M468" s="77"/>
      <c r="N468" s="72"/>
      <c r="O468" s="79" t="s">
        <v>610</v>
      </c>
      <c r="P468" s="79">
        <v>1</v>
      </c>
      <c r="Q468" s="78" t="str">
        <f>REPLACE(INDEX(GroupVertices[Group],MATCH(Edges[[#This Row],[Vertex 1]],GroupVertices[Vertex],0)),1,1,"")</f>
        <v>edical Centric</v>
      </c>
      <c r="R468" s="78" t="str">
        <f>REPLACE(INDEX(GroupVertices[Group],MATCH(Edges[[#This Row],[Vertex 2]],GroupVertices[Vertex],0)),1,1,"")</f>
        <v>edical Centric</v>
      </c>
    </row>
    <row r="469" spans="1:18" ht="15">
      <c r="A469" s="64" t="s">
        <v>215</v>
      </c>
      <c r="B469" s="64" t="s">
        <v>235</v>
      </c>
      <c r="C469" s="65" t="s">
        <v>4444</v>
      </c>
      <c r="D469" s="66">
        <v>3</v>
      </c>
      <c r="E469" s="67"/>
      <c r="F469" s="68">
        <v>40</v>
      </c>
      <c r="G469" s="65"/>
      <c r="H469" s="69"/>
      <c r="I469" s="70"/>
      <c r="J469" s="70"/>
      <c r="K469" s="34" t="s">
        <v>66</v>
      </c>
      <c r="L469" s="77">
        <v>469</v>
      </c>
      <c r="M469" s="77"/>
      <c r="N469" s="72"/>
      <c r="O469" s="79" t="s">
        <v>610</v>
      </c>
      <c r="P469" s="79">
        <v>1</v>
      </c>
      <c r="Q469" s="78" t="str">
        <f>REPLACE(INDEX(GroupVertices[Group],MATCH(Edges[[#This Row],[Vertex 1]],GroupVertices[Vertex],0)),1,1,"")</f>
        <v>edical Centric</v>
      </c>
      <c r="R469" s="78" t="str">
        <f>REPLACE(INDEX(GroupVertices[Group],MATCH(Edges[[#This Row],[Vertex 2]],GroupVertices[Vertex],0)),1,1,"")</f>
        <v>ibi sebastian</v>
      </c>
    </row>
    <row r="470" spans="1:18" ht="15">
      <c r="A470" s="64" t="s">
        <v>215</v>
      </c>
      <c r="B470" s="64" t="s">
        <v>531</v>
      </c>
      <c r="C470" s="65" t="s">
        <v>4443</v>
      </c>
      <c r="D470" s="66">
        <v>3</v>
      </c>
      <c r="E470" s="67"/>
      <c r="F470" s="68">
        <v>40</v>
      </c>
      <c r="G470" s="65"/>
      <c r="H470" s="69"/>
      <c r="I470" s="70"/>
      <c r="J470" s="70"/>
      <c r="K470" s="34" t="s">
        <v>65</v>
      </c>
      <c r="L470" s="77">
        <v>470</v>
      </c>
      <c r="M470" s="77"/>
      <c r="N470" s="72"/>
      <c r="O470" s="79" t="s">
        <v>610</v>
      </c>
      <c r="P470" s="79">
        <v>1</v>
      </c>
      <c r="Q470" s="78" t="str">
        <f>REPLACE(INDEX(GroupVertices[Group],MATCH(Edges[[#This Row],[Vertex 1]],GroupVertices[Vertex],0)),1,1,"")</f>
        <v>edical Centric</v>
      </c>
      <c r="R470" s="78" t="str">
        <f>REPLACE(INDEX(GroupVertices[Group],MATCH(Edges[[#This Row],[Vertex 2]],GroupVertices[Vertex],0)),1,1,"")</f>
        <v>earn With Jenny</v>
      </c>
    </row>
    <row r="471" spans="1:18" ht="15">
      <c r="A471" s="64" t="s">
        <v>215</v>
      </c>
      <c r="B471" s="64" t="s">
        <v>362</v>
      </c>
      <c r="C471" s="65" t="s">
        <v>4443</v>
      </c>
      <c r="D471" s="66">
        <v>3</v>
      </c>
      <c r="E471" s="67"/>
      <c r="F471" s="68">
        <v>40</v>
      </c>
      <c r="G471" s="65"/>
      <c r="H471" s="69"/>
      <c r="I471" s="70"/>
      <c r="J471" s="70"/>
      <c r="K471" s="34" t="s">
        <v>65</v>
      </c>
      <c r="L471" s="77">
        <v>471</v>
      </c>
      <c r="M471" s="77"/>
      <c r="N471" s="72"/>
      <c r="O471" s="79" t="s">
        <v>610</v>
      </c>
      <c r="P471" s="79">
        <v>1</v>
      </c>
      <c r="Q471" s="78" t="str">
        <f>REPLACE(INDEX(GroupVertices[Group],MATCH(Edges[[#This Row],[Vertex 1]],GroupVertices[Vertex],0)),1,1,"")</f>
        <v>edical Centric</v>
      </c>
      <c r="R471" s="78" t="str">
        <f>REPLACE(INDEX(GroupVertices[Group],MATCH(Edges[[#This Row],[Vertex 2]],GroupVertices[Vertex],0)),1,1,"")</f>
        <v>earning in 10</v>
      </c>
    </row>
    <row r="472" spans="1:18" ht="15">
      <c r="A472" s="64" t="s">
        <v>215</v>
      </c>
      <c r="B472" s="64" t="s">
        <v>197</v>
      </c>
      <c r="C472" s="65" t="s">
        <v>4443</v>
      </c>
      <c r="D472" s="66">
        <v>3</v>
      </c>
      <c r="E472" s="67"/>
      <c r="F472" s="68">
        <v>40</v>
      </c>
      <c r="G472" s="65"/>
      <c r="H472" s="69"/>
      <c r="I472" s="70"/>
      <c r="J472" s="70"/>
      <c r="K472" s="34" t="s">
        <v>65</v>
      </c>
      <c r="L472" s="77">
        <v>472</v>
      </c>
      <c r="M472" s="77"/>
      <c r="N472" s="72"/>
      <c r="O472" s="79" t="s">
        <v>610</v>
      </c>
      <c r="P472" s="79">
        <v>1</v>
      </c>
      <c r="Q472" s="78" t="str">
        <f>REPLACE(INDEX(GroupVertices[Group],MATCH(Edges[[#This Row],[Vertex 1]],GroupVertices[Vertex],0)),1,1,"")</f>
        <v>edical Centric</v>
      </c>
      <c r="R472" s="78" t="str">
        <f>REPLACE(INDEX(GroupVertices[Group],MATCH(Edges[[#This Row],[Vertex 2]],GroupVertices[Vertex],0)),1,1,"")</f>
        <v>adMedicine</v>
      </c>
    </row>
    <row r="473" spans="1:18" ht="15">
      <c r="A473" s="64" t="s">
        <v>215</v>
      </c>
      <c r="B473" s="64" t="s">
        <v>343</v>
      </c>
      <c r="C473" s="65" t="s">
        <v>4443</v>
      </c>
      <c r="D473" s="66">
        <v>3</v>
      </c>
      <c r="E473" s="67"/>
      <c r="F473" s="68">
        <v>40</v>
      </c>
      <c r="G473" s="65"/>
      <c r="H473" s="69"/>
      <c r="I473" s="70"/>
      <c r="J473" s="70"/>
      <c r="K473" s="34" t="s">
        <v>65</v>
      </c>
      <c r="L473" s="77">
        <v>473</v>
      </c>
      <c r="M473" s="77"/>
      <c r="N473" s="72"/>
      <c r="O473" s="79" t="s">
        <v>610</v>
      </c>
      <c r="P473" s="79">
        <v>1</v>
      </c>
      <c r="Q473" s="78" t="str">
        <f>REPLACE(INDEX(GroupVertices[Group],MATCH(Edges[[#This Row],[Vertex 1]],GroupVertices[Vertex],0)),1,1,"")</f>
        <v>edical Centric</v>
      </c>
      <c r="R473" s="78" t="str">
        <f>REPLACE(INDEX(GroupVertices[Group],MATCH(Edges[[#This Row],[Vertex 2]],GroupVertices[Vertex],0)),1,1,"")</f>
        <v>لمعلم النفسي Psychiatric Teacher</v>
      </c>
    </row>
    <row r="474" spans="1:18" ht="15">
      <c r="A474" s="64" t="s">
        <v>215</v>
      </c>
      <c r="B474" s="64" t="s">
        <v>282</v>
      </c>
      <c r="C474" s="65" t="s">
        <v>4443</v>
      </c>
      <c r="D474" s="66">
        <v>3</v>
      </c>
      <c r="E474" s="67"/>
      <c r="F474" s="68">
        <v>40</v>
      </c>
      <c r="G474" s="65"/>
      <c r="H474" s="69"/>
      <c r="I474" s="70"/>
      <c r="J474" s="70"/>
      <c r="K474" s="34" t="s">
        <v>65</v>
      </c>
      <c r="L474" s="77">
        <v>474</v>
      </c>
      <c r="M474" s="77"/>
      <c r="N474" s="72"/>
      <c r="O474" s="79" t="s">
        <v>610</v>
      </c>
      <c r="P474" s="79">
        <v>1</v>
      </c>
      <c r="Q474" s="78" t="str">
        <f>REPLACE(INDEX(GroupVertices[Group],MATCH(Edges[[#This Row],[Vertex 1]],GroupVertices[Vertex],0)),1,1,"")</f>
        <v>edical Centric</v>
      </c>
      <c r="R474" s="78" t="str">
        <f>REPLACE(INDEX(GroupVertices[Group],MATCH(Edges[[#This Row],[Vertex 2]],GroupVertices[Vertex],0)),1,1,"")</f>
        <v>ractical Behaviour Solutions</v>
      </c>
    </row>
    <row r="475" spans="1:18" ht="15">
      <c r="A475" s="64" t="s">
        <v>215</v>
      </c>
      <c r="B475" s="64" t="s">
        <v>284</v>
      </c>
      <c r="C475" s="65" t="s">
        <v>4443</v>
      </c>
      <c r="D475" s="66">
        <v>3</v>
      </c>
      <c r="E475" s="67"/>
      <c r="F475" s="68">
        <v>40</v>
      </c>
      <c r="G475" s="65"/>
      <c r="H475" s="69"/>
      <c r="I475" s="70"/>
      <c r="J475" s="70"/>
      <c r="K475" s="34" t="s">
        <v>65</v>
      </c>
      <c r="L475" s="77">
        <v>475</v>
      </c>
      <c r="M475" s="77"/>
      <c r="N475" s="72"/>
      <c r="O475" s="79" t="s">
        <v>610</v>
      </c>
      <c r="P475" s="79">
        <v>1</v>
      </c>
      <c r="Q475" s="78" t="str">
        <f>REPLACE(INDEX(GroupVertices[Group],MATCH(Edges[[#This Row],[Vertex 1]],GroupVertices[Vertex],0)),1,1,"")</f>
        <v>edical Centric</v>
      </c>
      <c r="R475" s="78" t="str">
        <f>REPLACE(INDEX(GroupVertices[Group],MATCH(Edges[[#This Row],[Vertex 2]],GroupVertices[Vertex],0)),1,1,"")</f>
        <v>EDx Talks</v>
      </c>
    </row>
    <row r="476" spans="1:18" ht="15">
      <c r="A476" s="64" t="s">
        <v>215</v>
      </c>
      <c r="B476" s="64" t="s">
        <v>276</v>
      </c>
      <c r="C476" s="65" t="s">
        <v>4443</v>
      </c>
      <c r="D476" s="66">
        <v>3</v>
      </c>
      <c r="E476" s="67"/>
      <c r="F476" s="68">
        <v>40</v>
      </c>
      <c r="G476" s="65"/>
      <c r="H476" s="69"/>
      <c r="I476" s="70"/>
      <c r="J476" s="70"/>
      <c r="K476" s="34" t="s">
        <v>65</v>
      </c>
      <c r="L476" s="77">
        <v>476</v>
      </c>
      <c r="M476" s="77"/>
      <c r="N476" s="72"/>
      <c r="O476" s="79" t="s">
        <v>610</v>
      </c>
      <c r="P476" s="79">
        <v>1</v>
      </c>
      <c r="Q476" s="78" t="str">
        <f>REPLACE(INDEX(GroupVertices[Group],MATCH(Edges[[#This Row],[Vertex 1]],GroupVertices[Vertex],0)),1,1,"")</f>
        <v>edical Centric</v>
      </c>
      <c r="R476" s="78" t="str">
        <f>REPLACE(INDEX(GroupVertices[Group],MATCH(Edges[[#This Row],[Vertex 2]],GroupVertices[Vertex],0)),1,1,"")</f>
        <v>DDitude Magazine</v>
      </c>
    </row>
    <row r="477" spans="1:18" ht="15">
      <c r="A477" s="64" t="s">
        <v>215</v>
      </c>
      <c r="B477" s="64" t="s">
        <v>243</v>
      </c>
      <c r="C477" s="65" t="s">
        <v>4443</v>
      </c>
      <c r="D477" s="66">
        <v>3</v>
      </c>
      <c r="E477" s="67"/>
      <c r="F477" s="68">
        <v>40</v>
      </c>
      <c r="G477" s="65"/>
      <c r="H477" s="69"/>
      <c r="I477" s="70"/>
      <c r="J477" s="70"/>
      <c r="K477" s="34" t="s">
        <v>65</v>
      </c>
      <c r="L477" s="77">
        <v>477</v>
      </c>
      <c r="M477" s="77"/>
      <c r="N477" s="72"/>
      <c r="O477" s="79" t="s">
        <v>610</v>
      </c>
      <c r="P477" s="79">
        <v>1</v>
      </c>
      <c r="Q477" s="78" t="str">
        <f>REPLACE(INDEX(GroupVertices[Group],MATCH(Edges[[#This Row],[Vertex 1]],GroupVertices[Vertex],0)),1,1,"")</f>
        <v>edical Centric</v>
      </c>
      <c r="R477" s="78" t="str">
        <f>REPLACE(INDEX(GroupVertices[Group],MATCH(Edges[[#This Row],[Vertex 2]],GroupVertices[Vertex],0)),1,1,"")</f>
        <v>emorable Psychiatry and Neurology</v>
      </c>
    </row>
    <row r="478" spans="1:18" ht="15">
      <c r="A478" s="64" t="s">
        <v>215</v>
      </c>
      <c r="B478" s="64" t="s">
        <v>270</v>
      </c>
      <c r="C478" s="65" t="s">
        <v>4443</v>
      </c>
      <c r="D478" s="66">
        <v>3</v>
      </c>
      <c r="E478" s="67"/>
      <c r="F478" s="68">
        <v>40</v>
      </c>
      <c r="G478" s="65"/>
      <c r="H478" s="69"/>
      <c r="I478" s="70"/>
      <c r="J478" s="70"/>
      <c r="K478" s="34" t="s">
        <v>65</v>
      </c>
      <c r="L478" s="77">
        <v>478</v>
      </c>
      <c r="M478" s="77"/>
      <c r="N478" s="72"/>
      <c r="O478" s="79" t="s">
        <v>610</v>
      </c>
      <c r="P478" s="79">
        <v>1</v>
      </c>
      <c r="Q478" s="78" t="str">
        <f>REPLACE(INDEX(GroupVertices[Group],MATCH(Edges[[#This Row],[Vertex 1]],GroupVertices[Vertex],0)),1,1,"")</f>
        <v>edical Centric</v>
      </c>
      <c r="R478" s="78" t="str">
        <f>REPLACE(INDEX(GroupVertices[Group],MATCH(Edges[[#This Row],[Vertex 2]],GroupVertices[Vertex],0)),1,1,"")</f>
        <v>r. Todd Grande</v>
      </c>
    </row>
    <row r="479" spans="1:18" ht="15">
      <c r="A479" s="64" t="s">
        <v>215</v>
      </c>
      <c r="B479" s="64" t="s">
        <v>247</v>
      </c>
      <c r="C479" s="65" t="s">
        <v>4443</v>
      </c>
      <c r="D479" s="66">
        <v>3</v>
      </c>
      <c r="E479" s="67"/>
      <c r="F479" s="68">
        <v>40</v>
      </c>
      <c r="G479" s="65"/>
      <c r="H479" s="69"/>
      <c r="I479" s="70"/>
      <c r="J479" s="70"/>
      <c r="K479" s="34" t="s">
        <v>65</v>
      </c>
      <c r="L479" s="77">
        <v>479</v>
      </c>
      <c r="M479" s="77"/>
      <c r="N479" s="72"/>
      <c r="O479" s="79" t="s">
        <v>610</v>
      </c>
      <c r="P479" s="79">
        <v>1</v>
      </c>
      <c r="Q479" s="78" t="str">
        <f>REPLACE(INDEX(GroupVertices[Group],MATCH(Edges[[#This Row],[Vertex 1]],GroupVertices[Vertex],0)),1,1,"")</f>
        <v>edical Centric</v>
      </c>
      <c r="R479" s="78" t="str">
        <f>REPLACE(INDEX(GroupVertices[Group],MATCH(Edges[[#This Row],[Vertex 2]],GroupVertices[Vertex],0)),1,1,"")</f>
        <v>ODAY</v>
      </c>
    </row>
    <row r="480" spans="1:18" ht="15">
      <c r="A480" s="64" t="s">
        <v>215</v>
      </c>
      <c r="B480" s="64" t="s">
        <v>244</v>
      </c>
      <c r="C480" s="65" t="s">
        <v>4443</v>
      </c>
      <c r="D480" s="66">
        <v>3</v>
      </c>
      <c r="E480" s="67"/>
      <c r="F480" s="68">
        <v>40</v>
      </c>
      <c r="G480" s="65"/>
      <c r="H480" s="69"/>
      <c r="I480" s="70"/>
      <c r="J480" s="70"/>
      <c r="K480" s="34" t="s">
        <v>65</v>
      </c>
      <c r="L480" s="77">
        <v>480</v>
      </c>
      <c r="M480" s="77"/>
      <c r="N480" s="72"/>
      <c r="O480" s="79" t="s">
        <v>610</v>
      </c>
      <c r="P480" s="79">
        <v>1</v>
      </c>
      <c r="Q480" s="78" t="str">
        <f>REPLACE(INDEX(GroupVertices[Group],MATCH(Edges[[#This Row],[Vertex 1]],GroupVertices[Vertex],0)),1,1,"")</f>
        <v>edical Centric</v>
      </c>
      <c r="R480" s="78" t="str">
        <f>REPLACE(INDEX(GroupVertices[Group],MATCH(Edges[[#This Row],[Vertex 2]],GroupVertices[Vertex],0)),1,1,"")</f>
        <v>ati Morton</v>
      </c>
    </row>
    <row r="481" spans="1:18" ht="15">
      <c r="A481" s="64" t="s">
        <v>215</v>
      </c>
      <c r="B481" s="64" t="s">
        <v>245</v>
      </c>
      <c r="C481" s="65" t="s">
        <v>4444</v>
      </c>
      <c r="D481" s="66">
        <v>3</v>
      </c>
      <c r="E481" s="67"/>
      <c r="F481" s="68">
        <v>40</v>
      </c>
      <c r="G481" s="65"/>
      <c r="H481" s="69"/>
      <c r="I481" s="70"/>
      <c r="J481" s="70"/>
      <c r="K481" s="34" t="s">
        <v>66</v>
      </c>
      <c r="L481" s="77">
        <v>481</v>
      </c>
      <c r="M481" s="77"/>
      <c r="N481" s="72"/>
      <c r="O481" s="79" t="s">
        <v>610</v>
      </c>
      <c r="P481" s="79">
        <v>1</v>
      </c>
      <c r="Q481" s="78" t="str">
        <f>REPLACE(INDEX(GroupVertices[Group],MATCH(Edges[[#This Row],[Vertex 1]],GroupVertices[Vertex],0)),1,1,"")</f>
        <v>edical Centric</v>
      </c>
      <c r="R481" s="78" t="str">
        <f>REPLACE(INDEX(GroupVertices[Group],MATCH(Edges[[#This Row],[Vertex 2]],GroupVertices[Vertex],0)),1,1,"")</f>
        <v>emystifying Medicine McMaster</v>
      </c>
    </row>
    <row r="482" spans="1:18" ht="15">
      <c r="A482" s="64" t="s">
        <v>198</v>
      </c>
      <c r="B482" s="64" t="s">
        <v>308</v>
      </c>
      <c r="C482" s="65" t="s">
        <v>4443</v>
      </c>
      <c r="D482" s="66">
        <v>3</v>
      </c>
      <c r="E482" s="67"/>
      <c r="F482" s="68">
        <v>40</v>
      </c>
      <c r="G482" s="65"/>
      <c r="H482" s="69"/>
      <c r="I482" s="70"/>
      <c r="J482" s="70"/>
      <c r="K482" s="34" t="s">
        <v>65</v>
      </c>
      <c r="L482" s="77">
        <v>482</v>
      </c>
      <c r="M482" s="77"/>
      <c r="N482" s="72"/>
      <c r="O482" s="79" t="s">
        <v>610</v>
      </c>
      <c r="P482" s="79">
        <v>1</v>
      </c>
      <c r="Q482" s="78" t="str">
        <f>REPLACE(INDEX(GroupVertices[Group],MATCH(Edges[[#This Row],[Vertex 1]],GroupVertices[Vertex],0)),1,1,"")</f>
        <v>ealthy Morning On HSTV</v>
      </c>
      <c r="R482" s="78" t="str">
        <f>REPLACE(INDEX(GroupVertices[Group],MATCH(Edges[[#This Row],[Vertex 2]],GroupVertices[Vertex],0)),1,1,"")</f>
        <v>riumphant Nation Lagos City Church</v>
      </c>
    </row>
    <row r="483" spans="1:18" ht="15">
      <c r="A483" s="64" t="s">
        <v>198</v>
      </c>
      <c r="B483" s="64" t="s">
        <v>252</v>
      </c>
      <c r="C483" s="65" t="s">
        <v>4443</v>
      </c>
      <c r="D483" s="66">
        <v>3</v>
      </c>
      <c r="E483" s="67"/>
      <c r="F483" s="68">
        <v>40</v>
      </c>
      <c r="G483" s="65"/>
      <c r="H483" s="69"/>
      <c r="I483" s="70"/>
      <c r="J483" s="70"/>
      <c r="K483" s="34" t="s">
        <v>65</v>
      </c>
      <c r="L483" s="77">
        <v>483</v>
      </c>
      <c r="M483" s="77"/>
      <c r="N483" s="72"/>
      <c r="O483" s="79" t="s">
        <v>610</v>
      </c>
      <c r="P483" s="79">
        <v>1</v>
      </c>
      <c r="Q483" s="78" t="str">
        <f>REPLACE(INDEX(GroupVertices[Group],MATCH(Edges[[#This Row],[Vertex 1]],GroupVertices[Vertex],0)),1,1,"")</f>
        <v>ealthy Morning On HSTV</v>
      </c>
      <c r="R483" s="78" t="str">
        <f>REPLACE(INDEX(GroupVertices[Group],MATCH(Edges[[#This Row],[Vertex 2]],GroupVertices[Vertex],0)),1,1,"")</f>
        <v>G)I-DLE (여자)아이들 (Official YouTube Channel)</v>
      </c>
    </row>
    <row r="484" spans="1:18" ht="15">
      <c r="A484" s="64" t="s">
        <v>198</v>
      </c>
      <c r="B484" s="64" t="s">
        <v>253</v>
      </c>
      <c r="C484" s="65" t="s">
        <v>4443</v>
      </c>
      <c r="D484" s="66">
        <v>3</v>
      </c>
      <c r="E484" s="67"/>
      <c r="F484" s="68">
        <v>40</v>
      </c>
      <c r="G484" s="65"/>
      <c r="H484" s="69"/>
      <c r="I484" s="70"/>
      <c r="J484" s="70"/>
      <c r="K484" s="34" t="s">
        <v>65</v>
      </c>
      <c r="L484" s="77">
        <v>484</v>
      </c>
      <c r="M484" s="77"/>
      <c r="N484" s="72"/>
      <c r="O484" s="79" t="s">
        <v>610</v>
      </c>
      <c r="P484" s="79">
        <v>1</v>
      </c>
      <c r="Q484" s="78" t="str">
        <f>REPLACE(INDEX(GroupVertices[Group],MATCH(Edges[[#This Row],[Vertex 1]],GroupVertices[Vertex],0)),1,1,"")</f>
        <v>ealthy Morning On HSTV</v>
      </c>
      <c r="R484" s="78" t="str">
        <f>REPLACE(INDEX(GroupVertices[Group],MATCH(Edges[[#This Row],[Vertex 2]],GroupVertices[Vertex],0)),1,1,"")</f>
        <v>etflix</v>
      </c>
    </row>
    <row r="485" spans="1:18" ht="15">
      <c r="A485" s="64" t="s">
        <v>198</v>
      </c>
      <c r="B485" s="64" t="s">
        <v>261</v>
      </c>
      <c r="C485" s="65" t="s">
        <v>4443</v>
      </c>
      <c r="D485" s="66">
        <v>3</v>
      </c>
      <c r="E485" s="67"/>
      <c r="F485" s="68">
        <v>40</v>
      </c>
      <c r="G485" s="65"/>
      <c r="H485" s="69"/>
      <c r="I485" s="70"/>
      <c r="J485" s="70"/>
      <c r="K485" s="34" t="s">
        <v>65</v>
      </c>
      <c r="L485" s="77">
        <v>485</v>
      </c>
      <c r="M485" s="77"/>
      <c r="N485" s="72"/>
      <c r="O485" s="79" t="s">
        <v>610</v>
      </c>
      <c r="P485" s="79">
        <v>1</v>
      </c>
      <c r="Q485" s="78" t="str">
        <f>REPLACE(INDEX(GroupVertices[Group],MATCH(Edges[[#This Row],[Vertex 1]],GroupVertices[Vertex],0)),1,1,"")</f>
        <v>ealthy Morning On HSTV</v>
      </c>
      <c r="R485" s="78" t="str">
        <f>REPLACE(INDEX(GroupVertices[Group],MATCH(Edges[[#This Row],[Vertex 2]],GroupVertices[Vertex],0)),1,1,"")</f>
        <v>arkiplier</v>
      </c>
    </row>
    <row r="486" spans="1:18" ht="15">
      <c r="A486" s="64" t="s">
        <v>198</v>
      </c>
      <c r="B486" s="64" t="s">
        <v>262</v>
      </c>
      <c r="C486" s="65" t="s">
        <v>4443</v>
      </c>
      <c r="D486" s="66">
        <v>3</v>
      </c>
      <c r="E486" s="67"/>
      <c r="F486" s="68">
        <v>40</v>
      </c>
      <c r="G486" s="65"/>
      <c r="H486" s="69"/>
      <c r="I486" s="70"/>
      <c r="J486" s="70"/>
      <c r="K486" s="34" t="s">
        <v>65</v>
      </c>
      <c r="L486" s="77">
        <v>486</v>
      </c>
      <c r="M486" s="77"/>
      <c r="N486" s="72"/>
      <c r="O486" s="79" t="s">
        <v>610</v>
      </c>
      <c r="P486" s="79">
        <v>1</v>
      </c>
      <c r="Q486" s="78" t="str">
        <f>REPLACE(INDEX(GroupVertices[Group],MATCH(Edges[[#This Row],[Vertex 1]],GroupVertices[Vertex],0)),1,1,"")</f>
        <v>ealthy Morning On HSTV</v>
      </c>
      <c r="R486" s="78" t="str">
        <f>REPLACE(INDEX(GroupVertices[Group],MATCH(Edges[[#This Row],[Vertex 2]],GroupVertices[Vertex],0)),1,1,"")</f>
        <v>ractical Engineering</v>
      </c>
    </row>
    <row r="487" spans="1:18" ht="15">
      <c r="A487" s="64" t="s">
        <v>198</v>
      </c>
      <c r="B487" s="64" t="s">
        <v>254</v>
      </c>
      <c r="C487" s="65" t="s">
        <v>4443</v>
      </c>
      <c r="D487" s="66">
        <v>3</v>
      </c>
      <c r="E487" s="67"/>
      <c r="F487" s="68">
        <v>40</v>
      </c>
      <c r="G487" s="65"/>
      <c r="H487" s="69"/>
      <c r="I487" s="70"/>
      <c r="J487" s="70"/>
      <c r="K487" s="34" t="s">
        <v>65</v>
      </c>
      <c r="L487" s="77">
        <v>487</v>
      </c>
      <c r="M487" s="77"/>
      <c r="N487" s="72"/>
      <c r="O487" s="79" t="s">
        <v>610</v>
      </c>
      <c r="P487" s="79">
        <v>1</v>
      </c>
      <c r="Q487" s="78" t="str">
        <f>REPLACE(INDEX(GroupVertices[Group],MATCH(Edges[[#This Row],[Vertex 1]],GroupVertices[Vertex],0)),1,1,"")</f>
        <v>ealthy Morning On HSTV</v>
      </c>
      <c r="R487" s="78" t="str">
        <f>REPLACE(INDEX(GroupVertices[Group],MATCH(Edges[[#This Row],[Vertex 2]],GroupVertices[Vertex],0)),1,1,"")</f>
        <v>lash of Clans</v>
      </c>
    </row>
    <row r="488" spans="1:18" ht="15">
      <c r="A488" s="64" t="s">
        <v>198</v>
      </c>
      <c r="B488" s="64" t="s">
        <v>255</v>
      </c>
      <c r="C488" s="65" t="s">
        <v>4443</v>
      </c>
      <c r="D488" s="66">
        <v>3</v>
      </c>
      <c r="E488" s="67"/>
      <c r="F488" s="68">
        <v>40</v>
      </c>
      <c r="G488" s="65"/>
      <c r="H488" s="69"/>
      <c r="I488" s="70"/>
      <c r="J488" s="70"/>
      <c r="K488" s="34" t="s">
        <v>65</v>
      </c>
      <c r="L488" s="77">
        <v>488</v>
      </c>
      <c r="M488" s="77"/>
      <c r="N488" s="72"/>
      <c r="O488" s="79" t="s">
        <v>610</v>
      </c>
      <c r="P488" s="79">
        <v>1</v>
      </c>
      <c r="Q488" s="78" t="str">
        <f>REPLACE(INDEX(GroupVertices[Group],MATCH(Edges[[#This Row],[Vertex 1]],GroupVertices[Vertex],0)),1,1,"")</f>
        <v>ealthy Morning On HSTV</v>
      </c>
      <c r="R488" s="78" t="str">
        <f>REPLACE(INDEX(GroupVertices[Group],MATCH(Edges[[#This Row],[Vertex 2]],GroupVertices[Vertex],0)),1,1,"")</f>
        <v>et's Game It Out</v>
      </c>
    </row>
    <row r="489" spans="1:18" ht="15">
      <c r="A489" s="64" t="s">
        <v>198</v>
      </c>
      <c r="B489" s="64" t="s">
        <v>263</v>
      </c>
      <c r="C489" s="65" t="s">
        <v>4443</v>
      </c>
      <c r="D489" s="66">
        <v>3</v>
      </c>
      <c r="E489" s="67"/>
      <c r="F489" s="68">
        <v>40</v>
      </c>
      <c r="G489" s="65"/>
      <c r="H489" s="69"/>
      <c r="I489" s="70"/>
      <c r="J489" s="70"/>
      <c r="K489" s="34" t="s">
        <v>65</v>
      </c>
      <c r="L489" s="77">
        <v>489</v>
      </c>
      <c r="M489" s="77"/>
      <c r="N489" s="72"/>
      <c r="O489" s="79" t="s">
        <v>610</v>
      </c>
      <c r="P489" s="79">
        <v>1</v>
      </c>
      <c r="Q489" s="78" t="str">
        <f>REPLACE(INDEX(GroupVertices[Group],MATCH(Edges[[#This Row],[Vertex 1]],GroupVertices[Vertex],0)),1,1,"")</f>
        <v>ealthy Morning On HSTV</v>
      </c>
      <c r="R489" s="78" t="str">
        <f>REPLACE(INDEX(GroupVertices[Group],MATCH(Edges[[#This Row],[Vertex 2]],GroupVertices[Vertex],0)),1,1,"")</f>
        <v>ncognito Mode</v>
      </c>
    </row>
    <row r="490" spans="1:18" ht="15">
      <c r="A490" s="64" t="s">
        <v>198</v>
      </c>
      <c r="B490" s="64" t="s">
        <v>256</v>
      </c>
      <c r="C490" s="65" t="s">
        <v>4443</v>
      </c>
      <c r="D490" s="66">
        <v>3</v>
      </c>
      <c r="E490" s="67"/>
      <c r="F490" s="68">
        <v>40</v>
      </c>
      <c r="G490" s="65"/>
      <c r="H490" s="69"/>
      <c r="I490" s="70"/>
      <c r="J490" s="70"/>
      <c r="K490" s="34" t="s">
        <v>65</v>
      </c>
      <c r="L490" s="77">
        <v>490</v>
      </c>
      <c r="M490" s="77"/>
      <c r="N490" s="72"/>
      <c r="O490" s="79" t="s">
        <v>610</v>
      </c>
      <c r="P490" s="79">
        <v>1</v>
      </c>
      <c r="Q490" s="78" t="str">
        <f>REPLACE(INDEX(GroupVertices[Group],MATCH(Edges[[#This Row],[Vertex 1]],GroupVertices[Vertex],0)),1,1,"")</f>
        <v>ealthy Morning On HSTV</v>
      </c>
      <c r="R490" s="78" t="str">
        <f>REPLACE(INDEX(GroupVertices[Group],MATCH(Edges[[#This Row],[Vertex 2]],GroupVertices[Vertex],0)),1,1,"")</f>
        <v>arques Brownlee</v>
      </c>
    </row>
    <row r="491" spans="1:18" ht="15">
      <c r="A491" s="64" t="s">
        <v>198</v>
      </c>
      <c r="B491" s="64" t="s">
        <v>257</v>
      </c>
      <c r="C491" s="65" t="s">
        <v>4443</v>
      </c>
      <c r="D491" s="66">
        <v>3</v>
      </c>
      <c r="E491" s="67"/>
      <c r="F491" s="68">
        <v>40</v>
      </c>
      <c r="G491" s="65"/>
      <c r="H491" s="69"/>
      <c r="I491" s="70"/>
      <c r="J491" s="70"/>
      <c r="K491" s="34" t="s">
        <v>65</v>
      </c>
      <c r="L491" s="77">
        <v>491</v>
      </c>
      <c r="M491" s="77"/>
      <c r="N491" s="72"/>
      <c r="O491" s="79" t="s">
        <v>610</v>
      </c>
      <c r="P491" s="79">
        <v>1</v>
      </c>
      <c r="Q491" s="78" t="str">
        <f>REPLACE(INDEX(GroupVertices[Group],MATCH(Edges[[#This Row],[Vertex 1]],GroupVertices[Vertex],0)),1,1,"")</f>
        <v>ealthy Morning On HSTV</v>
      </c>
      <c r="R491" s="78" t="str">
        <f>REPLACE(INDEX(GroupVertices[Group],MATCH(Edges[[#This Row],[Vertex 2]],GroupVertices[Vertex],0)),1,1,"")</f>
        <v>rchitectural Digest</v>
      </c>
    </row>
    <row r="492" spans="1:18" ht="15">
      <c r="A492" s="64" t="s">
        <v>198</v>
      </c>
      <c r="B492" s="64" t="s">
        <v>258</v>
      </c>
      <c r="C492" s="65" t="s">
        <v>4443</v>
      </c>
      <c r="D492" s="66">
        <v>3</v>
      </c>
      <c r="E492" s="67"/>
      <c r="F492" s="68">
        <v>40</v>
      </c>
      <c r="G492" s="65"/>
      <c r="H492" s="69"/>
      <c r="I492" s="70"/>
      <c r="J492" s="70"/>
      <c r="K492" s="34" t="s">
        <v>65</v>
      </c>
      <c r="L492" s="77">
        <v>492</v>
      </c>
      <c r="M492" s="77"/>
      <c r="N492" s="72"/>
      <c r="O492" s="79" t="s">
        <v>610</v>
      </c>
      <c r="P492" s="79">
        <v>1</v>
      </c>
      <c r="Q492" s="78" t="str">
        <f>REPLACE(INDEX(GroupVertices[Group],MATCH(Edges[[#This Row],[Vertex 1]],GroupVertices[Vertex],0)),1,1,"")</f>
        <v>ealthy Morning On HSTV</v>
      </c>
      <c r="R492" s="78" t="str">
        <f>REPLACE(INDEX(GroupVertices[Group],MATCH(Edges[[#This Row],[Vertex 2]],GroupVertices[Vertex],0)),1,1,"")</f>
        <v>alt Disney Studios</v>
      </c>
    </row>
    <row r="493" spans="1:18" ht="15">
      <c r="A493" s="64" t="s">
        <v>198</v>
      </c>
      <c r="B493" s="64" t="s">
        <v>259</v>
      </c>
      <c r="C493" s="65" t="s">
        <v>4443</v>
      </c>
      <c r="D493" s="66">
        <v>3</v>
      </c>
      <c r="E493" s="67"/>
      <c r="F493" s="68">
        <v>40</v>
      </c>
      <c r="G493" s="65"/>
      <c r="H493" s="69"/>
      <c r="I493" s="70"/>
      <c r="J493" s="70"/>
      <c r="K493" s="34" t="s">
        <v>65</v>
      </c>
      <c r="L493" s="77">
        <v>493</v>
      </c>
      <c r="M493" s="77"/>
      <c r="N493" s="72"/>
      <c r="O493" s="79" t="s">
        <v>610</v>
      </c>
      <c r="P493" s="79">
        <v>1</v>
      </c>
      <c r="Q493" s="78" t="str">
        <f>REPLACE(INDEX(GroupVertices[Group],MATCH(Edges[[#This Row],[Vertex 1]],GroupVertices[Vertex],0)),1,1,"")</f>
        <v>ealthy Morning On HSTV</v>
      </c>
      <c r="R493" s="78" t="str">
        <f>REPLACE(INDEX(GroupVertices[Group],MATCH(Edges[[#This Row],[Vertex 2]],GroupVertices[Vertex],0)),1,1,"")</f>
        <v>kip and Shannon: UNDISPUTED</v>
      </c>
    </row>
    <row r="494" spans="1:18" ht="15">
      <c r="A494" s="64" t="s">
        <v>198</v>
      </c>
      <c r="B494" s="64" t="s">
        <v>260</v>
      </c>
      <c r="C494" s="65" t="s">
        <v>4443</v>
      </c>
      <c r="D494" s="66">
        <v>3</v>
      </c>
      <c r="E494" s="67"/>
      <c r="F494" s="68">
        <v>40</v>
      </c>
      <c r="G494" s="65"/>
      <c r="H494" s="69"/>
      <c r="I494" s="70"/>
      <c r="J494" s="70"/>
      <c r="K494" s="34" t="s">
        <v>65</v>
      </c>
      <c r="L494" s="77">
        <v>494</v>
      </c>
      <c r="M494" s="77"/>
      <c r="N494" s="72"/>
      <c r="O494" s="79" t="s">
        <v>610</v>
      </c>
      <c r="P494" s="79">
        <v>1</v>
      </c>
      <c r="Q494" s="78" t="str">
        <f>REPLACE(INDEX(GroupVertices[Group],MATCH(Edges[[#This Row],[Vertex 1]],GroupVertices[Vertex],0)),1,1,"")</f>
        <v>ealthy Morning On HSTV</v>
      </c>
      <c r="R494" s="78" t="str">
        <f>REPLACE(INDEX(GroupVertices[Group],MATCH(Edges[[#This Row],[Vertex 2]],GroupVertices[Vertex],0)),1,1,"")</f>
        <v>hakira</v>
      </c>
    </row>
    <row r="495" spans="1:18" ht="15">
      <c r="A495" s="64" t="s">
        <v>229</v>
      </c>
      <c r="B495" s="64" t="s">
        <v>249</v>
      </c>
      <c r="C495" s="65" t="s">
        <v>4443</v>
      </c>
      <c r="D495" s="66">
        <v>3</v>
      </c>
      <c r="E495" s="67"/>
      <c r="F495" s="68">
        <v>40</v>
      </c>
      <c r="G495" s="65"/>
      <c r="H495" s="69"/>
      <c r="I495" s="70"/>
      <c r="J495" s="70"/>
      <c r="K495" s="34" t="s">
        <v>65</v>
      </c>
      <c r="L495" s="77">
        <v>495</v>
      </c>
      <c r="M495" s="77"/>
      <c r="N495" s="72"/>
      <c r="O495" s="79" t="s">
        <v>610</v>
      </c>
      <c r="P495" s="79">
        <v>1</v>
      </c>
      <c r="Q495" s="78" t="str">
        <f>REPLACE(INDEX(GroupVertices[Group],MATCH(Edges[[#This Row],[Vertex 1]],GroupVertices[Vertex],0)),1,1,"")</f>
        <v>he Carter-Jenkins Center</v>
      </c>
      <c r="R495" s="78" t="str">
        <f>REPLACE(INDEX(GroupVertices[Group],MATCH(Edges[[#This Row],[Vertex 2]],GroupVertices[Vertex],0)),1,1,"")</f>
        <v>alika Andrews - ESPN</v>
      </c>
    </row>
    <row r="496" spans="1:18" ht="15">
      <c r="A496" s="64" t="s">
        <v>229</v>
      </c>
      <c r="B496" s="64" t="s">
        <v>250</v>
      </c>
      <c r="C496" s="65" t="s">
        <v>4443</v>
      </c>
      <c r="D496" s="66">
        <v>3</v>
      </c>
      <c r="E496" s="67"/>
      <c r="F496" s="68">
        <v>40</v>
      </c>
      <c r="G496" s="65"/>
      <c r="H496" s="69"/>
      <c r="I496" s="70"/>
      <c r="J496" s="70"/>
      <c r="K496" s="34" t="s">
        <v>65</v>
      </c>
      <c r="L496" s="77">
        <v>496</v>
      </c>
      <c r="M496" s="77"/>
      <c r="N496" s="72"/>
      <c r="O496" s="79" t="s">
        <v>610</v>
      </c>
      <c r="P496" s="79">
        <v>1</v>
      </c>
      <c r="Q496" s="78" t="str">
        <f>REPLACE(INDEX(GroupVertices[Group],MATCH(Edges[[#This Row],[Vertex 1]],GroupVertices[Vertex],0)),1,1,"")</f>
        <v>he Carter-Jenkins Center</v>
      </c>
      <c r="R496" s="78" t="str">
        <f>REPLACE(INDEX(GroupVertices[Group],MATCH(Edges[[#This Row],[Vertex 2]],GroupVertices[Vertex],0)),1,1,"")</f>
        <v>PR Music</v>
      </c>
    </row>
    <row r="497" spans="1:18" ht="15">
      <c r="A497" s="64" t="s">
        <v>229</v>
      </c>
      <c r="B497" s="64" t="s">
        <v>251</v>
      </c>
      <c r="C497" s="65" t="s">
        <v>4443</v>
      </c>
      <c r="D497" s="66">
        <v>3</v>
      </c>
      <c r="E497" s="67"/>
      <c r="F497" s="68">
        <v>40</v>
      </c>
      <c r="G497" s="65"/>
      <c r="H497" s="69"/>
      <c r="I497" s="70"/>
      <c r="J497" s="70"/>
      <c r="K497" s="34" t="s">
        <v>65</v>
      </c>
      <c r="L497" s="77">
        <v>497</v>
      </c>
      <c r="M497" s="77"/>
      <c r="N497" s="72"/>
      <c r="O497" s="79" t="s">
        <v>610</v>
      </c>
      <c r="P497" s="79">
        <v>1</v>
      </c>
      <c r="Q497" s="78" t="str">
        <f>REPLACE(INDEX(GroupVertices[Group],MATCH(Edges[[#This Row],[Vertex 1]],GroupVertices[Vertex],0)),1,1,"")</f>
        <v>he Carter-Jenkins Center</v>
      </c>
      <c r="R497" s="78" t="str">
        <f>REPLACE(INDEX(GroupVertices[Group],MATCH(Edges[[#This Row],[Vertex 2]],GroupVertices[Vertex],0)),1,1,"")</f>
        <v>host</v>
      </c>
    </row>
    <row r="498" spans="1:18" ht="15">
      <c r="A498" s="64" t="s">
        <v>229</v>
      </c>
      <c r="B498" s="64" t="s">
        <v>449</v>
      </c>
      <c r="C498" s="65" t="s">
        <v>4443</v>
      </c>
      <c r="D498" s="66">
        <v>3</v>
      </c>
      <c r="E498" s="67"/>
      <c r="F498" s="68">
        <v>40</v>
      </c>
      <c r="G498" s="65"/>
      <c r="H498" s="69"/>
      <c r="I498" s="70"/>
      <c r="J498" s="70"/>
      <c r="K498" s="34" t="s">
        <v>65</v>
      </c>
      <c r="L498" s="77">
        <v>498</v>
      </c>
      <c r="M498" s="77"/>
      <c r="N498" s="72"/>
      <c r="O498" s="79" t="s">
        <v>610</v>
      </c>
      <c r="P498" s="79">
        <v>1</v>
      </c>
      <c r="Q498" s="78" t="str">
        <f>REPLACE(INDEX(GroupVertices[Group],MATCH(Edges[[#This Row],[Vertex 1]],GroupVertices[Vertex],0)),1,1,"")</f>
        <v>he Carter-Jenkins Center</v>
      </c>
      <c r="R498" s="78" t="str">
        <f>REPLACE(INDEX(GroupVertices[Group],MATCH(Edges[[#This Row],[Vertex 2]],GroupVertices[Vertex],0)),1,1,"")</f>
        <v>tratpsych</v>
      </c>
    </row>
    <row r="499" spans="1:18" ht="15">
      <c r="A499" s="64" t="s">
        <v>229</v>
      </c>
      <c r="B499" s="64" t="s">
        <v>252</v>
      </c>
      <c r="C499" s="65" t="s">
        <v>4443</v>
      </c>
      <c r="D499" s="66">
        <v>3</v>
      </c>
      <c r="E499" s="67"/>
      <c r="F499" s="68">
        <v>40</v>
      </c>
      <c r="G499" s="65"/>
      <c r="H499" s="69"/>
      <c r="I499" s="70"/>
      <c r="J499" s="70"/>
      <c r="K499" s="34" t="s">
        <v>65</v>
      </c>
      <c r="L499" s="77">
        <v>499</v>
      </c>
      <c r="M499" s="77"/>
      <c r="N499" s="72"/>
      <c r="O499" s="79" t="s">
        <v>610</v>
      </c>
      <c r="P499" s="79">
        <v>1</v>
      </c>
      <c r="Q499" s="78" t="str">
        <f>REPLACE(INDEX(GroupVertices[Group],MATCH(Edges[[#This Row],[Vertex 1]],GroupVertices[Vertex],0)),1,1,"")</f>
        <v>he Carter-Jenkins Center</v>
      </c>
      <c r="R499" s="78" t="str">
        <f>REPLACE(INDEX(GroupVertices[Group],MATCH(Edges[[#This Row],[Vertex 2]],GroupVertices[Vertex],0)),1,1,"")</f>
        <v>G)I-DLE (여자)아이들 (Official YouTube Channel)</v>
      </c>
    </row>
    <row r="500" spans="1:18" ht="15">
      <c r="A500" s="64" t="s">
        <v>229</v>
      </c>
      <c r="B500" s="64" t="s">
        <v>253</v>
      </c>
      <c r="C500" s="65" t="s">
        <v>4443</v>
      </c>
      <c r="D500" s="66">
        <v>3</v>
      </c>
      <c r="E500" s="67"/>
      <c r="F500" s="68">
        <v>40</v>
      </c>
      <c r="G500" s="65"/>
      <c r="H500" s="69"/>
      <c r="I500" s="70"/>
      <c r="J500" s="70"/>
      <c r="K500" s="34" t="s">
        <v>65</v>
      </c>
      <c r="L500" s="77">
        <v>500</v>
      </c>
      <c r="M500" s="77"/>
      <c r="N500" s="72"/>
      <c r="O500" s="79" t="s">
        <v>610</v>
      </c>
      <c r="P500" s="79">
        <v>1</v>
      </c>
      <c r="Q500" s="78" t="str">
        <f>REPLACE(INDEX(GroupVertices[Group],MATCH(Edges[[#This Row],[Vertex 1]],GroupVertices[Vertex],0)),1,1,"")</f>
        <v>he Carter-Jenkins Center</v>
      </c>
      <c r="R500" s="78" t="str">
        <f>REPLACE(INDEX(GroupVertices[Group],MATCH(Edges[[#This Row],[Vertex 2]],GroupVertices[Vertex],0)),1,1,"")</f>
        <v>etflix</v>
      </c>
    </row>
    <row r="501" spans="1:18" ht="15">
      <c r="A501" s="64" t="s">
        <v>229</v>
      </c>
      <c r="B501" s="64" t="s">
        <v>254</v>
      </c>
      <c r="C501" s="65" t="s">
        <v>4443</v>
      </c>
      <c r="D501" s="66">
        <v>3</v>
      </c>
      <c r="E501" s="67"/>
      <c r="F501" s="68">
        <v>40</v>
      </c>
      <c r="G501" s="65"/>
      <c r="H501" s="69"/>
      <c r="I501" s="70"/>
      <c r="J501" s="70"/>
      <c r="K501" s="34" t="s">
        <v>65</v>
      </c>
      <c r="L501" s="77">
        <v>501</v>
      </c>
      <c r="M501" s="77"/>
      <c r="N501" s="72"/>
      <c r="O501" s="79" t="s">
        <v>610</v>
      </c>
      <c r="P501" s="79">
        <v>1</v>
      </c>
      <c r="Q501" s="78" t="str">
        <f>REPLACE(INDEX(GroupVertices[Group],MATCH(Edges[[#This Row],[Vertex 1]],GroupVertices[Vertex],0)),1,1,"")</f>
        <v>he Carter-Jenkins Center</v>
      </c>
      <c r="R501" s="78" t="str">
        <f>REPLACE(INDEX(GroupVertices[Group],MATCH(Edges[[#This Row],[Vertex 2]],GroupVertices[Vertex],0)),1,1,"")</f>
        <v>lash of Clans</v>
      </c>
    </row>
    <row r="502" spans="1:18" ht="15">
      <c r="A502" s="64" t="s">
        <v>229</v>
      </c>
      <c r="B502" s="64" t="s">
        <v>255</v>
      </c>
      <c r="C502" s="65" t="s">
        <v>4443</v>
      </c>
      <c r="D502" s="66">
        <v>3</v>
      </c>
      <c r="E502" s="67"/>
      <c r="F502" s="68">
        <v>40</v>
      </c>
      <c r="G502" s="65"/>
      <c r="H502" s="69"/>
      <c r="I502" s="70"/>
      <c r="J502" s="70"/>
      <c r="K502" s="34" t="s">
        <v>65</v>
      </c>
      <c r="L502" s="77">
        <v>502</v>
      </c>
      <c r="M502" s="77"/>
      <c r="N502" s="72"/>
      <c r="O502" s="79" t="s">
        <v>610</v>
      </c>
      <c r="P502" s="79">
        <v>1</v>
      </c>
      <c r="Q502" s="78" t="str">
        <f>REPLACE(INDEX(GroupVertices[Group],MATCH(Edges[[#This Row],[Vertex 1]],GroupVertices[Vertex],0)),1,1,"")</f>
        <v>he Carter-Jenkins Center</v>
      </c>
      <c r="R502" s="78" t="str">
        <f>REPLACE(INDEX(GroupVertices[Group],MATCH(Edges[[#This Row],[Vertex 2]],GroupVertices[Vertex],0)),1,1,"")</f>
        <v>et's Game It Out</v>
      </c>
    </row>
    <row r="503" spans="1:18" ht="15">
      <c r="A503" s="64" t="s">
        <v>229</v>
      </c>
      <c r="B503" s="64" t="s">
        <v>256</v>
      </c>
      <c r="C503" s="65" t="s">
        <v>4443</v>
      </c>
      <c r="D503" s="66">
        <v>3</v>
      </c>
      <c r="E503" s="67"/>
      <c r="F503" s="68">
        <v>40</v>
      </c>
      <c r="G503" s="65"/>
      <c r="H503" s="69"/>
      <c r="I503" s="70"/>
      <c r="J503" s="70"/>
      <c r="K503" s="34" t="s">
        <v>65</v>
      </c>
      <c r="L503" s="77">
        <v>503</v>
      </c>
      <c r="M503" s="77"/>
      <c r="N503" s="72"/>
      <c r="O503" s="79" t="s">
        <v>610</v>
      </c>
      <c r="P503" s="79">
        <v>1</v>
      </c>
      <c r="Q503" s="78" t="str">
        <f>REPLACE(INDEX(GroupVertices[Group],MATCH(Edges[[#This Row],[Vertex 1]],GroupVertices[Vertex],0)),1,1,"")</f>
        <v>he Carter-Jenkins Center</v>
      </c>
      <c r="R503" s="78" t="str">
        <f>REPLACE(INDEX(GroupVertices[Group],MATCH(Edges[[#This Row],[Vertex 2]],GroupVertices[Vertex],0)),1,1,"")</f>
        <v>arques Brownlee</v>
      </c>
    </row>
    <row r="504" spans="1:18" ht="15">
      <c r="A504" s="64" t="s">
        <v>229</v>
      </c>
      <c r="B504" s="64" t="s">
        <v>257</v>
      </c>
      <c r="C504" s="65" t="s">
        <v>4443</v>
      </c>
      <c r="D504" s="66">
        <v>3</v>
      </c>
      <c r="E504" s="67"/>
      <c r="F504" s="68">
        <v>40</v>
      </c>
      <c r="G504" s="65"/>
      <c r="H504" s="69"/>
      <c r="I504" s="70"/>
      <c r="J504" s="70"/>
      <c r="K504" s="34" t="s">
        <v>65</v>
      </c>
      <c r="L504" s="77">
        <v>504</v>
      </c>
      <c r="M504" s="77"/>
      <c r="N504" s="72"/>
      <c r="O504" s="79" t="s">
        <v>610</v>
      </c>
      <c r="P504" s="79">
        <v>1</v>
      </c>
      <c r="Q504" s="78" t="str">
        <f>REPLACE(INDEX(GroupVertices[Group],MATCH(Edges[[#This Row],[Vertex 1]],GroupVertices[Vertex],0)),1,1,"")</f>
        <v>he Carter-Jenkins Center</v>
      </c>
      <c r="R504" s="78" t="str">
        <f>REPLACE(INDEX(GroupVertices[Group],MATCH(Edges[[#This Row],[Vertex 2]],GroupVertices[Vertex],0)),1,1,"")</f>
        <v>rchitectural Digest</v>
      </c>
    </row>
    <row r="505" spans="1:18" ht="15">
      <c r="A505" s="64" t="s">
        <v>229</v>
      </c>
      <c r="B505" s="64" t="s">
        <v>258</v>
      </c>
      <c r="C505" s="65" t="s">
        <v>4443</v>
      </c>
      <c r="D505" s="66">
        <v>3</v>
      </c>
      <c r="E505" s="67"/>
      <c r="F505" s="68">
        <v>40</v>
      </c>
      <c r="G505" s="65"/>
      <c r="H505" s="69"/>
      <c r="I505" s="70"/>
      <c r="J505" s="70"/>
      <c r="K505" s="34" t="s">
        <v>65</v>
      </c>
      <c r="L505" s="77">
        <v>505</v>
      </c>
      <c r="M505" s="77"/>
      <c r="N505" s="72"/>
      <c r="O505" s="79" t="s">
        <v>610</v>
      </c>
      <c r="P505" s="79">
        <v>1</v>
      </c>
      <c r="Q505" s="78" t="str">
        <f>REPLACE(INDEX(GroupVertices[Group],MATCH(Edges[[#This Row],[Vertex 1]],GroupVertices[Vertex],0)),1,1,"")</f>
        <v>he Carter-Jenkins Center</v>
      </c>
      <c r="R505" s="78" t="str">
        <f>REPLACE(INDEX(GroupVertices[Group],MATCH(Edges[[#This Row],[Vertex 2]],GroupVertices[Vertex],0)),1,1,"")</f>
        <v>alt Disney Studios</v>
      </c>
    </row>
    <row r="506" spans="1:18" ht="15">
      <c r="A506" s="64" t="s">
        <v>229</v>
      </c>
      <c r="B506" s="64" t="s">
        <v>259</v>
      </c>
      <c r="C506" s="65" t="s">
        <v>4443</v>
      </c>
      <c r="D506" s="66">
        <v>3</v>
      </c>
      <c r="E506" s="67"/>
      <c r="F506" s="68">
        <v>40</v>
      </c>
      <c r="G506" s="65"/>
      <c r="H506" s="69"/>
      <c r="I506" s="70"/>
      <c r="J506" s="70"/>
      <c r="K506" s="34" t="s">
        <v>65</v>
      </c>
      <c r="L506" s="77">
        <v>506</v>
      </c>
      <c r="M506" s="77"/>
      <c r="N506" s="72"/>
      <c r="O506" s="79" t="s">
        <v>610</v>
      </c>
      <c r="P506" s="79">
        <v>1</v>
      </c>
      <c r="Q506" s="78" t="str">
        <f>REPLACE(INDEX(GroupVertices[Group],MATCH(Edges[[#This Row],[Vertex 1]],GroupVertices[Vertex],0)),1,1,"")</f>
        <v>he Carter-Jenkins Center</v>
      </c>
      <c r="R506" s="78" t="str">
        <f>REPLACE(INDEX(GroupVertices[Group],MATCH(Edges[[#This Row],[Vertex 2]],GroupVertices[Vertex],0)),1,1,"")</f>
        <v>kip and Shannon: UNDISPUTED</v>
      </c>
    </row>
    <row r="507" spans="1:18" ht="15">
      <c r="A507" s="64" t="s">
        <v>229</v>
      </c>
      <c r="B507" s="64" t="s">
        <v>260</v>
      </c>
      <c r="C507" s="65" t="s">
        <v>4443</v>
      </c>
      <c r="D507" s="66">
        <v>3</v>
      </c>
      <c r="E507" s="67"/>
      <c r="F507" s="68">
        <v>40</v>
      </c>
      <c r="G507" s="65"/>
      <c r="H507" s="69"/>
      <c r="I507" s="70"/>
      <c r="J507" s="70"/>
      <c r="K507" s="34" t="s">
        <v>65</v>
      </c>
      <c r="L507" s="77">
        <v>507</v>
      </c>
      <c r="M507" s="77"/>
      <c r="N507" s="72"/>
      <c r="O507" s="79" t="s">
        <v>610</v>
      </c>
      <c r="P507" s="79">
        <v>1</v>
      </c>
      <c r="Q507" s="78" t="str">
        <f>REPLACE(INDEX(GroupVertices[Group],MATCH(Edges[[#This Row],[Vertex 1]],GroupVertices[Vertex],0)),1,1,"")</f>
        <v>he Carter-Jenkins Center</v>
      </c>
      <c r="R507" s="78" t="str">
        <f>REPLACE(INDEX(GroupVertices[Group],MATCH(Edges[[#This Row],[Vertex 2]],GroupVertices[Vertex],0)),1,1,"")</f>
        <v>hakira</v>
      </c>
    </row>
    <row r="508" spans="1:18" ht="15">
      <c r="A508" s="64" t="s">
        <v>241</v>
      </c>
      <c r="B508" s="64" t="s">
        <v>2456</v>
      </c>
      <c r="C508" s="65" t="s">
        <v>4443</v>
      </c>
      <c r="D508" s="66">
        <v>3</v>
      </c>
      <c r="E508" s="67"/>
      <c r="F508" s="68">
        <v>40</v>
      </c>
      <c r="G508" s="65"/>
      <c r="H508" s="69"/>
      <c r="I508" s="70"/>
      <c r="J508" s="70"/>
      <c r="K508" s="34" t="s">
        <v>65</v>
      </c>
      <c r="L508" s="77">
        <v>508</v>
      </c>
      <c r="M508" s="77"/>
      <c r="N508" s="72"/>
      <c r="O508" s="79" t="s">
        <v>610</v>
      </c>
      <c r="P508" s="79">
        <v>1</v>
      </c>
      <c r="Q508" s="78" t="str">
        <f>REPLACE(INDEX(GroupVertices[Group],MATCH(Edges[[#This Row],[Vertex 1]],GroupVertices[Vertex],0)),1,1,"")</f>
        <v>ichael</v>
      </c>
      <c r="R508" s="78" t="str">
        <f>REPLACE(INDEX(GroupVertices[Group],MATCH(Edges[[#This Row],[Vertex 2]],GroupVertices[Vertex],0)),1,1,"")</f>
        <v>mile and Learn - English</v>
      </c>
    </row>
    <row r="509" spans="1:18" ht="15">
      <c r="A509" s="64" t="s">
        <v>241</v>
      </c>
      <c r="B509" s="64" t="s">
        <v>252</v>
      </c>
      <c r="C509" s="65" t="s">
        <v>4443</v>
      </c>
      <c r="D509" s="66">
        <v>3</v>
      </c>
      <c r="E509" s="67"/>
      <c r="F509" s="68">
        <v>40</v>
      </c>
      <c r="G509" s="65"/>
      <c r="H509" s="69"/>
      <c r="I509" s="70"/>
      <c r="J509" s="70"/>
      <c r="K509" s="34" t="s">
        <v>65</v>
      </c>
      <c r="L509" s="77">
        <v>509</v>
      </c>
      <c r="M509" s="77"/>
      <c r="N509" s="72"/>
      <c r="O509" s="79" t="s">
        <v>610</v>
      </c>
      <c r="P509" s="79">
        <v>1</v>
      </c>
      <c r="Q509" s="78" t="str">
        <f>REPLACE(INDEX(GroupVertices[Group],MATCH(Edges[[#This Row],[Vertex 1]],GroupVertices[Vertex],0)),1,1,"")</f>
        <v>ichael</v>
      </c>
      <c r="R509" s="78" t="str">
        <f>REPLACE(INDEX(GroupVertices[Group],MATCH(Edges[[#This Row],[Vertex 2]],GroupVertices[Vertex],0)),1,1,"")</f>
        <v>G)I-DLE (여자)아이들 (Official YouTube Channel)</v>
      </c>
    </row>
    <row r="510" spans="1:18" ht="15">
      <c r="A510" s="64" t="s">
        <v>241</v>
      </c>
      <c r="B510" s="64" t="s">
        <v>253</v>
      </c>
      <c r="C510" s="65" t="s">
        <v>4443</v>
      </c>
      <c r="D510" s="66">
        <v>3</v>
      </c>
      <c r="E510" s="67"/>
      <c r="F510" s="68">
        <v>40</v>
      </c>
      <c r="G510" s="65"/>
      <c r="H510" s="69"/>
      <c r="I510" s="70"/>
      <c r="J510" s="70"/>
      <c r="K510" s="34" t="s">
        <v>65</v>
      </c>
      <c r="L510" s="77">
        <v>510</v>
      </c>
      <c r="M510" s="77"/>
      <c r="N510" s="72"/>
      <c r="O510" s="79" t="s">
        <v>610</v>
      </c>
      <c r="P510" s="79">
        <v>1</v>
      </c>
      <c r="Q510" s="78" t="str">
        <f>REPLACE(INDEX(GroupVertices[Group],MATCH(Edges[[#This Row],[Vertex 1]],GroupVertices[Vertex],0)),1,1,"")</f>
        <v>ichael</v>
      </c>
      <c r="R510" s="78" t="str">
        <f>REPLACE(INDEX(GroupVertices[Group],MATCH(Edges[[#This Row],[Vertex 2]],GroupVertices[Vertex],0)),1,1,"")</f>
        <v>etflix</v>
      </c>
    </row>
    <row r="511" spans="1:18" ht="15">
      <c r="A511" s="64" t="s">
        <v>241</v>
      </c>
      <c r="B511" s="64" t="s">
        <v>261</v>
      </c>
      <c r="C511" s="65" t="s">
        <v>4443</v>
      </c>
      <c r="D511" s="66">
        <v>3</v>
      </c>
      <c r="E511" s="67"/>
      <c r="F511" s="68">
        <v>40</v>
      </c>
      <c r="G511" s="65"/>
      <c r="H511" s="69"/>
      <c r="I511" s="70"/>
      <c r="J511" s="70"/>
      <c r="K511" s="34" t="s">
        <v>65</v>
      </c>
      <c r="L511" s="77">
        <v>511</v>
      </c>
      <c r="M511" s="77"/>
      <c r="N511" s="72"/>
      <c r="O511" s="79" t="s">
        <v>610</v>
      </c>
      <c r="P511" s="79">
        <v>1</v>
      </c>
      <c r="Q511" s="78" t="str">
        <f>REPLACE(INDEX(GroupVertices[Group],MATCH(Edges[[#This Row],[Vertex 1]],GroupVertices[Vertex],0)),1,1,"")</f>
        <v>ichael</v>
      </c>
      <c r="R511" s="78" t="str">
        <f>REPLACE(INDEX(GroupVertices[Group],MATCH(Edges[[#This Row],[Vertex 2]],GroupVertices[Vertex],0)),1,1,"")</f>
        <v>arkiplier</v>
      </c>
    </row>
    <row r="512" spans="1:18" ht="15">
      <c r="A512" s="64" t="s">
        <v>241</v>
      </c>
      <c r="B512" s="64" t="s">
        <v>262</v>
      </c>
      <c r="C512" s="65" t="s">
        <v>4443</v>
      </c>
      <c r="D512" s="66">
        <v>3</v>
      </c>
      <c r="E512" s="67"/>
      <c r="F512" s="68">
        <v>40</v>
      </c>
      <c r="G512" s="65"/>
      <c r="H512" s="69"/>
      <c r="I512" s="70"/>
      <c r="J512" s="70"/>
      <c r="K512" s="34" t="s">
        <v>65</v>
      </c>
      <c r="L512" s="77">
        <v>512</v>
      </c>
      <c r="M512" s="77"/>
      <c r="N512" s="72"/>
      <c r="O512" s="79" t="s">
        <v>610</v>
      </c>
      <c r="P512" s="79">
        <v>1</v>
      </c>
      <c r="Q512" s="78" t="str">
        <f>REPLACE(INDEX(GroupVertices[Group],MATCH(Edges[[#This Row],[Vertex 1]],GroupVertices[Vertex],0)),1,1,"")</f>
        <v>ichael</v>
      </c>
      <c r="R512" s="78" t="str">
        <f>REPLACE(INDEX(GroupVertices[Group],MATCH(Edges[[#This Row],[Vertex 2]],GroupVertices[Vertex],0)),1,1,"")</f>
        <v>ractical Engineering</v>
      </c>
    </row>
    <row r="513" spans="1:18" ht="15">
      <c r="A513" s="64" t="s">
        <v>241</v>
      </c>
      <c r="B513" s="64" t="s">
        <v>254</v>
      </c>
      <c r="C513" s="65" t="s">
        <v>4443</v>
      </c>
      <c r="D513" s="66">
        <v>3</v>
      </c>
      <c r="E513" s="67"/>
      <c r="F513" s="68">
        <v>40</v>
      </c>
      <c r="G513" s="65"/>
      <c r="H513" s="69"/>
      <c r="I513" s="70"/>
      <c r="J513" s="70"/>
      <c r="K513" s="34" t="s">
        <v>65</v>
      </c>
      <c r="L513" s="77">
        <v>513</v>
      </c>
      <c r="M513" s="77"/>
      <c r="N513" s="72"/>
      <c r="O513" s="79" t="s">
        <v>610</v>
      </c>
      <c r="P513" s="79">
        <v>1</v>
      </c>
      <c r="Q513" s="78" t="str">
        <f>REPLACE(INDEX(GroupVertices[Group],MATCH(Edges[[#This Row],[Vertex 1]],GroupVertices[Vertex],0)),1,1,"")</f>
        <v>ichael</v>
      </c>
      <c r="R513" s="78" t="str">
        <f>REPLACE(INDEX(GroupVertices[Group],MATCH(Edges[[#This Row],[Vertex 2]],GroupVertices[Vertex],0)),1,1,"")</f>
        <v>lash of Clans</v>
      </c>
    </row>
    <row r="514" spans="1:18" ht="15">
      <c r="A514" s="64" t="s">
        <v>241</v>
      </c>
      <c r="B514" s="64" t="s">
        <v>255</v>
      </c>
      <c r="C514" s="65" t="s">
        <v>4443</v>
      </c>
      <c r="D514" s="66">
        <v>3</v>
      </c>
      <c r="E514" s="67"/>
      <c r="F514" s="68">
        <v>40</v>
      </c>
      <c r="G514" s="65"/>
      <c r="H514" s="69"/>
      <c r="I514" s="70"/>
      <c r="J514" s="70"/>
      <c r="K514" s="34" t="s">
        <v>65</v>
      </c>
      <c r="L514" s="77">
        <v>514</v>
      </c>
      <c r="M514" s="77"/>
      <c r="N514" s="72"/>
      <c r="O514" s="79" t="s">
        <v>610</v>
      </c>
      <c r="P514" s="79">
        <v>1</v>
      </c>
      <c r="Q514" s="78" t="str">
        <f>REPLACE(INDEX(GroupVertices[Group],MATCH(Edges[[#This Row],[Vertex 1]],GroupVertices[Vertex],0)),1,1,"")</f>
        <v>ichael</v>
      </c>
      <c r="R514" s="78" t="str">
        <f>REPLACE(INDEX(GroupVertices[Group],MATCH(Edges[[#This Row],[Vertex 2]],GroupVertices[Vertex],0)),1,1,"")</f>
        <v>et's Game It Out</v>
      </c>
    </row>
    <row r="515" spans="1:18" ht="15">
      <c r="A515" s="64" t="s">
        <v>241</v>
      </c>
      <c r="B515" s="64" t="s">
        <v>263</v>
      </c>
      <c r="C515" s="65" t="s">
        <v>4443</v>
      </c>
      <c r="D515" s="66">
        <v>3</v>
      </c>
      <c r="E515" s="67"/>
      <c r="F515" s="68">
        <v>40</v>
      </c>
      <c r="G515" s="65"/>
      <c r="H515" s="69"/>
      <c r="I515" s="70"/>
      <c r="J515" s="70"/>
      <c r="K515" s="34" t="s">
        <v>65</v>
      </c>
      <c r="L515" s="77">
        <v>515</v>
      </c>
      <c r="M515" s="77"/>
      <c r="N515" s="72"/>
      <c r="O515" s="79" t="s">
        <v>610</v>
      </c>
      <c r="P515" s="79">
        <v>1</v>
      </c>
      <c r="Q515" s="78" t="str">
        <f>REPLACE(INDEX(GroupVertices[Group],MATCH(Edges[[#This Row],[Vertex 1]],GroupVertices[Vertex],0)),1,1,"")</f>
        <v>ichael</v>
      </c>
      <c r="R515" s="78" t="str">
        <f>REPLACE(INDEX(GroupVertices[Group],MATCH(Edges[[#This Row],[Vertex 2]],GroupVertices[Vertex],0)),1,1,"")</f>
        <v>ncognito Mode</v>
      </c>
    </row>
    <row r="516" spans="1:18" ht="15">
      <c r="A516" s="64" t="s">
        <v>241</v>
      </c>
      <c r="B516" s="64" t="s">
        <v>256</v>
      </c>
      <c r="C516" s="65" t="s">
        <v>4443</v>
      </c>
      <c r="D516" s="66">
        <v>3</v>
      </c>
      <c r="E516" s="67"/>
      <c r="F516" s="68">
        <v>40</v>
      </c>
      <c r="G516" s="65"/>
      <c r="H516" s="69"/>
      <c r="I516" s="70"/>
      <c r="J516" s="70"/>
      <c r="K516" s="34" t="s">
        <v>65</v>
      </c>
      <c r="L516" s="77">
        <v>516</v>
      </c>
      <c r="M516" s="77"/>
      <c r="N516" s="72"/>
      <c r="O516" s="79" t="s">
        <v>610</v>
      </c>
      <c r="P516" s="79">
        <v>1</v>
      </c>
      <c r="Q516" s="78" t="str">
        <f>REPLACE(INDEX(GroupVertices[Group],MATCH(Edges[[#This Row],[Vertex 1]],GroupVertices[Vertex],0)),1,1,"")</f>
        <v>ichael</v>
      </c>
      <c r="R516" s="78" t="str">
        <f>REPLACE(INDEX(GroupVertices[Group],MATCH(Edges[[#This Row],[Vertex 2]],GroupVertices[Vertex],0)),1,1,"")</f>
        <v>arques Brownlee</v>
      </c>
    </row>
    <row r="517" spans="1:18" ht="15">
      <c r="A517" s="64" t="s">
        <v>241</v>
      </c>
      <c r="B517" s="64" t="s">
        <v>257</v>
      </c>
      <c r="C517" s="65" t="s">
        <v>4443</v>
      </c>
      <c r="D517" s="66">
        <v>3</v>
      </c>
      <c r="E517" s="67"/>
      <c r="F517" s="68">
        <v>40</v>
      </c>
      <c r="G517" s="65"/>
      <c r="H517" s="69"/>
      <c r="I517" s="70"/>
      <c r="J517" s="70"/>
      <c r="K517" s="34" t="s">
        <v>65</v>
      </c>
      <c r="L517" s="77">
        <v>517</v>
      </c>
      <c r="M517" s="77"/>
      <c r="N517" s="72"/>
      <c r="O517" s="79" t="s">
        <v>610</v>
      </c>
      <c r="P517" s="79">
        <v>1</v>
      </c>
      <c r="Q517" s="78" t="str">
        <f>REPLACE(INDEX(GroupVertices[Group],MATCH(Edges[[#This Row],[Vertex 1]],GroupVertices[Vertex],0)),1,1,"")</f>
        <v>ichael</v>
      </c>
      <c r="R517" s="78" t="str">
        <f>REPLACE(INDEX(GroupVertices[Group],MATCH(Edges[[#This Row],[Vertex 2]],GroupVertices[Vertex],0)),1,1,"")</f>
        <v>rchitectural Digest</v>
      </c>
    </row>
    <row r="518" spans="1:18" ht="15">
      <c r="A518" s="64" t="s">
        <v>241</v>
      </c>
      <c r="B518" s="64" t="s">
        <v>258</v>
      </c>
      <c r="C518" s="65" t="s">
        <v>4443</v>
      </c>
      <c r="D518" s="66">
        <v>3</v>
      </c>
      <c r="E518" s="67"/>
      <c r="F518" s="68">
        <v>40</v>
      </c>
      <c r="G518" s="65"/>
      <c r="H518" s="69"/>
      <c r="I518" s="70"/>
      <c r="J518" s="70"/>
      <c r="K518" s="34" t="s">
        <v>65</v>
      </c>
      <c r="L518" s="77">
        <v>518</v>
      </c>
      <c r="M518" s="77"/>
      <c r="N518" s="72"/>
      <c r="O518" s="79" t="s">
        <v>610</v>
      </c>
      <c r="P518" s="79">
        <v>1</v>
      </c>
      <c r="Q518" s="78" t="str">
        <f>REPLACE(INDEX(GroupVertices[Group],MATCH(Edges[[#This Row],[Vertex 1]],GroupVertices[Vertex],0)),1,1,"")</f>
        <v>ichael</v>
      </c>
      <c r="R518" s="78" t="str">
        <f>REPLACE(INDEX(GroupVertices[Group],MATCH(Edges[[#This Row],[Vertex 2]],GroupVertices[Vertex],0)),1,1,"")</f>
        <v>alt Disney Studios</v>
      </c>
    </row>
    <row r="519" spans="1:18" ht="15">
      <c r="A519" s="64" t="s">
        <v>241</v>
      </c>
      <c r="B519" s="64" t="s">
        <v>259</v>
      </c>
      <c r="C519" s="65" t="s">
        <v>4443</v>
      </c>
      <c r="D519" s="66">
        <v>3</v>
      </c>
      <c r="E519" s="67"/>
      <c r="F519" s="68">
        <v>40</v>
      </c>
      <c r="G519" s="65"/>
      <c r="H519" s="69"/>
      <c r="I519" s="70"/>
      <c r="J519" s="70"/>
      <c r="K519" s="34" t="s">
        <v>65</v>
      </c>
      <c r="L519" s="77">
        <v>519</v>
      </c>
      <c r="M519" s="77"/>
      <c r="N519" s="72"/>
      <c r="O519" s="79" t="s">
        <v>610</v>
      </c>
      <c r="P519" s="79">
        <v>1</v>
      </c>
      <c r="Q519" s="78" t="str">
        <f>REPLACE(INDEX(GroupVertices[Group],MATCH(Edges[[#This Row],[Vertex 1]],GroupVertices[Vertex],0)),1,1,"")</f>
        <v>ichael</v>
      </c>
      <c r="R519" s="78" t="str">
        <f>REPLACE(INDEX(GroupVertices[Group],MATCH(Edges[[#This Row],[Vertex 2]],GroupVertices[Vertex],0)),1,1,"")</f>
        <v>kip and Shannon: UNDISPUTED</v>
      </c>
    </row>
    <row r="520" spans="1:18" ht="15">
      <c r="A520" s="64" t="s">
        <v>241</v>
      </c>
      <c r="B520" s="64" t="s">
        <v>260</v>
      </c>
      <c r="C520" s="65" t="s">
        <v>4443</v>
      </c>
      <c r="D520" s="66">
        <v>3</v>
      </c>
      <c r="E520" s="67"/>
      <c r="F520" s="68">
        <v>40</v>
      </c>
      <c r="G520" s="65"/>
      <c r="H520" s="69"/>
      <c r="I520" s="70"/>
      <c r="J520" s="70"/>
      <c r="K520" s="34" t="s">
        <v>65</v>
      </c>
      <c r="L520" s="77">
        <v>520</v>
      </c>
      <c r="M520" s="77"/>
      <c r="N520" s="72"/>
      <c r="O520" s="79" t="s">
        <v>610</v>
      </c>
      <c r="P520" s="79">
        <v>1</v>
      </c>
      <c r="Q520" s="78" t="str">
        <f>REPLACE(INDEX(GroupVertices[Group],MATCH(Edges[[#This Row],[Vertex 1]],GroupVertices[Vertex],0)),1,1,"")</f>
        <v>ichael</v>
      </c>
      <c r="R520" s="78" t="str">
        <f>REPLACE(INDEX(GroupVertices[Group],MATCH(Edges[[#This Row],[Vertex 2]],GroupVertices[Vertex],0)),1,1,"")</f>
        <v>hakira</v>
      </c>
    </row>
    <row r="521" spans="1:18" ht="15">
      <c r="A521" s="64" t="s">
        <v>241</v>
      </c>
      <c r="B521" s="64" t="s">
        <v>2457</v>
      </c>
      <c r="C521" s="65" t="s">
        <v>4443</v>
      </c>
      <c r="D521" s="66">
        <v>3</v>
      </c>
      <c r="E521" s="67"/>
      <c r="F521" s="68">
        <v>40</v>
      </c>
      <c r="G521" s="65"/>
      <c r="H521" s="69"/>
      <c r="I521" s="70"/>
      <c r="J521" s="70"/>
      <c r="K521" s="34" t="s">
        <v>65</v>
      </c>
      <c r="L521" s="77">
        <v>521</v>
      </c>
      <c r="M521" s="77"/>
      <c r="N521" s="72"/>
      <c r="O521" s="79" t="s">
        <v>610</v>
      </c>
      <c r="P521" s="79">
        <v>1</v>
      </c>
      <c r="Q521" s="78" t="str">
        <f>REPLACE(INDEX(GroupVertices[Group],MATCH(Edges[[#This Row],[Vertex 1]],GroupVertices[Vertex],0)),1,1,"")</f>
        <v>ichael</v>
      </c>
      <c r="R521" s="78" t="str">
        <f>REPLACE(INDEX(GroupVertices[Group],MATCH(Edges[[#This Row],[Vertex 2]],GroupVertices[Vertex],0)),1,1,"")</f>
        <v>ational Autistic Society</v>
      </c>
    </row>
    <row r="522" spans="1:18" ht="15">
      <c r="A522" s="64" t="s">
        <v>241</v>
      </c>
      <c r="B522" s="64" t="s">
        <v>2458</v>
      </c>
      <c r="C522" s="65" t="s">
        <v>4443</v>
      </c>
      <c r="D522" s="66">
        <v>3</v>
      </c>
      <c r="E522" s="67"/>
      <c r="F522" s="68">
        <v>40</v>
      </c>
      <c r="G522" s="65"/>
      <c r="H522" s="69"/>
      <c r="I522" s="70"/>
      <c r="J522" s="70"/>
      <c r="K522" s="34" t="s">
        <v>65</v>
      </c>
      <c r="L522" s="77">
        <v>522</v>
      </c>
      <c r="M522" s="77"/>
      <c r="N522" s="72"/>
      <c r="O522" s="79" t="s">
        <v>610</v>
      </c>
      <c r="P522" s="79">
        <v>1</v>
      </c>
      <c r="Q522" s="78" t="str">
        <f>REPLACE(INDEX(GroupVertices[Group],MATCH(Edges[[#This Row],[Vertex 1]],GroupVertices[Vertex],0)),1,1,"")</f>
        <v>ichael</v>
      </c>
      <c r="R522" s="78" t="str">
        <f>REPLACE(INDEX(GroupVertices[Group],MATCH(Edges[[#This Row],[Vertex 2]],GroupVertices[Vertex],0)),1,1,"")</f>
        <v>lex Kladny</v>
      </c>
    </row>
    <row r="523" spans="1:18" ht="15">
      <c r="A523" s="64" t="s">
        <v>199</v>
      </c>
      <c r="B523" s="64" t="s">
        <v>2287</v>
      </c>
      <c r="C523" s="65" t="s">
        <v>4443</v>
      </c>
      <c r="D523" s="66">
        <v>3</v>
      </c>
      <c r="E523" s="67"/>
      <c r="F523" s="68">
        <v>40</v>
      </c>
      <c r="G523" s="65"/>
      <c r="H523" s="69"/>
      <c r="I523" s="70"/>
      <c r="J523" s="70"/>
      <c r="K523" s="34" t="s">
        <v>65</v>
      </c>
      <c r="L523" s="77">
        <v>523</v>
      </c>
      <c r="M523" s="77"/>
      <c r="N523" s="72"/>
      <c r="O523" s="79" t="s">
        <v>610</v>
      </c>
      <c r="P523" s="79">
        <v>1</v>
      </c>
      <c r="Q523" s="78" t="str">
        <f>REPLACE(INDEX(GroupVertices[Group],MATCH(Edges[[#This Row],[Vertex 1]],GroupVertices[Vertex],0)),1,1,"")</f>
        <v>agnet Brains</v>
      </c>
      <c r="R523" s="78" t="str">
        <f>REPLACE(INDEX(GroupVertices[Group],MATCH(Edges[[#This Row],[Vertex 2]],GroupVertices[Vertex],0)),1,1,"")</f>
        <v>ibabrata Nayak</v>
      </c>
    </row>
    <row r="524" spans="1:18" ht="15">
      <c r="A524" s="64" t="s">
        <v>199</v>
      </c>
      <c r="B524" s="64" t="s">
        <v>2288</v>
      </c>
      <c r="C524" s="65" t="s">
        <v>4443</v>
      </c>
      <c r="D524" s="66">
        <v>3</v>
      </c>
      <c r="E524" s="67"/>
      <c r="F524" s="68">
        <v>40</v>
      </c>
      <c r="G524" s="65"/>
      <c r="H524" s="69"/>
      <c r="I524" s="70"/>
      <c r="J524" s="70"/>
      <c r="K524" s="34" t="s">
        <v>65</v>
      </c>
      <c r="L524" s="77">
        <v>524</v>
      </c>
      <c r="M524" s="77"/>
      <c r="N524" s="72"/>
      <c r="O524" s="79" t="s">
        <v>610</v>
      </c>
      <c r="P524" s="79">
        <v>1</v>
      </c>
      <c r="Q524" s="78" t="str">
        <f>REPLACE(INDEX(GroupVertices[Group],MATCH(Edges[[#This Row],[Vertex 1]],GroupVertices[Vertex],0)),1,1,"")</f>
        <v>agnet Brains</v>
      </c>
      <c r="R524" s="78" t="str">
        <f>REPLACE(INDEX(GroupVertices[Group],MATCH(Edges[[#This Row],[Vertex 2]],GroupVertices[Vertex],0)),1,1,"")</f>
        <v>iran Kumari _xD83E__xDDE0_Psychology Notes in Hindi</v>
      </c>
    </row>
    <row r="525" spans="1:18" ht="15">
      <c r="A525" s="64" t="s">
        <v>199</v>
      </c>
      <c r="B525" s="64" t="s">
        <v>2289</v>
      </c>
      <c r="C525" s="65" t="s">
        <v>4443</v>
      </c>
      <c r="D525" s="66">
        <v>3</v>
      </c>
      <c r="E525" s="67"/>
      <c r="F525" s="68">
        <v>40</v>
      </c>
      <c r="G525" s="65"/>
      <c r="H525" s="69"/>
      <c r="I525" s="70"/>
      <c r="J525" s="70"/>
      <c r="K525" s="34" t="s">
        <v>65</v>
      </c>
      <c r="L525" s="77">
        <v>525</v>
      </c>
      <c r="M525" s="77"/>
      <c r="N525" s="72"/>
      <c r="O525" s="79" t="s">
        <v>610</v>
      </c>
      <c r="P525" s="79">
        <v>1</v>
      </c>
      <c r="Q525" s="78" t="str">
        <f>REPLACE(INDEX(GroupVertices[Group],MATCH(Edges[[#This Row],[Vertex 1]],GroupVertices[Vertex],0)),1,1,"")</f>
        <v>agnet Brains</v>
      </c>
      <c r="R525" s="78" t="str">
        <f>REPLACE(INDEX(GroupVertices[Group],MATCH(Edges[[#This Row],[Vertex 2]],GroupVertices[Vertex],0)),1,1,"")</f>
        <v>V Natu</v>
      </c>
    </row>
    <row r="526" spans="1:18" ht="15">
      <c r="A526" s="64" t="s">
        <v>199</v>
      </c>
      <c r="B526" s="64" t="s">
        <v>2290</v>
      </c>
      <c r="C526" s="65" t="s">
        <v>4443</v>
      </c>
      <c r="D526" s="66">
        <v>3</v>
      </c>
      <c r="E526" s="67"/>
      <c r="F526" s="68">
        <v>40</v>
      </c>
      <c r="G526" s="65"/>
      <c r="H526" s="69"/>
      <c r="I526" s="70"/>
      <c r="J526" s="70"/>
      <c r="K526" s="34" t="s">
        <v>65</v>
      </c>
      <c r="L526" s="77">
        <v>526</v>
      </c>
      <c r="M526" s="77"/>
      <c r="N526" s="72"/>
      <c r="O526" s="79" t="s">
        <v>610</v>
      </c>
      <c r="P526" s="79">
        <v>1</v>
      </c>
      <c r="Q526" s="78" t="str">
        <f>REPLACE(INDEX(GroupVertices[Group],MATCH(Edges[[#This Row],[Vertex 1]],GroupVertices[Vertex],0)),1,1,"")</f>
        <v>agnet Brains</v>
      </c>
      <c r="R526" s="78" t="str">
        <f>REPLACE(INDEX(GroupVertices[Group],MATCH(Edges[[#This Row],[Vertex 2]],GroupVertices[Vertex],0)),1,1,"")</f>
        <v>OMETE</v>
      </c>
    </row>
    <row r="527" spans="1:18" ht="15">
      <c r="A527" s="64" t="s">
        <v>199</v>
      </c>
      <c r="B527" s="64" t="s">
        <v>2291</v>
      </c>
      <c r="C527" s="65" t="s">
        <v>4443</v>
      </c>
      <c r="D527" s="66">
        <v>3</v>
      </c>
      <c r="E527" s="67"/>
      <c r="F527" s="68">
        <v>40</v>
      </c>
      <c r="G527" s="65"/>
      <c r="H527" s="69"/>
      <c r="I527" s="70"/>
      <c r="J527" s="70"/>
      <c r="K527" s="34" t="s">
        <v>65</v>
      </c>
      <c r="L527" s="77">
        <v>527</v>
      </c>
      <c r="M527" s="77"/>
      <c r="N527" s="72"/>
      <c r="O527" s="79" t="s">
        <v>610</v>
      </c>
      <c r="P527" s="79">
        <v>1</v>
      </c>
      <c r="Q527" s="78" t="str">
        <f>REPLACE(INDEX(GroupVertices[Group],MATCH(Edges[[#This Row],[Vertex 1]],GroupVertices[Vertex],0)),1,1,"")</f>
        <v>agnet Brains</v>
      </c>
      <c r="R527" s="78" t="str">
        <f>REPLACE(INDEX(GroupVertices[Group],MATCH(Edges[[#This Row],[Vertex 2]],GroupVertices[Vertex],0)),1,1,"")</f>
        <v>ellness by Farah 2</v>
      </c>
    </row>
    <row r="528" spans="1:18" ht="15">
      <c r="A528" s="64" t="s">
        <v>199</v>
      </c>
      <c r="B528" s="64" t="s">
        <v>2292</v>
      </c>
      <c r="C528" s="65" t="s">
        <v>4443</v>
      </c>
      <c r="D528" s="66">
        <v>3</v>
      </c>
      <c r="E528" s="67"/>
      <c r="F528" s="68">
        <v>40</v>
      </c>
      <c r="G528" s="65"/>
      <c r="H528" s="69"/>
      <c r="I528" s="70"/>
      <c r="J528" s="70"/>
      <c r="K528" s="34" t="s">
        <v>65</v>
      </c>
      <c r="L528" s="77">
        <v>528</v>
      </c>
      <c r="M528" s="77"/>
      <c r="N528" s="72"/>
      <c r="O528" s="79" t="s">
        <v>610</v>
      </c>
      <c r="P528" s="79">
        <v>1</v>
      </c>
      <c r="Q528" s="78" t="str">
        <f>REPLACE(INDEX(GroupVertices[Group],MATCH(Edges[[#This Row],[Vertex 1]],GroupVertices[Vertex],0)),1,1,"")</f>
        <v>agnet Brains</v>
      </c>
      <c r="R528" s="78" t="str">
        <f>REPLACE(INDEX(GroupVertices[Group],MATCH(Edges[[#This Row],[Vertex 2]],GroupVertices[Vertex],0)),1,1,"")</f>
        <v>hikha ClassEdge - History</v>
      </c>
    </row>
    <row r="529" spans="1:18" ht="15">
      <c r="A529" s="64" t="s">
        <v>199</v>
      </c>
      <c r="B529" s="64" t="s">
        <v>2293</v>
      </c>
      <c r="C529" s="65" t="s">
        <v>4443</v>
      </c>
      <c r="D529" s="66">
        <v>3</v>
      </c>
      <c r="E529" s="67"/>
      <c r="F529" s="68">
        <v>40</v>
      </c>
      <c r="G529" s="65"/>
      <c r="H529" s="69"/>
      <c r="I529" s="70"/>
      <c r="J529" s="70"/>
      <c r="K529" s="34" t="s">
        <v>65</v>
      </c>
      <c r="L529" s="77">
        <v>529</v>
      </c>
      <c r="M529" s="77"/>
      <c r="N529" s="72"/>
      <c r="O529" s="79" t="s">
        <v>610</v>
      </c>
      <c r="P529" s="79">
        <v>1</v>
      </c>
      <c r="Q529" s="78" t="str">
        <f>REPLACE(INDEX(GroupVertices[Group],MATCH(Edges[[#This Row],[Vertex 1]],GroupVertices[Vertex],0)),1,1,"")</f>
        <v>agnet Brains</v>
      </c>
      <c r="R529" s="78" t="str">
        <f>REPLACE(INDEX(GroupVertices[Group],MATCH(Edges[[#This Row],[Vertex 2]],GroupVertices[Vertex],0)),1,1,"")</f>
        <v>sychology academia</v>
      </c>
    </row>
    <row r="530" spans="1:18" ht="15">
      <c r="A530" s="64" t="s">
        <v>199</v>
      </c>
      <c r="B530" s="64" t="s">
        <v>2294</v>
      </c>
      <c r="C530" s="65" t="s">
        <v>4443</v>
      </c>
      <c r="D530" s="66">
        <v>3</v>
      </c>
      <c r="E530" s="67"/>
      <c r="F530" s="68">
        <v>40</v>
      </c>
      <c r="G530" s="65"/>
      <c r="H530" s="69"/>
      <c r="I530" s="70"/>
      <c r="J530" s="70"/>
      <c r="K530" s="34" t="s">
        <v>65</v>
      </c>
      <c r="L530" s="77">
        <v>530</v>
      </c>
      <c r="M530" s="77"/>
      <c r="N530" s="72"/>
      <c r="O530" s="79" t="s">
        <v>610</v>
      </c>
      <c r="P530" s="79">
        <v>1</v>
      </c>
      <c r="Q530" s="78" t="str">
        <f>REPLACE(INDEX(GroupVertices[Group],MATCH(Edges[[#This Row],[Vertex 1]],GroupVertices[Vertex],0)),1,1,"")</f>
        <v>agnet Brains</v>
      </c>
      <c r="R530" s="78" t="str">
        <f>REPLACE(INDEX(GroupVertices[Group],MATCH(Edges[[#This Row],[Vertex 2]],GroupVertices[Vertex],0)),1,1,"")</f>
        <v>evansh Sharma</v>
      </c>
    </row>
    <row r="531" spans="1:18" ht="15">
      <c r="A531" s="64" t="s">
        <v>199</v>
      </c>
      <c r="B531" s="64" t="s">
        <v>2295</v>
      </c>
      <c r="C531" s="65" t="s">
        <v>4443</v>
      </c>
      <c r="D531" s="66">
        <v>3</v>
      </c>
      <c r="E531" s="67"/>
      <c r="F531" s="68">
        <v>40</v>
      </c>
      <c r="G531" s="65"/>
      <c r="H531" s="69"/>
      <c r="I531" s="70"/>
      <c r="J531" s="70"/>
      <c r="K531" s="34" t="s">
        <v>65</v>
      </c>
      <c r="L531" s="77">
        <v>531</v>
      </c>
      <c r="M531" s="77"/>
      <c r="N531" s="72"/>
      <c r="O531" s="79" t="s">
        <v>610</v>
      </c>
      <c r="P531" s="79">
        <v>1</v>
      </c>
      <c r="Q531" s="78" t="str">
        <f>REPLACE(INDEX(GroupVertices[Group],MATCH(Edges[[#This Row],[Vertex 1]],GroupVertices[Vertex],0)),1,1,"")</f>
        <v>agnet Brains</v>
      </c>
      <c r="R531" s="78" t="str">
        <f>REPLACE(INDEX(GroupVertices[Group],MATCH(Edges[[#This Row],[Vertex 2]],GroupVertices[Vertex],0)),1,1,"")</f>
        <v>mart _xD83E__xDD13_ Study</v>
      </c>
    </row>
    <row r="532" spans="1:18" ht="15">
      <c r="A532" s="64" t="s">
        <v>199</v>
      </c>
      <c r="B532" s="64" t="s">
        <v>2296</v>
      </c>
      <c r="C532" s="65" t="s">
        <v>4443</v>
      </c>
      <c r="D532" s="66">
        <v>3</v>
      </c>
      <c r="E532" s="67"/>
      <c r="F532" s="68">
        <v>40</v>
      </c>
      <c r="G532" s="65"/>
      <c r="H532" s="69"/>
      <c r="I532" s="70"/>
      <c r="J532" s="70"/>
      <c r="K532" s="34" t="s">
        <v>65</v>
      </c>
      <c r="L532" s="77">
        <v>532</v>
      </c>
      <c r="M532" s="77"/>
      <c r="N532" s="72"/>
      <c r="O532" s="79" t="s">
        <v>610</v>
      </c>
      <c r="P532" s="79">
        <v>1</v>
      </c>
      <c r="Q532" s="78" t="str">
        <f>REPLACE(INDEX(GroupVertices[Group],MATCH(Edges[[#This Row],[Vertex 1]],GroupVertices[Vertex],0)),1,1,"")</f>
        <v>agnet Brains</v>
      </c>
      <c r="R532" s="78" t="str">
        <f>REPLACE(INDEX(GroupVertices[Group],MATCH(Edges[[#This Row],[Vertex 2]],GroupVertices[Vertex],0)),1,1,"")</f>
        <v>etiino Foundation</v>
      </c>
    </row>
    <row r="533" spans="1:18" ht="15">
      <c r="A533" s="64" t="s">
        <v>199</v>
      </c>
      <c r="B533" s="64" t="s">
        <v>2297</v>
      </c>
      <c r="C533" s="65" t="s">
        <v>4443</v>
      </c>
      <c r="D533" s="66">
        <v>3</v>
      </c>
      <c r="E533" s="67"/>
      <c r="F533" s="68">
        <v>40</v>
      </c>
      <c r="G533" s="65"/>
      <c r="H533" s="69"/>
      <c r="I533" s="70"/>
      <c r="J533" s="70"/>
      <c r="K533" s="34" t="s">
        <v>65</v>
      </c>
      <c r="L533" s="77">
        <v>533</v>
      </c>
      <c r="M533" s="77"/>
      <c r="N533" s="72"/>
      <c r="O533" s="79" t="s">
        <v>610</v>
      </c>
      <c r="P533" s="79">
        <v>1</v>
      </c>
      <c r="Q533" s="78" t="str">
        <f>REPLACE(INDEX(GroupVertices[Group],MATCH(Edges[[#This Row],[Vertex 1]],GroupVertices[Vertex],0)),1,1,"")</f>
        <v>agnet Brains</v>
      </c>
      <c r="R533" s="78" t="str">
        <f>REPLACE(INDEX(GroupVertices[Group],MATCH(Edges[[#This Row],[Vertex 2]],GroupVertices[Vertex],0)),1,1,"")</f>
        <v>asy Study With Mehak</v>
      </c>
    </row>
    <row r="534" spans="1:18" ht="15">
      <c r="A534" s="64" t="s">
        <v>199</v>
      </c>
      <c r="B534" s="64" t="s">
        <v>2298</v>
      </c>
      <c r="C534" s="65" t="s">
        <v>4443</v>
      </c>
      <c r="D534" s="66">
        <v>3</v>
      </c>
      <c r="E534" s="67"/>
      <c r="F534" s="68">
        <v>40</v>
      </c>
      <c r="G534" s="65"/>
      <c r="H534" s="69"/>
      <c r="I534" s="70"/>
      <c r="J534" s="70"/>
      <c r="K534" s="34" t="s">
        <v>65</v>
      </c>
      <c r="L534" s="77">
        <v>534</v>
      </c>
      <c r="M534" s="77"/>
      <c r="N534" s="72"/>
      <c r="O534" s="79" t="s">
        <v>610</v>
      </c>
      <c r="P534" s="79">
        <v>1</v>
      </c>
      <c r="Q534" s="78" t="str">
        <f>REPLACE(INDEX(GroupVertices[Group],MATCH(Edges[[#This Row],[Vertex 1]],GroupVertices[Vertex],0)),1,1,"")</f>
        <v>agnet Brains</v>
      </c>
      <c r="R534" s="78" t="str">
        <f>REPLACE(INDEX(GroupVertices[Group],MATCH(Edges[[#This Row],[Vertex 2]],GroupVertices[Vertex],0)),1,1,"")</f>
        <v>mart _xD83E__xDD13_ Study</v>
      </c>
    </row>
    <row r="535" spans="1:18" ht="15">
      <c r="A535" s="64" t="s">
        <v>199</v>
      </c>
      <c r="B535" s="64" t="s">
        <v>2299</v>
      </c>
      <c r="C535" s="65" t="s">
        <v>4443</v>
      </c>
      <c r="D535" s="66">
        <v>3</v>
      </c>
      <c r="E535" s="67"/>
      <c r="F535" s="68">
        <v>40</v>
      </c>
      <c r="G535" s="65"/>
      <c r="H535" s="69"/>
      <c r="I535" s="70"/>
      <c r="J535" s="70"/>
      <c r="K535" s="34" t="s">
        <v>65</v>
      </c>
      <c r="L535" s="77">
        <v>535</v>
      </c>
      <c r="M535" s="77"/>
      <c r="N535" s="72"/>
      <c r="O535" s="79" t="s">
        <v>610</v>
      </c>
      <c r="P535" s="79">
        <v>1</v>
      </c>
      <c r="Q535" s="78" t="str">
        <f>REPLACE(INDEX(GroupVertices[Group],MATCH(Edges[[#This Row],[Vertex 1]],GroupVertices[Vertex],0)),1,1,"")</f>
        <v>agnet Brains</v>
      </c>
      <c r="R535" s="78" t="str">
        <f>REPLACE(INDEX(GroupVertices[Group],MATCH(Edges[[#This Row],[Vertex 2]],GroupVertices[Vertex],0)),1,1,"")</f>
        <v>verest Coaching Institute</v>
      </c>
    </row>
    <row r="536" spans="1:18" ht="15">
      <c r="A536" s="64" t="s">
        <v>199</v>
      </c>
      <c r="B536" s="64" t="s">
        <v>2300</v>
      </c>
      <c r="C536" s="65" t="s">
        <v>4443</v>
      </c>
      <c r="D536" s="66">
        <v>3</v>
      </c>
      <c r="E536" s="67"/>
      <c r="F536" s="68">
        <v>40</v>
      </c>
      <c r="G536" s="65"/>
      <c r="H536" s="69"/>
      <c r="I536" s="70"/>
      <c r="J536" s="70"/>
      <c r="K536" s="34" t="s">
        <v>65</v>
      </c>
      <c r="L536" s="77">
        <v>536</v>
      </c>
      <c r="M536" s="77"/>
      <c r="N536" s="72"/>
      <c r="O536" s="79" t="s">
        <v>610</v>
      </c>
      <c r="P536" s="79">
        <v>1</v>
      </c>
      <c r="Q536" s="78" t="str">
        <f>REPLACE(INDEX(GroupVertices[Group],MATCH(Edges[[#This Row],[Vertex 1]],GroupVertices[Vertex],0)),1,1,"")</f>
        <v>agnet Brains</v>
      </c>
      <c r="R536" s="78" t="str">
        <f>REPLACE(INDEX(GroupVertices[Group],MATCH(Edges[[#This Row],[Vertex 2]],GroupVertices[Vertex],0)),1,1,"")</f>
        <v>dushine IAS</v>
      </c>
    </row>
    <row r="537" spans="1:18" ht="15">
      <c r="A537" s="64" t="s">
        <v>199</v>
      </c>
      <c r="B537" s="64" t="s">
        <v>2301</v>
      </c>
      <c r="C537" s="65" t="s">
        <v>4443</v>
      </c>
      <c r="D537" s="66">
        <v>3</v>
      </c>
      <c r="E537" s="67"/>
      <c r="F537" s="68">
        <v>40</v>
      </c>
      <c r="G537" s="65"/>
      <c r="H537" s="69"/>
      <c r="I537" s="70"/>
      <c r="J537" s="70"/>
      <c r="K537" s="34" t="s">
        <v>65</v>
      </c>
      <c r="L537" s="77">
        <v>537</v>
      </c>
      <c r="M537" s="77"/>
      <c r="N537" s="72"/>
      <c r="O537" s="79" t="s">
        <v>610</v>
      </c>
      <c r="P537" s="79">
        <v>1</v>
      </c>
      <c r="Q537" s="78" t="str">
        <f>REPLACE(INDEX(GroupVertices[Group],MATCH(Edges[[#This Row],[Vertex 1]],GroupVertices[Vertex],0)),1,1,"")</f>
        <v>agnet Brains</v>
      </c>
      <c r="R537" s="78" t="str">
        <f>REPLACE(INDEX(GroupVertices[Group],MATCH(Edges[[#This Row],[Vertex 2]],GroupVertices[Vertex],0)),1,1,"")</f>
        <v>bse Hindi with MathuraDas</v>
      </c>
    </row>
    <row r="538" spans="1:18" ht="15">
      <c r="A538" s="64" t="s">
        <v>199</v>
      </c>
      <c r="B538" s="64" t="s">
        <v>2302</v>
      </c>
      <c r="C538" s="65" t="s">
        <v>4443</v>
      </c>
      <c r="D538" s="66">
        <v>3</v>
      </c>
      <c r="E538" s="67"/>
      <c r="F538" s="68">
        <v>40</v>
      </c>
      <c r="G538" s="65"/>
      <c r="H538" s="69"/>
      <c r="I538" s="70"/>
      <c r="J538" s="70"/>
      <c r="K538" s="34" t="s">
        <v>65</v>
      </c>
      <c r="L538" s="77">
        <v>538</v>
      </c>
      <c r="M538" s="77"/>
      <c r="N538" s="72"/>
      <c r="O538" s="79" t="s">
        <v>610</v>
      </c>
      <c r="P538" s="79">
        <v>1</v>
      </c>
      <c r="Q538" s="78" t="str">
        <f>REPLACE(INDEX(GroupVertices[Group],MATCH(Edges[[#This Row],[Vertex 1]],GroupVertices[Vertex],0)),1,1,"")</f>
        <v>agnet Brains</v>
      </c>
      <c r="R538" s="78" t="str">
        <f>REPLACE(INDEX(GroupVertices[Group],MATCH(Edges[[#This Row],[Vertex 2]],GroupVertices[Vertex],0)),1,1,"")</f>
        <v>iological World</v>
      </c>
    </row>
    <row r="539" spans="1:18" ht="15">
      <c r="A539" s="64" t="s">
        <v>199</v>
      </c>
      <c r="B539" s="64" t="s">
        <v>2303</v>
      </c>
      <c r="C539" s="65" t="s">
        <v>4443</v>
      </c>
      <c r="D539" s="66">
        <v>3</v>
      </c>
      <c r="E539" s="67"/>
      <c r="F539" s="68">
        <v>40</v>
      </c>
      <c r="G539" s="65"/>
      <c r="H539" s="69"/>
      <c r="I539" s="70"/>
      <c r="J539" s="70"/>
      <c r="K539" s="34" t="s">
        <v>65</v>
      </c>
      <c r="L539" s="77">
        <v>539</v>
      </c>
      <c r="M539" s="77"/>
      <c r="N539" s="72"/>
      <c r="O539" s="79" t="s">
        <v>610</v>
      </c>
      <c r="P539" s="79">
        <v>1</v>
      </c>
      <c r="Q539" s="78" t="str">
        <f>REPLACE(INDEX(GroupVertices[Group],MATCH(Edges[[#This Row],[Vertex 1]],GroupVertices[Vertex],0)),1,1,"")</f>
        <v>agnet Brains</v>
      </c>
      <c r="R539" s="78" t="str">
        <f>REPLACE(INDEX(GroupVertices[Group],MATCH(Edges[[#This Row],[Vertex 2]],GroupVertices[Vertex],0)),1,1,"")</f>
        <v>TUDY.PSYCHOLOGY</v>
      </c>
    </row>
    <row r="540" spans="1:18" ht="15">
      <c r="A540" s="64" t="s">
        <v>199</v>
      </c>
      <c r="B540" s="64" t="s">
        <v>2304</v>
      </c>
      <c r="C540" s="65" t="s">
        <v>4443</v>
      </c>
      <c r="D540" s="66">
        <v>3</v>
      </c>
      <c r="E540" s="67"/>
      <c r="F540" s="68">
        <v>40</v>
      </c>
      <c r="G540" s="65"/>
      <c r="H540" s="69"/>
      <c r="I540" s="70"/>
      <c r="J540" s="70"/>
      <c r="K540" s="34" t="s">
        <v>65</v>
      </c>
      <c r="L540" s="77">
        <v>540</v>
      </c>
      <c r="M540" s="77"/>
      <c r="N540" s="72"/>
      <c r="O540" s="79" t="s">
        <v>610</v>
      </c>
      <c r="P540" s="79">
        <v>1</v>
      </c>
      <c r="Q540" s="78" t="str">
        <f>REPLACE(INDEX(GroupVertices[Group],MATCH(Edges[[#This Row],[Vertex 1]],GroupVertices[Vertex],0)),1,1,"")</f>
        <v>agnet Brains</v>
      </c>
      <c r="R540" s="78" t="str">
        <f>REPLACE(INDEX(GroupVertices[Group],MATCH(Edges[[#This Row],[Vertex 2]],GroupVertices[Vertex],0)),1,1,"")</f>
        <v>han Saddam</v>
      </c>
    </row>
    <row r="541" spans="1:18" ht="15">
      <c r="A541" s="64" t="s">
        <v>199</v>
      </c>
      <c r="B541" s="64" t="s">
        <v>2305</v>
      </c>
      <c r="C541" s="65" t="s">
        <v>4443</v>
      </c>
      <c r="D541" s="66">
        <v>3</v>
      </c>
      <c r="E541" s="67"/>
      <c r="F541" s="68">
        <v>40</v>
      </c>
      <c r="G541" s="65"/>
      <c r="H541" s="69"/>
      <c r="I541" s="70"/>
      <c r="J541" s="70"/>
      <c r="K541" s="34" t="s">
        <v>65</v>
      </c>
      <c r="L541" s="77">
        <v>541</v>
      </c>
      <c r="M541" s="77"/>
      <c r="N541" s="72"/>
      <c r="O541" s="79" t="s">
        <v>610</v>
      </c>
      <c r="P541" s="79">
        <v>1</v>
      </c>
      <c r="Q541" s="78" t="str">
        <f>REPLACE(INDEX(GroupVertices[Group],MATCH(Edges[[#This Row],[Vertex 1]],GroupVertices[Vertex],0)),1,1,"")</f>
        <v>agnet Brains</v>
      </c>
      <c r="R541" s="78" t="str">
        <f>REPLACE(INDEX(GroupVertices[Group],MATCH(Edges[[#This Row],[Vertex 2]],GroupVertices[Vertex],0)),1,1,"")</f>
        <v>eremy Bassetti</v>
      </c>
    </row>
    <row r="542" spans="1:18" ht="15">
      <c r="A542" s="64" t="s">
        <v>199</v>
      </c>
      <c r="B542" s="64" t="s">
        <v>2306</v>
      </c>
      <c r="C542" s="65" t="s">
        <v>4443</v>
      </c>
      <c r="D542" s="66">
        <v>3</v>
      </c>
      <c r="E542" s="67"/>
      <c r="F542" s="68">
        <v>40</v>
      </c>
      <c r="G542" s="65"/>
      <c r="H542" s="69"/>
      <c r="I542" s="70"/>
      <c r="J542" s="70"/>
      <c r="K542" s="34" t="s">
        <v>65</v>
      </c>
      <c r="L542" s="77">
        <v>542</v>
      </c>
      <c r="M542" s="77"/>
      <c r="N542" s="72"/>
      <c r="O542" s="79" t="s">
        <v>610</v>
      </c>
      <c r="P542" s="79">
        <v>1</v>
      </c>
      <c r="Q542" s="78" t="str">
        <f>REPLACE(INDEX(GroupVertices[Group],MATCH(Edges[[#This Row],[Vertex 1]],GroupVertices[Vertex],0)),1,1,"")</f>
        <v>agnet Brains</v>
      </c>
      <c r="R542" s="78" t="str">
        <f>REPLACE(INDEX(GroupVertices[Group],MATCH(Edges[[#This Row],[Vertex 2]],GroupVertices[Vertex],0)),1,1,"")</f>
        <v>nacademy Class 11 &amp; 12</v>
      </c>
    </row>
    <row r="543" spans="1:18" ht="15">
      <c r="A543" s="64" t="s">
        <v>199</v>
      </c>
      <c r="B543" s="64" t="s">
        <v>2307</v>
      </c>
      <c r="C543" s="65" t="s">
        <v>4443</v>
      </c>
      <c r="D543" s="66">
        <v>3</v>
      </c>
      <c r="E543" s="67"/>
      <c r="F543" s="68">
        <v>40</v>
      </c>
      <c r="G543" s="65"/>
      <c r="H543" s="69"/>
      <c r="I543" s="70"/>
      <c r="J543" s="70"/>
      <c r="K543" s="34" t="s">
        <v>65</v>
      </c>
      <c r="L543" s="77">
        <v>543</v>
      </c>
      <c r="M543" s="77"/>
      <c r="N543" s="72"/>
      <c r="O543" s="79" t="s">
        <v>610</v>
      </c>
      <c r="P543" s="79">
        <v>1</v>
      </c>
      <c r="Q543" s="78" t="str">
        <f>REPLACE(INDEX(GroupVertices[Group],MATCH(Edges[[#This Row],[Vertex 1]],GroupVertices[Vertex],0)),1,1,"")</f>
        <v>agnet Brains</v>
      </c>
      <c r="R543" s="78" t="str">
        <f>REPLACE(INDEX(GroupVertices[Group],MATCH(Edges[[#This Row],[Vertex 2]],GroupVertices[Vertex],0)),1,1,"")</f>
        <v>agnet Brains</v>
      </c>
    </row>
    <row r="544" spans="1:18" ht="15">
      <c r="A544" s="64" t="s">
        <v>199</v>
      </c>
      <c r="B544" s="64" t="s">
        <v>2308</v>
      </c>
      <c r="C544" s="65" t="s">
        <v>4443</v>
      </c>
      <c r="D544" s="66">
        <v>3</v>
      </c>
      <c r="E544" s="67"/>
      <c r="F544" s="68">
        <v>40</v>
      </c>
      <c r="G544" s="65"/>
      <c r="H544" s="69"/>
      <c r="I544" s="70"/>
      <c r="J544" s="70"/>
      <c r="K544" s="34" t="s">
        <v>65</v>
      </c>
      <c r="L544" s="77">
        <v>544</v>
      </c>
      <c r="M544" s="77"/>
      <c r="N544" s="72"/>
      <c r="O544" s="79" t="s">
        <v>610</v>
      </c>
      <c r="P544" s="79">
        <v>1</v>
      </c>
      <c r="Q544" s="78" t="str">
        <f>REPLACE(INDEX(GroupVertices[Group],MATCH(Edges[[#This Row],[Vertex 1]],GroupVertices[Vertex],0)),1,1,"")</f>
        <v>agnet Brains</v>
      </c>
      <c r="R544" s="78" t="str">
        <f>REPLACE(INDEX(GroupVertices[Group],MATCH(Edges[[#This Row],[Vertex 2]],GroupVertices[Vertex],0)),1,1,"")</f>
        <v>agnet Brains</v>
      </c>
    </row>
    <row r="545" spans="1:18" ht="15">
      <c r="A545" s="64" t="s">
        <v>199</v>
      </c>
      <c r="B545" s="64" t="s">
        <v>2309</v>
      </c>
      <c r="C545" s="65" t="s">
        <v>4443</v>
      </c>
      <c r="D545" s="66">
        <v>3</v>
      </c>
      <c r="E545" s="67"/>
      <c r="F545" s="68">
        <v>40</v>
      </c>
      <c r="G545" s="65"/>
      <c r="H545" s="69"/>
      <c r="I545" s="70"/>
      <c r="J545" s="70"/>
      <c r="K545" s="34" t="s">
        <v>65</v>
      </c>
      <c r="L545" s="77">
        <v>545</v>
      </c>
      <c r="M545" s="77"/>
      <c r="N545" s="72"/>
      <c r="O545" s="79" t="s">
        <v>610</v>
      </c>
      <c r="P545" s="79">
        <v>1</v>
      </c>
      <c r="Q545" s="78" t="str">
        <f>REPLACE(INDEX(GroupVertices[Group],MATCH(Edges[[#This Row],[Vertex 1]],GroupVertices[Vertex],0)),1,1,"")</f>
        <v>agnet Brains</v>
      </c>
      <c r="R545" s="78" t="str">
        <f>REPLACE(INDEX(GroupVertices[Group],MATCH(Edges[[#This Row],[Vertex 2]],GroupVertices[Vertex],0)),1,1,"")</f>
        <v>agnet Brains</v>
      </c>
    </row>
    <row r="546" spans="1:18" ht="15">
      <c r="A546" s="64" t="s">
        <v>199</v>
      </c>
      <c r="B546" s="64" t="s">
        <v>2310</v>
      </c>
      <c r="C546" s="65" t="s">
        <v>4443</v>
      </c>
      <c r="D546" s="66">
        <v>3</v>
      </c>
      <c r="E546" s="67"/>
      <c r="F546" s="68">
        <v>40</v>
      </c>
      <c r="G546" s="65"/>
      <c r="H546" s="69"/>
      <c r="I546" s="70"/>
      <c r="J546" s="70"/>
      <c r="K546" s="34" t="s">
        <v>65</v>
      </c>
      <c r="L546" s="77">
        <v>546</v>
      </c>
      <c r="M546" s="77"/>
      <c r="N546" s="72"/>
      <c r="O546" s="79" t="s">
        <v>610</v>
      </c>
      <c r="P546" s="79">
        <v>1</v>
      </c>
      <c r="Q546" s="78" t="str">
        <f>REPLACE(INDEX(GroupVertices[Group],MATCH(Edges[[#This Row],[Vertex 1]],GroupVertices[Vertex],0)),1,1,"")</f>
        <v>agnet Brains</v>
      </c>
      <c r="R546" s="78" t="str">
        <f>REPLACE(INDEX(GroupVertices[Group],MATCH(Edges[[#This Row],[Vertex 2]],GroupVertices[Vertex],0)),1,1,"")</f>
        <v>agnet Brains</v>
      </c>
    </row>
    <row r="547" spans="1:18" ht="15">
      <c r="A547" s="64" t="s">
        <v>199</v>
      </c>
      <c r="B547" s="64" t="s">
        <v>2311</v>
      </c>
      <c r="C547" s="65" t="s">
        <v>4443</v>
      </c>
      <c r="D547" s="66">
        <v>3</v>
      </c>
      <c r="E547" s="67"/>
      <c r="F547" s="68">
        <v>40</v>
      </c>
      <c r="G547" s="65"/>
      <c r="H547" s="69"/>
      <c r="I547" s="70"/>
      <c r="J547" s="70"/>
      <c r="K547" s="34" t="s">
        <v>65</v>
      </c>
      <c r="L547" s="77">
        <v>547</v>
      </c>
      <c r="M547" s="77"/>
      <c r="N547" s="72"/>
      <c r="O547" s="79" t="s">
        <v>610</v>
      </c>
      <c r="P547" s="79">
        <v>1</v>
      </c>
      <c r="Q547" s="78" t="str">
        <f>REPLACE(INDEX(GroupVertices[Group],MATCH(Edges[[#This Row],[Vertex 1]],GroupVertices[Vertex],0)),1,1,"")</f>
        <v>agnet Brains</v>
      </c>
      <c r="R547" s="78" t="str">
        <f>REPLACE(INDEX(GroupVertices[Group],MATCH(Edges[[#This Row],[Vertex 2]],GroupVertices[Vertex],0)),1,1,"")</f>
        <v>agnet Brains</v>
      </c>
    </row>
    <row r="548" spans="1:18" ht="15">
      <c r="A548" s="64" t="s">
        <v>199</v>
      </c>
      <c r="B548" s="64" t="s">
        <v>309</v>
      </c>
      <c r="C548" s="65" t="s">
        <v>4443</v>
      </c>
      <c r="D548" s="66">
        <v>3</v>
      </c>
      <c r="E548" s="67"/>
      <c r="F548" s="68">
        <v>40</v>
      </c>
      <c r="G548" s="65"/>
      <c r="H548" s="69"/>
      <c r="I548" s="70"/>
      <c r="J548" s="70"/>
      <c r="K548" s="34" t="s">
        <v>65</v>
      </c>
      <c r="L548" s="77">
        <v>548</v>
      </c>
      <c r="M548" s="77"/>
      <c r="N548" s="72"/>
      <c r="O548" s="79" t="s">
        <v>610</v>
      </c>
      <c r="P548" s="79">
        <v>1</v>
      </c>
      <c r="Q548" s="78" t="str">
        <f>REPLACE(INDEX(GroupVertices[Group],MATCH(Edges[[#This Row],[Vertex 1]],GroupVertices[Vertex],0)),1,1,"")</f>
        <v>agnet Brains</v>
      </c>
      <c r="R548" s="78" t="str">
        <f>REPLACE(INDEX(GroupVertices[Group],MATCH(Edges[[#This Row],[Vertex 2]],GroupVertices[Vertex],0)),1,1,"")</f>
        <v>agnet Brains</v>
      </c>
    </row>
    <row r="549" spans="1:18" ht="15">
      <c r="A549" s="64" t="s">
        <v>199</v>
      </c>
      <c r="B549" s="64" t="s">
        <v>2312</v>
      </c>
      <c r="C549" s="65" t="s">
        <v>4443</v>
      </c>
      <c r="D549" s="66">
        <v>3</v>
      </c>
      <c r="E549" s="67"/>
      <c r="F549" s="68">
        <v>40</v>
      </c>
      <c r="G549" s="65"/>
      <c r="H549" s="69"/>
      <c r="I549" s="70"/>
      <c r="J549" s="70"/>
      <c r="K549" s="34" t="s">
        <v>65</v>
      </c>
      <c r="L549" s="77">
        <v>549</v>
      </c>
      <c r="M549" s="77"/>
      <c r="N549" s="72"/>
      <c r="O549" s="79" t="s">
        <v>610</v>
      </c>
      <c r="P549" s="79">
        <v>1</v>
      </c>
      <c r="Q549" s="78" t="str">
        <f>REPLACE(INDEX(GroupVertices[Group],MATCH(Edges[[#This Row],[Vertex 1]],GroupVertices[Vertex],0)),1,1,"")</f>
        <v>agnet Brains</v>
      </c>
      <c r="R549" s="78" t="str">
        <f>REPLACE(INDEX(GroupVertices[Group],MATCH(Edges[[#This Row],[Vertex 2]],GroupVertices[Vertex],0)),1,1,"")</f>
        <v>agnet Brains</v>
      </c>
    </row>
    <row r="550" spans="1:18" ht="15">
      <c r="A550" s="64" t="s">
        <v>199</v>
      </c>
      <c r="B550" s="64" t="s">
        <v>2313</v>
      </c>
      <c r="C550" s="65" t="s">
        <v>4443</v>
      </c>
      <c r="D550" s="66">
        <v>3</v>
      </c>
      <c r="E550" s="67"/>
      <c r="F550" s="68">
        <v>40</v>
      </c>
      <c r="G550" s="65"/>
      <c r="H550" s="69"/>
      <c r="I550" s="70"/>
      <c r="J550" s="70"/>
      <c r="K550" s="34" t="s">
        <v>65</v>
      </c>
      <c r="L550" s="77">
        <v>550</v>
      </c>
      <c r="M550" s="77"/>
      <c r="N550" s="72"/>
      <c r="O550" s="79" t="s">
        <v>610</v>
      </c>
      <c r="P550" s="79">
        <v>1</v>
      </c>
      <c r="Q550" s="78" t="str">
        <f>REPLACE(INDEX(GroupVertices[Group],MATCH(Edges[[#This Row],[Vertex 1]],GroupVertices[Vertex],0)),1,1,"")</f>
        <v>agnet Brains</v>
      </c>
      <c r="R550" s="78" t="str">
        <f>REPLACE(INDEX(GroupVertices[Group],MATCH(Edges[[#This Row],[Vertex 2]],GroupVertices[Vertex],0)),1,1,"")</f>
        <v>agnet Brains</v>
      </c>
    </row>
    <row r="551" spans="1:18" ht="15">
      <c r="A551" s="64" t="s">
        <v>199</v>
      </c>
      <c r="B551" s="64" t="s">
        <v>312</v>
      </c>
      <c r="C551" s="65" t="s">
        <v>4443</v>
      </c>
      <c r="D551" s="66">
        <v>3</v>
      </c>
      <c r="E551" s="67"/>
      <c r="F551" s="68">
        <v>40</v>
      </c>
      <c r="G551" s="65"/>
      <c r="H551" s="69"/>
      <c r="I551" s="70"/>
      <c r="J551" s="70"/>
      <c r="K551" s="34" t="s">
        <v>65</v>
      </c>
      <c r="L551" s="77">
        <v>551</v>
      </c>
      <c r="M551" s="77"/>
      <c r="N551" s="72"/>
      <c r="O551" s="79" t="s">
        <v>610</v>
      </c>
      <c r="P551" s="79">
        <v>1</v>
      </c>
      <c r="Q551" s="78" t="str">
        <f>REPLACE(INDEX(GroupVertices[Group],MATCH(Edges[[#This Row],[Vertex 1]],GroupVertices[Vertex],0)),1,1,"")</f>
        <v>agnet Brains</v>
      </c>
      <c r="R551" s="78" t="str">
        <f>REPLACE(INDEX(GroupVertices[Group],MATCH(Edges[[#This Row],[Vertex 2]],GroupVertices[Vertex],0)),1,1,"")</f>
        <v>agnet Brains</v>
      </c>
    </row>
    <row r="552" spans="1:18" ht="15">
      <c r="A552" s="64" t="s">
        <v>199</v>
      </c>
      <c r="B552" s="64" t="s">
        <v>311</v>
      </c>
      <c r="C552" s="65" t="s">
        <v>4443</v>
      </c>
      <c r="D552" s="66">
        <v>3</v>
      </c>
      <c r="E552" s="67"/>
      <c r="F552" s="68">
        <v>40</v>
      </c>
      <c r="G552" s="65"/>
      <c r="H552" s="69"/>
      <c r="I552" s="70"/>
      <c r="J552" s="70"/>
      <c r="K552" s="34" t="s">
        <v>65</v>
      </c>
      <c r="L552" s="77">
        <v>552</v>
      </c>
      <c r="M552" s="77"/>
      <c r="N552" s="72"/>
      <c r="O552" s="79" t="s">
        <v>610</v>
      </c>
      <c r="P552" s="79">
        <v>1</v>
      </c>
      <c r="Q552" s="78" t="str">
        <f>REPLACE(INDEX(GroupVertices[Group],MATCH(Edges[[#This Row],[Vertex 1]],GroupVertices[Vertex],0)),1,1,"")</f>
        <v>agnet Brains</v>
      </c>
      <c r="R552" s="78" t="str">
        <f>REPLACE(INDEX(GroupVertices[Group],MATCH(Edges[[#This Row],[Vertex 2]],GroupVertices[Vertex],0)),1,1,"")</f>
        <v>agnet Brains</v>
      </c>
    </row>
    <row r="553" spans="1:18" ht="15">
      <c r="A553" s="64" t="s">
        <v>199</v>
      </c>
      <c r="B553" s="64" t="s">
        <v>310</v>
      </c>
      <c r="C553" s="65" t="s">
        <v>4443</v>
      </c>
      <c r="D553" s="66">
        <v>3</v>
      </c>
      <c r="E553" s="67"/>
      <c r="F553" s="68">
        <v>40</v>
      </c>
      <c r="G553" s="65"/>
      <c r="H553" s="69"/>
      <c r="I553" s="70"/>
      <c r="J553" s="70"/>
      <c r="K553" s="34" t="s">
        <v>65</v>
      </c>
      <c r="L553" s="77">
        <v>553</v>
      </c>
      <c r="M553" s="77"/>
      <c r="N553" s="72"/>
      <c r="O553" s="79" t="s">
        <v>610</v>
      </c>
      <c r="P553" s="79">
        <v>1</v>
      </c>
      <c r="Q553" s="78" t="str">
        <f>REPLACE(INDEX(GroupVertices[Group],MATCH(Edges[[#This Row],[Vertex 1]],GroupVertices[Vertex],0)),1,1,"")</f>
        <v>agnet Brains</v>
      </c>
      <c r="R553" s="78" t="str">
        <f>REPLACE(INDEX(GroupVertices[Group],MATCH(Edges[[#This Row],[Vertex 2]],GroupVertices[Vertex],0)),1,1,"")</f>
        <v>agnet Brains</v>
      </c>
    </row>
    <row r="554" spans="1:18" ht="15">
      <c r="A554" s="64" t="s">
        <v>199</v>
      </c>
      <c r="B554" s="64" t="s">
        <v>315</v>
      </c>
      <c r="C554" s="65" t="s">
        <v>4443</v>
      </c>
      <c r="D554" s="66">
        <v>3</v>
      </c>
      <c r="E554" s="67"/>
      <c r="F554" s="68">
        <v>40</v>
      </c>
      <c r="G554" s="65"/>
      <c r="H554" s="69"/>
      <c r="I554" s="70"/>
      <c r="J554" s="70"/>
      <c r="K554" s="34" t="s">
        <v>65</v>
      </c>
      <c r="L554" s="77">
        <v>554</v>
      </c>
      <c r="M554" s="77"/>
      <c r="N554" s="72"/>
      <c r="O554" s="79" t="s">
        <v>610</v>
      </c>
      <c r="P554" s="79">
        <v>1</v>
      </c>
      <c r="Q554" s="78" t="str">
        <f>REPLACE(INDEX(GroupVertices[Group],MATCH(Edges[[#This Row],[Vertex 1]],GroupVertices[Vertex],0)),1,1,"")</f>
        <v>agnet Brains</v>
      </c>
      <c r="R554" s="78" t="str">
        <f>REPLACE(INDEX(GroupVertices[Group],MATCH(Edges[[#This Row],[Vertex 2]],GroupVertices[Vertex],0)),1,1,"")</f>
        <v>agnet Brains</v>
      </c>
    </row>
    <row r="555" spans="1:18" ht="15">
      <c r="A555" s="64" t="s">
        <v>199</v>
      </c>
      <c r="B555" s="64" t="s">
        <v>2314</v>
      </c>
      <c r="C555" s="65" t="s">
        <v>4443</v>
      </c>
      <c r="D555" s="66">
        <v>3</v>
      </c>
      <c r="E555" s="67"/>
      <c r="F555" s="68">
        <v>40</v>
      </c>
      <c r="G555" s="65"/>
      <c r="H555" s="69"/>
      <c r="I555" s="70"/>
      <c r="J555" s="70"/>
      <c r="K555" s="34" t="s">
        <v>65</v>
      </c>
      <c r="L555" s="77">
        <v>555</v>
      </c>
      <c r="M555" s="77"/>
      <c r="N555" s="72"/>
      <c r="O555" s="79" t="s">
        <v>610</v>
      </c>
      <c r="P555" s="79">
        <v>1</v>
      </c>
      <c r="Q555" s="78" t="str">
        <f>REPLACE(INDEX(GroupVertices[Group],MATCH(Edges[[#This Row],[Vertex 1]],GroupVertices[Vertex],0)),1,1,"")</f>
        <v>agnet Brains</v>
      </c>
      <c r="R555" s="78" t="str">
        <f>REPLACE(INDEX(GroupVertices[Group],MATCH(Edges[[#This Row],[Vertex 2]],GroupVertices[Vertex],0)),1,1,"")</f>
        <v>agnet Brains</v>
      </c>
    </row>
    <row r="556" spans="1:18" ht="15">
      <c r="A556" s="64" t="s">
        <v>199</v>
      </c>
      <c r="B556" s="64" t="s">
        <v>313</v>
      </c>
      <c r="C556" s="65" t="s">
        <v>4443</v>
      </c>
      <c r="D556" s="66">
        <v>3</v>
      </c>
      <c r="E556" s="67"/>
      <c r="F556" s="68">
        <v>40</v>
      </c>
      <c r="G556" s="65"/>
      <c r="H556" s="69"/>
      <c r="I556" s="70"/>
      <c r="J556" s="70"/>
      <c r="K556" s="34" t="s">
        <v>65</v>
      </c>
      <c r="L556" s="77">
        <v>556</v>
      </c>
      <c r="M556" s="77"/>
      <c r="N556" s="72"/>
      <c r="O556" s="79" t="s">
        <v>610</v>
      </c>
      <c r="P556" s="79">
        <v>1</v>
      </c>
      <c r="Q556" s="78" t="str">
        <f>REPLACE(INDEX(GroupVertices[Group],MATCH(Edges[[#This Row],[Vertex 1]],GroupVertices[Vertex],0)),1,1,"")</f>
        <v>agnet Brains</v>
      </c>
      <c r="R556" s="78" t="str">
        <f>REPLACE(INDEX(GroupVertices[Group],MATCH(Edges[[#This Row],[Vertex 2]],GroupVertices[Vertex],0)),1,1,"")</f>
        <v>agnet Brains</v>
      </c>
    </row>
    <row r="557" spans="1:18" ht="15">
      <c r="A557" s="64" t="s">
        <v>199</v>
      </c>
      <c r="B557" s="64" t="s">
        <v>314</v>
      </c>
      <c r="C557" s="65" t="s">
        <v>4443</v>
      </c>
      <c r="D557" s="66">
        <v>3</v>
      </c>
      <c r="E557" s="67"/>
      <c r="F557" s="68">
        <v>40</v>
      </c>
      <c r="G557" s="65"/>
      <c r="H557" s="69"/>
      <c r="I557" s="70"/>
      <c r="J557" s="70"/>
      <c r="K557" s="34" t="s">
        <v>65</v>
      </c>
      <c r="L557" s="77">
        <v>557</v>
      </c>
      <c r="M557" s="77"/>
      <c r="N557" s="72"/>
      <c r="O557" s="79" t="s">
        <v>610</v>
      </c>
      <c r="P557" s="79">
        <v>1</v>
      </c>
      <c r="Q557" s="78" t="str">
        <f>REPLACE(INDEX(GroupVertices[Group],MATCH(Edges[[#This Row],[Vertex 1]],GroupVertices[Vertex],0)),1,1,"")</f>
        <v>agnet Brains</v>
      </c>
      <c r="R557" s="78" t="str">
        <f>REPLACE(INDEX(GroupVertices[Group],MATCH(Edges[[#This Row],[Vertex 2]],GroupVertices[Vertex],0)),1,1,"")</f>
        <v>agnet Brains</v>
      </c>
    </row>
    <row r="558" spans="1:18" ht="15">
      <c r="A558" s="64" t="s">
        <v>199</v>
      </c>
      <c r="B558" s="64" t="s">
        <v>316</v>
      </c>
      <c r="C558" s="65" t="s">
        <v>4443</v>
      </c>
      <c r="D558" s="66">
        <v>3</v>
      </c>
      <c r="E558" s="67"/>
      <c r="F558" s="68">
        <v>40</v>
      </c>
      <c r="G558" s="65"/>
      <c r="H558" s="69"/>
      <c r="I558" s="70"/>
      <c r="J558" s="70"/>
      <c r="K558" s="34" t="s">
        <v>65</v>
      </c>
      <c r="L558" s="77">
        <v>558</v>
      </c>
      <c r="M558" s="77"/>
      <c r="N558" s="72"/>
      <c r="O558" s="79" t="s">
        <v>610</v>
      </c>
      <c r="P558" s="79">
        <v>1</v>
      </c>
      <c r="Q558" s="78" t="str">
        <f>REPLACE(INDEX(GroupVertices[Group],MATCH(Edges[[#This Row],[Vertex 1]],GroupVertices[Vertex],0)),1,1,"")</f>
        <v>agnet Brains</v>
      </c>
      <c r="R558" s="78" t="str">
        <f>REPLACE(INDEX(GroupVertices[Group],MATCH(Edges[[#This Row],[Vertex 2]],GroupVertices[Vertex],0)),1,1,"")</f>
        <v>agnet Brains</v>
      </c>
    </row>
    <row r="559" spans="1:18" ht="15">
      <c r="A559" s="64" t="s">
        <v>199</v>
      </c>
      <c r="B559" s="64" t="s">
        <v>317</v>
      </c>
      <c r="C559" s="65" t="s">
        <v>4443</v>
      </c>
      <c r="D559" s="66">
        <v>3</v>
      </c>
      <c r="E559" s="67"/>
      <c r="F559" s="68">
        <v>40</v>
      </c>
      <c r="G559" s="65"/>
      <c r="H559" s="69"/>
      <c r="I559" s="70"/>
      <c r="J559" s="70"/>
      <c r="K559" s="34" t="s">
        <v>65</v>
      </c>
      <c r="L559" s="77">
        <v>559</v>
      </c>
      <c r="M559" s="77"/>
      <c r="N559" s="72"/>
      <c r="O559" s="79" t="s">
        <v>610</v>
      </c>
      <c r="P559" s="79">
        <v>1</v>
      </c>
      <c r="Q559" s="78" t="str">
        <f>REPLACE(INDEX(GroupVertices[Group],MATCH(Edges[[#This Row],[Vertex 1]],GroupVertices[Vertex],0)),1,1,"")</f>
        <v>agnet Brains</v>
      </c>
      <c r="R559" s="78" t="str">
        <f>REPLACE(INDEX(GroupVertices[Group],MATCH(Edges[[#This Row],[Vertex 2]],GroupVertices[Vertex],0)),1,1,"")</f>
        <v>agnet Brains</v>
      </c>
    </row>
    <row r="560" spans="1:18" ht="15">
      <c r="A560" s="64" t="s">
        <v>199</v>
      </c>
      <c r="B560" s="64" t="s">
        <v>2315</v>
      </c>
      <c r="C560" s="65" t="s">
        <v>4443</v>
      </c>
      <c r="D560" s="66">
        <v>3</v>
      </c>
      <c r="E560" s="67"/>
      <c r="F560" s="68">
        <v>40</v>
      </c>
      <c r="G560" s="65"/>
      <c r="H560" s="69"/>
      <c r="I560" s="70"/>
      <c r="J560" s="70"/>
      <c r="K560" s="34" t="s">
        <v>65</v>
      </c>
      <c r="L560" s="77">
        <v>560</v>
      </c>
      <c r="M560" s="77"/>
      <c r="N560" s="72"/>
      <c r="O560" s="79" t="s">
        <v>610</v>
      </c>
      <c r="P560" s="79">
        <v>1</v>
      </c>
      <c r="Q560" s="78" t="str">
        <f>REPLACE(INDEX(GroupVertices[Group],MATCH(Edges[[#This Row],[Vertex 1]],GroupVertices[Vertex],0)),1,1,"")</f>
        <v>agnet Brains</v>
      </c>
      <c r="R560" s="78" t="str">
        <f>REPLACE(INDEX(GroupVertices[Group],MATCH(Edges[[#This Row],[Vertex 2]],GroupVertices[Vertex],0)),1,1,"")</f>
        <v>ur Izazi</v>
      </c>
    </row>
    <row r="561" spans="1:18" ht="15">
      <c r="A561" s="64" t="s">
        <v>239</v>
      </c>
      <c r="B561" s="64" t="s">
        <v>2422</v>
      </c>
      <c r="C561" s="65" t="s">
        <v>4443</v>
      </c>
      <c r="D561" s="66">
        <v>3</v>
      </c>
      <c r="E561" s="67"/>
      <c r="F561" s="68">
        <v>40</v>
      </c>
      <c r="G561" s="65"/>
      <c r="H561" s="69"/>
      <c r="I561" s="70"/>
      <c r="J561" s="70"/>
      <c r="K561" s="34" t="s">
        <v>65</v>
      </c>
      <c r="L561" s="77">
        <v>561</v>
      </c>
      <c r="M561" s="77"/>
      <c r="N561" s="72"/>
      <c r="O561" s="79" t="s">
        <v>610</v>
      </c>
      <c r="P561" s="79">
        <v>1</v>
      </c>
      <c r="Q561" s="78" t="str">
        <f>REPLACE(INDEX(GroupVertices[Group],MATCH(Edges[[#This Row],[Vertex 1]],GroupVertices[Vertex],0)),1,1,"")</f>
        <v>lizabeth L. Jeglic Ph.D.</v>
      </c>
      <c r="R561" s="78" t="str">
        <f>REPLACE(INDEX(GroupVertices[Group],MATCH(Edges[[#This Row],[Vertex 2]],GroupVertices[Vertex],0)),1,1,"")</f>
        <v>EX COACHING ACADEMY</v>
      </c>
    </row>
    <row r="562" spans="1:18" ht="15">
      <c r="A562" s="64" t="s">
        <v>239</v>
      </c>
      <c r="B562" s="64" t="s">
        <v>2423</v>
      </c>
      <c r="C562" s="65" t="s">
        <v>4443</v>
      </c>
      <c r="D562" s="66">
        <v>3</v>
      </c>
      <c r="E562" s="67"/>
      <c r="F562" s="68">
        <v>40</v>
      </c>
      <c r="G562" s="65"/>
      <c r="H562" s="69"/>
      <c r="I562" s="70"/>
      <c r="J562" s="70"/>
      <c r="K562" s="34" t="s">
        <v>65</v>
      </c>
      <c r="L562" s="77">
        <v>562</v>
      </c>
      <c r="M562" s="77"/>
      <c r="N562" s="72"/>
      <c r="O562" s="79" t="s">
        <v>610</v>
      </c>
      <c r="P562" s="79">
        <v>1</v>
      </c>
      <c r="Q562" s="78" t="str">
        <f>REPLACE(INDEX(GroupVertices[Group],MATCH(Edges[[#This Row],[Vertex 1]],GroupVertices[Vertex],0)),1,1,"")</f>
        <v>lizabeth L. Jeglic Ph.D.</v>
      </c>
      <c r="R562" s="78" t="str">
        <f>REPLACE(INDEX(GroupVertices[Group],MATCH(Edges[[#This Row],[Vertex 2]],GroupVertices[Vertex],0)),1,1,"")</f>
        <v>MC- Levine Scholar Program</v>
      </c>
    </row>
    <row r="563" spans="1:18" ht="15">
      <c r="A563" s="64" t="s">
        <v>239</v>
      </c>
      <c r="B563" s="64" t="s">
        <v>2424</v>
      </c>
      <c r="C563" s="65" t="s">
        <v>4443</v>
      </c>
      <c r="D563" s="66">
        <v>3</v>
      </c>
      <c r="E563" s="67"/>
      <c r="F563" s="68">
        <v>40</v>
      </c>
      <c r="G563" s="65"/>
      <c r="H563" s="69"/>
      <c r="I563" s="70"/>
      <c r="J563" s="70"/>
      <c r="K563" s="34" t="s">
        <v>65</v>
      </c>
      <c r="L563" s="77">
        <v>563</v>
      </c>
      <c r="M563" s="77"/>
      <c r="N563" s="72"/>
      <c r="O563" s="79" t="s">
        <v>610</v>
      </c>
      <c r="P563" s="79">
        <v>1</v>
      </c>
      <c r="Q563" s="78" t="str">
        <f>REPLACE(INDEX(GroupVertices[Group],MATCH(Edges[[#This Row],[Vertex 1]],GroupVertices[Vertex],0)),1,1,"")</f>
        <v>lizabeth L. Jeglic Ph.D.</v>
      </c>
      <c r="R563" s="78" t="str">
        <f>REPLACE(INDEX(GroupVertices[Group],MATCH(Edges[[#This Row],[Vertex 2]],GroupVertices[Vertex],0)),1,1,"")</f>
        <v>olly Skully</v>
      </c>
    </row>
    <row r="564" spans="1:18" ht="15">
      <c r="A564" s="64" t="s">
        <v>239</v>
      </c>
      <c r="B564" s="64" t="s">
        <v>553</v>
      </c>
      <c r="C564" s="65" t="s">
        <v>4443</v>
      </c>
      <c r="D564" s="66">
        <v>3</v>
      </c>
      <c r="E564" s="67"/>
      <c r="F564" s="68">
        <v>40</v>
      </c>
      <c r="G564" s="65"/>
      <c r="H564" s="69"/>
      <c r="I564" s="70"/>
      <c r="J564" s="70"/>
      <c r="K564" s="34" t="s">
        <v>65</v>
      </c>
      <c r="L564" s="77">
        <v>564</v>
      </c>
      <c r="M564" s="77"/>
      <c r="N564" s="72"/>
      <c r="O564" s="79" t="s">
        <v>610</v>
      </c>
      <c r="P564" s="79">
        <v>1</v>
      </c>
      <c r="Q564" s="78" t="str">
        <f>REPLACE(INDEX(GroupVertices[Group],MATCH(Edges[[#This Row],[Vertex 1]],GroupVertices[Vertex],0)),1,1,"")</f>
        <v>lizabeth L. Jeglic Ph.D.</v>
      </c>
      <c r="R564" s="78" t="str">
        <f>REPLACE(INDEX(GroupVertices[Group],MATCH(Edges[[#This Row],[Vertex 2]],GroupVertices[Vertex],0)),1,1,"")</f>
        <v>rofessor Capron</v>
      </c>
    </row>
    <row r="565" spans="1:18" ht="15">
      <c r="A565" s="64" t="s">
        <v>239</v>
      </c>
      <c r="B565" s="64" t="s">
        <v>2425</v>
      </c>
      <c r="C565" s="65" t="s">
        <v>4443</v>
      </c>
      <c r="D565" s="66">
        <v>3</v>
      </c>
      <c r="E565" s="67"/>
      <c r="F565" s="68">
        <v>40</v>
      </c>
      <c r="G565" s="65"/>
      <c r="H565" s="69"/>
      <c r="I565" s="70"/>
      <c r="J565" s="70"/>
      <c r="K565" s="34" t="s">
        <v>65</v>
      </c>
      <c r="L565" s="77">
        <v>565</v>
      </c>
      <c r="M565" s="77"/>
      <c r="N565" s="72"/>
      <c r="O565" s="79" t="s">
        <v>610</v>
      </c>
      <c r="P565" s="79">
        <v>1</v>
      </c>
      <c r="Q565" s="78" t="str">
        <f>REPLACE(INDEX(GroupVertices[Group],MATCH(Edges[[#This Row],[Vertex 1]],GroupVertices[Vertex],0)),1,1,"")</f>
        <v>lizabeth L. Jeglic Ph.D.</v>
      </c>
      <c r="R565" s="78" t="str">
        <f>REPLACE(INDEX(GroupVertices[Group],MATCH(Edges[[#This Row],[Vertex 2]],GroupVertices[Vertex],0)),1,1,"")</f>
        <v>ealthcare Manager Bae</v>
      </c>
    </row>
    <row r="566" spans="1:18" ht="15">
      <c r="A566" s="64" t="s">
        <v>239</v>
      </c>
      <c r="B566" s="64" t="s">
        <v>552</v>
      </c>
      <c r="C566" s="65" t="s">
        <v>4443</v>
      </c>
      <c r="D566" s="66">
        <v>3</v>
      </c>
      <c r="E566" s="67"/>
      <c r="F566" s="68">
        <v>40</v>
      </c>
      <c r="G566" s="65"/>
      <c r="H566" s="69"/>
      <c r="I566" s="70"/>
      <c r="J566" s="70"/>
      <c r="K566" s="34" t="s">
        <v>65</v>
      </c>
      <c r="L566" s="77">
        <v>566</v>
      </c>
      <c r="M566" s="77"/>
      <c r="N566" s="72"/>
      <c r="O566" s="79" t="s">
        <v>610</v>
      </c>
      <c r="P566" s="79">
        <v>1</v>
      </c>
      <c r="Q566" s="78" t="str">
        <f>REPLACE(INDEX(GroupVertices[Group],MATCH(Edges[[#This Row],[Vertex 1]],GroupVertices[Vertex],0)),1,1,"")</f>
        <v>lizabeth L. Jeglic Ph.D.</v>
      </c>
      <c r="R566" s="78" t="str">
        <f>REPLACE(INDEX(GroupVertices[Group],MATCH(Edges[[#This Row],[Vertex 2]],GroupVertices[Vertex],0)),1,1,"")</f>
        <v>arla Solis</v>
      </c>
    </row>
    <row r="567" spans="1:18" ht="15">
      <c r="A567" s="64" t="s">
        <v>239</v>
      </c>
      <c r="B567" s="64" t="s">
        <v>554</v>
      </c>
      <c r="C567" s="65" t="s">
        <v>4443</v>
      </c>
      <c r="D567" s="66">
        <v>3</v>
      </c>
      <c r="E567" s="67"/>
      <c r="F567" s="68">
        <v>40</v>
      </c>
      <c r="G567" s="65"/>
      <c r="H567" s="69"/>
      <c r="I567" s="70"/>
      <c r="J567" s="70"/>
      <c r="K567" s="34" t="s">
        <v>65</v>
      </c>
      <c r="L567" s="77">
        <v>567</v>
      </c>
      <c r="M567" s="77"/>
      <c r="N567" s="72"/>
      <c r="O567" s="79" t="s">
        <v>610</v>
      </c>
      <c r="P567" s="79">
        <v>1</v>
      </c>
      <c r="Q567" s="78" t="str">
        <f>REPLACE(INDEX(GroupVertices[Group],MATCH(Edges[[#This Row],[Vertex 1]],GroupVertices[Vertex],0)),1,1,"")</f>
        <v>lizabeth L. Jeglic Ph.D.</v>
      </c>
      <c r="R567" s="78" t="str">
        <f>REPLACE(INDEX(GroupVertices[Group],MATCH(Edges[[#This Row],[Vertex 2]],GroupVertices[Vertex],0)),1,1,"")</f>
        <v>MC- Levine Scholar Program</v>
      </c>
    </row>
    <row r="568" spans="1:18" ht="15">
      <c r="A568" s="64" t="s">
        <v>239</v>
      </c>
      <c r="B568" s="64" t="s">
        <v>558</v>
      </c>
      <c r="C568" s="65" t="s">
        <v>4443</v>
      </c>
      <c r="D568" s="66">
        <v>3</v>
      </c>
      <c r="E568" s="67"/>
      <c r="F568" s="68">
        <v>40</v>
      </c>
      <c r="G568" s="65"/>
      <c r="H568" s="69"/>
      <c r="I568" s="70"/>
      <c r="J568" s="70"/>
      <c r="K568" s="34" t="s">
        <v>65</v>
      </c>
      <c r="L568" s="77">
        <v>568</v>
      </c>
      <c r="M568" s="77"/>
      <c r="N568" s="72"/>
      <c r="O568" s="79" t="s">
        <v>610</v>
      </c>
      <c r="P568" s="79">
        <v>1</v>
      </c>
      <c r="Q568" s="78" t="str">
        <f>REPLACE(INDEX(GroupVertices[Group],MATCH(Edges[[#This Row],[Vertex 1]],GroupVertices[Vertex],0)),1,1,"")</f>
        <v>lizabeth L. Jeglic Ph.D.</v>
      </c>
      <c r="R568" s="78" t="str">
        <f>REPLACE(INDEX(GroupVertices[Group],MATCH(Edges[[#This Row],[Vertex 2]],GroupVertices[Vertex],0)),1,1,"")</f>
        <v>lizabeth L. Jeglic Ph.D.</v>
      </c>
    </row>
    <row r="569" spans="1:18" ht="15">
      <c r="A569" s="64" t="s">
        <v>239</v>
      </c>
      <c r="B569" s="64" t="s">
        <v>252</v>
      </c>
      <c r="C569" s="65" t="s">
        <v>4443</v>
      </c>
      <c r="D569" s="66">
        <v>3</v>
      </c>
      <c r="E569" s="67"/>
      <c r="F569" s="68">
        <v>40</v>
      </c>
      <c r="G569" s="65"/>
      <c r="H569" s="69"/>
      <c r="I569" s="70"/>
      <c r="J569" s="70"/>
      <c r="K569" s="34" t="s">
        <v>65</v>
      </c>
      <c r="L569" s="77">
        <v>569</v>
      </c>
      <c r="M569" s="77"/>
      <c r="N569" s="72"/>
      <c r="O569" s="79" t="s">
        <v>610</v>
      </c>
      <c r="P569" s="79">
        <v>1</v>
      </c>
      <c r="Q569" s="78" t="str">
        <f>REPLACE(INDEX(GroupVertices[Group],MATCH(Edges[[#This Row],[Vertex 1]],GroupVertices[Vertex],0)),1,1,"")</f>
        <v>lizabeth L. Jeglic Ph.D.</v>
      </c>
      <c r="R569" s="78" t="str">
        <f>REPLACE(INDEX(GroupVertices[Group],MATCH(Edges[[#This Row],[Vertex 2]],GroupVertices[Vertex],0)),1,1,"")</f>
        <v>G)I-DLE (여자)아이들 (Official YouTube Channel)</v>
      </c>
    </row>
    <row r="570" spans="1:18" ht="15">
      <c r="A570" s="64" t="s">
        <v>239</v>
      </c>
      <c r="B570" s="64" t="s">
        <v>253</v>
      </c>
      <c r="C570" s="65" t="s">
        <v>4443</v>
      </c>
      <c r="D570" s="66">
        <v>3</v>
      </c>
      <c r="E570" s="67"/>
      <c r="F570" s="68">
        <v>40</v>
      </c>
      <c r="G570" s="65"/>
      <c r="H570" s="69"/>
      <c r="I570" s="70"/>
      <c r="J570" s="70"/>
      <c r="K570" s="34" t="s">
        <v>65</v>
      </c>
      <c r="L570" s="77">
        <v>570</v>
      </c>
      <c r="M570" s="77"/>
      <c r="N570" s="72"/>
      <c r="O570" s="79" t="s">
        <v>610</v>
      </c>
      <c r="P570" s="79">
        <v>1</v>
      </c>
      <c r="Q570" s="78" t="str">
        <f>REPLACE(INDEX(GroupVertices[Group],MATCH(Edges[[#This Row],[Vertex 1]],GroupVertices[Vertex],0)),1,1,"")</f>
        <v>lizabeth L. Jeglic Ph.D.</v>
      </c>
      <c r="R570" s="78" t="str">
        <f>REPLACE(INDEX(GroupVertices[Group],MATCH(Edges[[#This Row],[Vertex 2]],GroupVertices[Vertex],0)),1,1,"")</f>
        <v>etflix</v>
      </c>
    </row>
    <row r="571" spans="1:18" ht="15">
      <c r="A571" s="64" t="s">
        <v>239</v>
      </c>
      <c r="B571" s="64" t="s">
        <v>261</v>
      </c>
      <c r="C571" s="65" t="s">
        <v>4443</v>
      </c>
      <c r="D571" s="66">
        <v>3</v>
      </c>
      <c r="E571" s="67"/>
      <c r="F571" s="68">
        <v>40</v>
      </c>
      <c r="G571" s="65"/>
      <c r="H571" s="69"/>
      <c r="I571" s="70"/>
      <c r="J571" s="70"/>
      <c r="K571" s="34" t="s">
        <v>65</v>
      </c>
      <c r="L571" s="77">
        <v>571</v>
      </c>
      <c r="M571" s="77"/>
      <c r="N571" s="72"/>
      <c r="O571" s="79" t="s">
        <v>610</v>
      </c>
      <c r="P571" s="79">
        <v>1</v>
      </c>
      <c r="Q571" s="78" t="str">
        <f>REPLACE(INDEX(GroupVertices[Group],MATCH(Edges[[#This Row],[Vertex 1]],GroupVertices[Vertex],0)),1,1,"")</f>
        <v>lizabeth L. Jeglic Ph.D.</v>
      </c>
      <c r="R571" s="78" t="str">
        <f>REPLACE(INDEX(GroupVertices[Group],MATCH(Edges[[#This Row],[Vertex 2]],GroupVertices[Vertex],0)),1,1,"")</f>
        <v>arkiplier</v>
      </c>
    </row>
    <row r="572" spans="1:18" ht="15">
      <c r="A572" s="64" t="s">
        <v>239</v>
      </c>
      <c r="B572" s="64" t="s">
        <v>262</v>
      </c>
      <c r="C572" s="65" t="s">
        <v>4443</v>
      </c>
      <c r="D572" s="66">
        <v>3</v>
      </c>
      <c r="E572" s="67"/>
      <c r="F572" s="68">
        <v>40</v>
      </c>
      <c r="G572" s="65"/>
      <c r="H572" s="69"/>
      <c r="I572" s="70"/>
      <c r="J572" s="70"/>
      <c r="K572" s="34" t="s">
        <v>65</v>
      </c>
      <c r="L572" s="77">
        <v>572</v>
      </c>
      <c r="M572" s="77"/>
      <c r="N572" s="72"/>
      <c r="O572" s="79" t="s">
        <v>610</v>
      </c>
      <c r="P572" s="79">
        <v>1</v>
      </c>
      <c r="Q572" s="78" t="str">
        <f>REPLACE(INDEX(GroupVertices[Group],MATCH(Edges[[#This Row],[Vertex 1]],GroupVertices[Vertex],0)),1,1,"")</f>
        <v>lizabeth L. Jeglic Ph.D.</v>
      </c>
      <c r="R572" s="78" t="str">
        <f>REPLACE(INDEX(GroupVertices[Group],MATCH(Edges[[#This Row],[Vertex 2]],GroupVertices[Vertex],0)),1,1,"")</f>
        <v>ractical Engineering</v>
      </c>
    </row>
    <row r="573" spans="1:18" ht="15">
      <c r="A573" s="64" t="s">
        <v>239</v>
      </c>
      <c r="B573" s="64" t="s">
        <v>254</v>
      </c>
      <c r="C573" s="65" t="s">
        <v>4443</v>
      </c>
      <c r="D573" s="66">
        <v>3</v>
      </c>
      <c r="E573" s="67"/>
      <c r="F573" s="68">
        <v>40</v>
      </c>
      <c r="G573" s="65"/>
      <c r="H573" s="69"/>
      <c r="I573" s="70"/>
      <c r="J573" s="70"/>
      <c r="K573" s="34" t="s">
        <v>65</v>
      </c>
      <c r="L573" s="77">
        <v>573</v>
      </c>
      <c r="M573" s="77"/>
      <c r="N573" s="72"/>
      <c r="O573" s="79" t="s">
        <v>610</v>
      </c>
      <c r="P573" s="79">
        <v>1</v>
      </c>
      <c r="Q573" s="78" t="str">
        <f>REPLACE(INDEX(GroupVertices[Group],MATCH(Edges[[#This Row],[Vertex 1]],GroupVertices[Vertex],0)),1,1,"")</f>
        <v>lizabeth L. Jeglic Ph.D.</v>
      </c>
      <c r="R573" s="78" t="str">
        <f>REPLACE(INDEX(GroupVertices[Group],MATCH(Edges[[#This Row],[Vertex 2]],GroupVertices[Vertex],0)),1,1,"")</f>
        <v>lash of Clans</v>
      </c>
    </row>
    <row r="574" spans="1:18" ht="15">
      <c r="A574" s="64" t="s">
        <v>239</v>
      </c>
      <c r="B574" s="64" t="s">
        <v>255</v>
      </c>
      <c r="C574" s="65" t="s">
        <v>4443</v>
      </c>
      <c r="D574" s="66">
        <v>3</v>
      </c>
      <c r="E574" s="67"/>
      <c r="F574" s="68">
        <v>40</v>
      </c>
      <c r="G574" s="65"/>
      <c r="H574" s="69"/>
      <c r="I574" s="70"/>
      <c r="J574" s="70"/>
      <c r="K574" s="34" t="s">
        <v>65</v>
      </c>
      <c r="L574" s="77">
        <v>574</v>
      </c>
      <c r="M574" s="77"/>
      <c r="N574" s="72"/>
      <c r="O574" s="79" t="s">
        <v>610</v>
      </c>
      <c r="P574" s="79">
        <v>1</v>
      </c>
      <c r="Q574" s="78" t="str">
        <f>REPLACE(INDEX(GroupVertices[Group],MATCH(Edges[[#This Row],[Vertex 1]],GroupVertices[Vertex],0)),1,1,"")</f>
        <v>lizabeth L. Jeglic Ph.D.</v>
      </c>
      <c r="R574" s="78" t="str">
        <f>REPLACE(INDEX(GroupVertices[Group],MATCH(Edges[[#This Row],[Vertex 2]],GroupVertices[Vertex],0)),1,1,"")</f>
        <v>et's Game It Out</v>
      </c>
    </row>
    <row r="575" spans="1:18" ht="15">
      <c r="A575" s="64" t="s">
        <v>239</v>
      </c>
      <c r="B575" s="64" t="s">
        <v>263</v>
      </c>
      <c r="C575" s="65" t="s">
        <v>4443</v>
      </c>
      <c r="D575" s="66">
        <v>3</v>
      </c>
      <c r="E575" s="67"/>
      <c r="F575" s="68">
        <v>40</v>
      </c>
      <c r="G575" s="65"/>
      <c r="H575" s="69"/>
      <c r="I575" s="70"/>
      <c r="J575" s="70"/>
      <c r="K575" s="34" t="s">
        <v>65</v>
      </c>
      <c r="L575" s="77">
        <v>575</v>
      </c>
      <c r="M575" s="77"/>
      <c r="N575" s="72"/>
      <c r="O575" s="79" t="s">
        <v>610</v>
      </c>
      <c r="P575" s="79">
        <v>1</v>
      </c>
      <c r="Q575" s="78" t="str">
        <f>REPLACE(INDEX(GroupVertices[Group],MATCH(Edges[[#This Row],[Vertex 1]],GroupVertices[Vertex],0)),1,1,"")</f>
        <v>lizabeth L. Jeglic Ph.D.</v>
      </c>
      <c r="R575" s="78" t="str">
        <f>REPLACE(INDEX(GroupVertices[Group],MATCH(Edges[[#This Row],[Vertex 2]],GroupVertices[Vertex],0)),1,1,"")</f>
        <v>ncognito Mode</v>
      </c>
    </row>
    <row r="576" spans="1:18" ht="15">
      <c r="A576" s="64" t="s">
        <v>239</v>
      </c>
      <c r="B576" s="64" t="s">
        <v>256</v>
      </c>
      <c r="C576" s="65" t="s">
        <v>4443</v>
      </c>
      <c r="D576" s="66">
        <v>3</v>
      </c>
      <c r="E576" s="67"/>
      <c r="F576" s="68">
        <v>40</v>
      </c>
      <c r="G576" s="65"/>
      <c r="H576" s="69"/>
      <c r="I576" s="70"/>
      <c r="J576" s="70"/>
      <c r="K576" s="34" t="s">
        <v>65</v>
      </c>
      <c r="L576" s="77">
        <v>576</v>
      </c>
      <c r="M576" s="77"/>
      <c r="N576" s="72"/>
      <c r="O576" s="79" t="s">
        <v>610</v>
      </c>
      <c r="P576" s="79">
        <v>1</v>
      </c>
      <c r="Q576" s="78" t="str">
        <f>REPLACE(INDEX(GroupVertices[Group],MATCH(Edges[[#This Row],[Vertex 1]],GroupVertices[Vertex],0)),1,1,"")</f>
        <v>lizabeth L. Jeglic Ph.D.</v>
      </c>
      <c r="R576" s="78" t="str">
        <f>REPLACE(INDEX(GroupVertices[Group],MATCH(Edges[[#This Row],[Vertex 2]],GroupVertices[Vertex],0)),1,1,"")</f>
        <v>arques Brownlee</v>
      </c>
    </row>
    <row r="577" spans="1:18" ht="15">
      <c r="A577" s="64" t="s">
        <v>239</v>
      </c>
      <c r="B577" s="64" t="s">
        <v>257</v>
      </c>
      <c r="C577" s="65" t="s">
        <v>4443</v>
      </c>
      <c r="D577" s="66">
        <v>3</v>
      </c>
      <c r="E577" s="67"/>
      <c r="F577" s="68">
        <v>40</v>
      </c>
      <c r="G577" s="65"/>
      <c r="H577" s="69"/>
      <c r="I577" s="70"/>
      <c r="J577" s="70"/>
      <c r="K577" s="34" t="s">
        <v>65</v>
      </c>
      <c r="L577" s="77">
        <v>577</v>
      </c>
      <c r="M577" s="77"/>
      <c r="N577" s="72"/>
      <c r="O577" s="79" t="s">
        <v>610</v>
      </c>
      <c r="P577" s="79">
        <v>1</v>
      </c>
      <c r="Q577" s="78" t="str">
        <f>REPLACE(INDEX(GroupVertices[Group],MATCH(Edges[[#This Row],[Vertex 1]],GroupVertices[Vertex],0)),1,1,"")</f>
        <v>lizabeth L. Jeglic Ph.D.</v>
      </c>
      <c r="R577" s="78" t="str">
        <f>REPLACE(INDEX(GroupVertices[Group],MATCH(Edges[[#This Row],[Vertex 2]],GroupVertices[Vertex],0)),1,1,"")</f>
        <v>rchitectural Digest</v>
      </c>
    </row>
    <row r="578" spans="1:18" ht="15">
      <c r="A578" s="64" t="s">
        <v>239</v>
      </c>
      <c r="B578" s="64" t="s">
        <v>258</v>
      </c>
      <c r="C578" s="65" t="s">
        <v>4443</v>
      </c>
      <c r="D578" s="66">
        <v>3</v>
      </c>
      <c r="E578" s="67"/>
      <c r="F578" s="68">
        <v>40</v>
      </c>
      <c r="G578" s="65"/>
      <c r="H578" s="69"/>
      <c r="I578" s="70"/>
      <c r="J578" s="70"/>
      <c r="K578" s="34" t="s">
        <v>65</v>
      </c>
      <c r="L578" s="77">
        <v>578</v>
      </c>
      <c r="M578" s="77"/>
      <c r="N578" s="72"/>
      <c r="O578" s="79" t="s">
        <v>610</v>
      </c>
      <c r="P578" s="79">
        <v>1</v>
      </c>
      <c r="Q578" s="78" t="str">
        <f>REPLACE(INDEX(GroupVertices[Group],MATCH(Edges[[#This Row],[Vertex 1]],GroupVertices[Vertex],0)),1,1,"")</f>
        <v>lizabeth L. Jeglic Ph.D.</v>
      </c>
      <c r="R578" s="78" t="str">
        <f>REPLACE(INDEX(GroupVertices[Group],MATCH(Edges[[#This Row],[Vertex 2]],GroupVertices[Vertex],0)),1,1,"")</f>
        <v>alt Disney Studios</v>
      </c>
    </row>
    <row r="579" spans="1:18" ht="15">
      <c r="A579" s="64" t="s">
        <v>239</v>
      </c>
      <c r="B579" s="64" t="s">
        <v>259</v>
      </c>
      <c r="C579" s="65" t="s">
        <v>4443</v>
      </c>
      <c r="D579" s="66">
        <v>3</v>
      </c>
      <c r="E579" s="67"/>
      <c r="F579" s="68">
        <v>40</v>
      </c>
      <c r="G579" s="65"/>
      <c r="H579" s="69"/>
      <c r="I579" s="70"/>
      <c r="J579" s="70"/>
      <c r="K579" s="34" t="s">
        <v>65</v>
      </c>
      <c r="L579" s="77">
        <v>579</v>
      </c>
      <c r="M579" s="77"/>
      <c r="N579" s="72"/>
      <c r="O579" s="79" t="s">
        <v>610</v>
      </c>
      <c r="P579" s="79">
        <v>1</v>
      </c>
      <c r="Q579" s="78" t="str">
        <f>REPLACE(INDEX(GroupVertices[Group],MATCH(Edges[[#This Row],[Vertex 1]],GroupVertices[Vertex],0)),1,1,"")</f>
        <v>lizabeth L. Jeglic Ph.D.</v>
      </c>
      <c r="R579" s="78" t="str">
        <f>REPLACE(INDEX(GroupVertices[Group],MATCH(Edges[[#This Row],[Vertex 2]],GroupVertices[Vertex],0)),1,1,"")</f>
        <v>kip and Shannon: UNDISPUTED</v>
      </c>
    </row>
    <row r="580" spans="1:18" ht="15">
      <c r="A580" s="64" t="s">
        <v>239</v>
      </c>
      <c r="B580" s="64" t="s">
        <v>260</v>
      </c>
      <c r="C580" s="65" t="s">
        <v>4443</v>
      </c>
      <c r="D580" s="66">
        <v>3</v>
      </c>
      <c r="E580" s="67"/>
      <c r="F580" s="68">
        <v>40</v>
      </c>
      <c r="G580" s="65"/>
      <c r="H580" s="69"/>
      <c r="I580" s="70"/>
      <c r="J580" s="70"/>
      <c r="K580" s="34" t="s">
        <v>65</v>
      </c>
      <c r="L580" s="77">
        <v>580</v>
      </c>
      <c r="M580" s="77"/>
      <c r="N580" s="72"/>
      <c r="O580" s="79" t="s">
        <v>610</v>
      </c>
      <c r="P580" s="79">
        <v>1</v>
      </c>
      <c r="Q580" s="78" t="str">
        <f>REPLACE(INDEX(GroupVertices[Group],MATCH(Edges[[#This Row],[Vertex 1]],GroupVertices[Vertex],0)),1,1,"")</f>
        <v>lizabeth L. Jeglic Ph.D.</v>
      </c>
      <c r="R580" s="78" t="str">
        <f>REPLACE(INDEX(GroupVertices[Group],MATCH(Edges[[#This Row],[Vertex 2]],GroupVertices[Vertex],0)),1,1,"")</f>
        <v>hakira</v>
      </c>
    </row>
    <row r="581" spans="1:18" ht="15">
      <c r="A581" s="64" t="s">
        <v>238</v>
      </c>
      <c r="B581" s="64" t="s">
        <v>2410</v>
      </c>
      <c r="C581" s="65" t="s">
        <v>4443</v>
      </c>
      <c r="D581" s="66">
        <v>3</v>
      </c>
      <c r="E581" s="67"/>
      <c r="F581" s="68">
        <v>40</v>
      </c>
      <c r="G581" s="65"/>
      <c r="H581" s="69"/>
      <c r="I581" s="70"/>
      <c r="J581" s="70"/>
      <c r="K581" s="34" t="s">
        <v>65</v>
      </c>
      <c r="L581" s="77">
        <v>581</v>
      </c>
      <c r="M581" s="77"/>
      <c r="N581" s="72"/>
      <c r="O581" s="79" t="s">
        <v>610</v>
      </c>
      <c r="P581" s="79">
        <v>1</v>
      </c>
      <c r="Q581" s="78" t="str">
        <f>REPLACE(INDEX(GroupVertices[Group],MATCH(Edges[[#This Row],[Vertex 1]],GroupVertices[Vertex],0)),1,1,"")</f>
        <v>iktor Burlaka</v>
      </c>
      <c r="R581" s="78" t="str">
        <f>REPLACE(INDEX(GroupVertices[Group],MATCH(Edges[[#This Row],[Vertex 2]],GroupVertices[Vertex],0)),1,1,"")</f>
        <v>losedsocket</v>
      </c>
    </row>
    <row r="582" spans="1:18" ht="15">
      <c r="A582" s="64" t="s">
        <v>238</v>
      </c>
      <c r="B582" s="64" t="s">
        <v>2411</v>
      </c>
      <c r="C582" s="65" t="s">
        <v>4443</v>
      </c>
      <c r="D582" s="66">
        <v>3</v>
      </c>
      <c r="E582" s="67"/>
      <c r="F582" s="68">
        <v>40</v>
      </c>
      <c r="G582" s="65"/>
      <c r="H582" s="69"/>
      <c r="I582" s="70"/>
      <c r="J582" s="70"/>
      <c r="K582" s="34" t="s">
        <v>65</v>
      </c>
      <c r="L582" s="77">
        <v>582</v>
      </c>
      <c r="M582" s="77"/>
      <c r="N582" s="72"/>
      <c r="O582" s="79" t="s">
        <v>610</v>
      </c>
      <c r="P582" s="79">
        <v>1</v>
      </c>
      <c r="Q582" s="78" t="str">
        <f>REPLACE(INDEX(GroupVertices[Group],MATCH(Edges[[#This Row],[Vertex 1]],GroupVertices[Vertex],0)),1,1,"")</f>
        <v>iktor Burlaka</v>
      </c>
      <c r="R582" s="78" t="str">
        <f>REPLACE(INDEX(GroupVertices[Group],MATCH(Edges[[#This Row],[Vertex 2]],GroupVertices[Vertex],0)),1,1,"")</f>
        <v>implest</v>
      </c>
    </row>
    <row r="583" spans="1:18" ht="15">
      <c r="A583" s="64" t="s">
        <v>238</v>
      </c>
      <c r="B583" s="64" t="s">
        <v>2412</v>
      </c>
      <c r="C583" s="65" t="s">
        <v>4443</v>
      </c>
      <c r="D583" s="66">
        <v>3</v>
      </c>
      <c r="E583" s="67"/>
      <c r="F583" s="68">
        <v>40</v>
      </c>
      <c r="G583" s="65"/>
      <c r="H583" s="69"/>
      <c r="I583" s="70"/>
      <c r="J583" s="70"/>
      <c r="K583" s="34" t="s">
        <v>65</v>
      </c>
      <c r="L583" s="77">
        <v>583</v>
      </c>
      <c r="M583" s="77"/>
      <c r="N583" s="72"/>
      <c r="O583" s="79" t="s">
        <v>610</v>
      </c>
      <c r="P583" s="79">
        <v>1</v>
      </c>
      <c r="Q583" s="78" t="str">
        <f>REPLACE(INDEX(GroupVertices[Group],MATCH(Edges[[#This Row],[Vertex 1]],GroupVertices[Vertex],0)),1,1,"")</f>
        <v>iktor Burlaka</v>
      </c>
      <c r="R583" s="78" t="str">
        <f>REPLACE(INDEX(GroupVertices[Group],MATCH(Edges[[#This Row],[Vertex 2]],GroupVertices[Vertex],0)),1,1,"")</f>
        <v>olver Tutor</v>
      </c>
    </row>
    <row r="584" spans="1:18" ht="15">
      <c r="A584" s="64" t="s">
        <v>238</v>
      </c>
      <c r="B584" s="64" t="s">
        <v>2413</v>
      </c>
      <c r="C584" s="65" t="s">
        <v>4443</v>
      </c>
      <c r="D584" s="66">
        <v>3</v>
      </c>
      <c r="E584" s="67"/>
      <c r="F584" s="68">
        <v>40</v>
      </c>
      <c r="G584" s="65"/>
      <c r="H584" s="69"/>
      <c r="I584" s="70"/>
      <c r="J584" s="70"/>
      <c r="K584" s="34" t="s">
        <v>65</v>
      </c>
      <c r="L584" s="77">
        <v>584</v>
      </c>
      <c r="M584" s="77"/>
      <c r="N584" s="72"/>
      <c r="O584" s="79" t="s">
        <v>610</v>
      </c>
      <c r="P584" s="79">
        <v>1</v>
      </c>
      <c r="Q584" s="78" t="str">
        <f>REPLACE(INDEX(GroupVertices[Group],MATCH(Edges[[#This Row],[Vertex 1]],GroupVertices[Vertex],0)),1,1,"")</f>
        <v>iktor Burlaka</v>
      </c>
      <c r="R584" s="78" t="str">
        <f>REPLACE(INDEX(GroupVertices[Group],MATCH(Edges[[#This Row],[Vertex 2]],GroupVertices[Vertex],0)),1,1,"")</f>
        <v>runa Silva</v>
      </c>
    </row>
    <row r="585" spans="1:18" ht="15">
      <c r="A585" s="64" t="s">
        <v>238</v>
      </c>
      <c r="B585" s="64" t="s">
        <v>2414</v>
      </c>
      <c r="C585" s="65" t="s">
        <v>4443</v>
      </c>
      <c r="D585" s="66">
        <v>3</v>
      </c>
      <c r="E585" s="67"/>
      <c r="F585" s="68">
        <v>40</v>
      </c>
      <c r="G585" s="65"/>
      <c r="H585" s="69"/>
      <c r="I585" s="70"/>
      <c r="J585" s="70"/>
      <c r="K585" s="34" t="s">
        <v>65</v>
      </c>
      <c r="L585" s="77">
        <v>585</v>
      </c>
      <c r="M585" s="77"/>
      <c r="N585" s="72"/>
      <c r="O585" s="79" t="s">
        <v>610</v>
      </c>
      <c r="P585" s="79">
        <v>1</v>
      </c>
      <c r="Q585" s="78" t="str">
        <f>REPLACE(INDEX(GroupVertices[Group],MATCH(Edges[[#This Row],[Vertex 1]],GroupVertices[Vertex],0)),1,1,"")</f>
        <v>iktor Burlaka</v>
      </c>
      <c r="R585" s="78" t="str">
        <f>REPLACE(INDEX(GroupVertices[Group],MATCH(Edges[[#This Row],[Vertex 2]],GroupVertices[Vertex],0)),1,1,"")</f>
        <v>ddieffect</v>
      </c>
    </row>
    <row r="586" spans="1:18" ht="15">
      <c r="A586" s="64" t="s">
        <v>238</v>
      </c>
      <c r="B586" s="64" t="s">
        <v>2415</v>
      </c>
      <c r="C586" s="65" t="s">
        <v>4443</v>
      </c>
      <c r="D586" s="66">
        <v>3</v>
      </c>
      <c r="E586" s="67"/>
      <c r="F586" s="68">
        <v>40</v>
      </c>
      <c r="G586" s="65"/>
      <c r="H586" s="69"/>
      <c r="I586" s="70"/>
      <c r="J586" s="70"/>
      <c r="K586" s="34" t="s">
        <v>65</v>
      </c>
      <c r="L586" s="77">
        <v>586</v>
      </c>
      <c r="M586" s="77"/>
      <c r="N586" s="72"/>
      <c r="O586" s="79" t="s">
        <v>610</v>
      </c>
      <c r="P586" s="79">
        <v>1</v>
      </c>
      <c r="Q586" s="78" t="str">
        <f>REPLACE(INDEX(GroupVertices[Group],MATCH(Edges[[#This Row],[Vertex 1]],GroupVertices[Vertex],0)),1,1,"")</f>
        <v>iktor Burlaka</v>
      </c>
      <c r="R586" s="78" t="str">
        <f>REPLACE(INDEX(GroupVertices[Group],MATCH(Edges[[#This Row],[Vertex 2]],GroupVertices[Vertex],0)),1,1,"")</f>
        <v>eredith McNerney</v>
      </c>
    </row>
    <row r="587" spans="1:18" ht="15">
      <c r="A587" s="64" t="s">
        <v>238</v>
      </c>
      <c r="B587" s="64" t="s">
        <v>2416</v>
      </c>
      <c r="C587" s="65" t="s">
        <v>4443</v>
      </c>
      <c r="D587" s="66">
        <v>3</v>
      </c>
      <c r="E587" s="67"/>
      <c r="F587" s="68">
        <v>40</v>
      </c>
      <c r="G587" s="65"/>
      <c r="H587" s="69"/>
      <c r="I587" s="70"/>
      <c r="J587" s="70"/>
      <c r="K587" s="34" t="s">
        <v>65</v>
      </c>
      <c r="L587" s="77">
        <v>587</v>
      </c>
      <c r="M587" s="77"/>
      <c r="N587" s="72"/>
      <c r="O587" s="79" t="s">
        <v>610</v>
      </c>
      <c r="P587" s="79">
        <v>1</v>
      </c>
      <c r="Q587" s="78" t="str">
        <f>REPLACE(INDEX(GroupVertices[Group],MATCH(Edges[[#This Row],[Vertex 1]],GroupVertices[Vertex],0)),1,1,"")</f>
        <v>iktor Burlaka</v>
      </c>
      <c r="R587" s="78" t="str">
        <f>REPLACE(INDEX(GroupVertices[Group],MATCH(Edges[[#This Row],[Vertex 2]],GroupVertices[Vertex],0)),1,1,"")</f>
        <v>lana Fernandes</v>
      </c>
    </row>
    <row r="588" spans="1:18" ht="15">
      <c r="A588" s="64" t="s">
        <v>238</v>
      </c>
      <c r="B588" s="64" t="s">
        <v>2417</v>
      </c>
      <c r="C588" s="65" t="s">
        <v>4443</v>
      </c>
      <c r="D588" s="66">
        <v>3</v>
      </c>
      <c r="E588" s="67"/>
      <c r="F588" s="68">
        <v>40</v>
      </c>
      <c r="G588" s="65"/>
      <c r="H588" s="69"/>
      <c r="I588" s="70"/>
      <c r="J588" s="70"/>
      <c r="K588" s="34" t="s">
        <v>65</v>
      </c>
      <c r="L588" s="77">
        <v>588</v>
      </c>
      <c r="M588" s="77"/>
      <c r="N588" s="72"/>
      <c r="O588" s="79" t="s">
        <v>610</v>
      </c>
      <c r="P588" s="79">
        <v>1</v>
      </c>
      <c r="Q588" s="78" t="str">
        <f>REPLACE(INDEX(GroupVertices[Group],MATCH(Edges[[#This Row],[Vertex 1]],GroupVertices[Vertex],0)),1,1,"")</f>
        <v>iktor Burlaka</v>
      </c>
      <c r="R588" s="78" t="str">
        <f>REPLACE(INDEX(GroupVertices[Group],MATCH(Edges[[#This Row],[Vertex 2]],GroupVertices[Vertex],0)),1,1,"")</f>
        <v>azu Takahasi</v>
      </c>
    </row>
    <row r="589" spans="1:18" ht="15">
      <c r="A589" s="64" t="s">
        <v>238</v>
      </c>
      <c r="B589" s="64" t="s">
        <v>2418</v>
      </c>
      <c r="C589" s="65" t="s">
        <v>4443</v>
      </c>
      <c r="D589" s="66">
        <v>3</v>
      </c>
      <c r="E589" s="67"/>
      <c r="F589" s="68">
        <v>40</v>
      </c>
      <c r="G589" s="65"/>
      <c r="H589" s="69"/>
      <c r="I589" s="70"/>
      <c r="J589" s="70"/>
      <c r="K589" s="34" t="s">
        <v>65</v>
      </c>
      <c r="L589" s="77">
        <v>589</v>
      </c>
      <c r="M589" s="77"/>
      <c r="N589" s="72"/>
      <c r="O589" s="79" t="s">
        <v>610</v>
      </c>
      <c r="P589" s="79">
        <v>1</v>
      </c>
      <c r="Q589" s="78" t="str">
        <f>REPLACE(INDEX(GroupVertices[Group],MATCH(Edges[[#This Row],[Vertex 1]],GroupVertices[Vertex],0)),1,1,"")</f>
        <v>iktor Burlaka</v>
      </c>
      <c r="R589" s="78" t="str">
        <f>REPLACE(INDEX(GroupVertices[Group],MATCH(Edges[[#This Row],[Vertex 2]],GroupVertices[Vertex],0)),1,1,"")</f>
        <v>xplore ESJ &amp; ESD</v>
      </c>
    </row>
    <row r="590" spans="1:18" ht="15">
      <c r="A590" s="64" t="s">
        <v>238</v>
      </c>
      <c r="B590" s="64" t="s">
        <v>2419</v>
      </c>
      <c r="C590" s="65" t="s">
        <v>4443</v>
      </c>
      <c r="D590" s="66">
        <v>3</v>
      </c>
      <c r="E590" s="67"/>
      <c r="F590" s="68">
        <v>40</v>
      </c>
      <c r="G590" s="65"/>
      <c r="H590" s="69"/>
      <c r="I590" s="70"/>
      <c r="J590" s="70"/>
      <c r="K590" s="34" t="s">
        <v>65</v>
      </c>
      <c r="L590" s="77">
        <v>590</v>
      </c>
      <c r="M590" s="77"/>
      <c r="N590" s="72"/>
      <c r="O590" s="79" t="s">
        <v>610</v>
      </c>
      <c r="P590" s="79">
        <v>1</v>
      </c>
      <c r="Q590" s="78" t="str">
        <f>REPLACE(INDEX(GroupVertices[Group],MATCH(Edges[[#This Row],[Vertex 1]],GroupVertices[Vertex],0)),1,1,"")</f>
        <v>iktor Burlaka</v>
      </c>
      <c r="R590" s="78" t="str">
        <f>REPLACE(INDEX(GroupVertices[Group],MATCH(Edges[[#This Row],[Vertex 2]],GroupVertices[Vertex],0)),1,1,"")</f>
        <v>rofessor Capron</v>
      </c>
    </row>
    <row r="591" spans="1:18" ht="15">
      <c r="A591" s="64" t="s">
        <v>238</v>
      </c>
      <c r="B591" s="64" t="s">
        <v>321</v>
      </c>
      <c r="C591" s="65" t="s">
        <v>4443</v>
      </c>
      <c r="D591" s="66">
        <v>3</v>
      </c>
      <c r="E591" s="67"/>
      <c r="F591" s="68">
        <v>40</v>
      </c>
      <c r="G591" s="65"/>
      <c r="H591" s="69"/>
      <c r="I591" s="70"/>
      <c r="J591" s="70"/>
      <c r="K591" s="34" t="s">
        <v>65</v>
      </c>
      <c r="L591" s="77">
        <v>591</v>
      </c>
      <c r="M591" s="77"/>
      <c r="N591" s="72"/>
      <c r="O591" s="79" t="s">
        <v>610</v>
      </c>
      <c r="P591" s="79">
        <v>1</v>
      </c>
      <c r="Q591" s="78" t="str">
        <f>REPLACE(INDEX(GroupVertices[Group],MATCH(Edges[[#This Row],[Vertex 1]],GroupVertices[Vertex],0)),1,1,"")</f>
        <v>iktor Burlaka</v>
      </c>
      <c r="R591" s="78" t="str">
        <f>REPLACE(INDEX(GroupVertices[Group],MATCH(Edges[[#This Row],[Vertex 2]],GroupVertices[Vertex],0)),1,1,"")</f>
        <v>teve Sweder</v>
      </c>
    </row>
    <row r="592" spans="1:18" ht="15">
      <c r="A592" s="64" t="s">
        <v>238</v>
      </c>
      <c r="B592" s="64" t="s">
        <v>577</v>
      </c>
      <c r="C592" s="65" t="s">
        <v>4443</v>
      </c>
      <c r="D592" s="66">
        <v>3</v>
      </c>
      <c r="E592" s="67"/>
      <c r="F592" s="68">
        <v>40</v>
      </c>
      <c r="G592" s="65"/>
      <c r="H592" s="69"/>
      <c r="I592" s="70"/>
      <c r="J592" s="70"/>
      <c r="K592" s="34" t="s">
        <v>65</v>
      </c>
      <c r="L592" s="77">
        <v>592</v>
      </c>
      <c r="M592" s="77"/>
      <c r="N592" s="72"/>
      <c r="O592" s="79" t="s">
        <v>610</v>
      </c>
      <c r="P592" s="79">
        <v>1</v>
      </c>
      <c r="Q592" s="78" t="str">
        <f>REPLACE(INDEX(GroupVertices[Group],MATCH(Edges[[#This Row],[Vertex 1]],GroupVertices[Vertex],0)),1,1,"")</f>
        <v>iktor Burlaka</v>
      </c>
      <c r="R592" s="78" t="str">
        <f>REPLACE(INDEX(GroupVertices[Group],MATCH(Edges[[#This Row],[Vertex 2]],GroupVertices[Vertex],0)),1,1,"")</f>
        <v>en Joyce Ackerson</v>
      </c>
    </row>
    <row r="593" spans="1:18" ht="15">
      <c r="A593" s="64" t="s">
        <v>238</v>
      </c>
      <c r="B593" s="64" t="s">
        <v>549</v>
      </c>
      <c r="C593" s="65" t="s">
        <v>4443</v>
      </c>
      <c r="D593" s="66">
        <v>3</v>
      </c>
      <c r="E593" s="67"/>
      <c r="F593" s="68">
        <v>40</v>
      </c>
      <c r="G593" s="65"/>
      <c r="H593" s="69"/>
      <c r="I593" s="70"/>
      <c r="J593" s="70"/>
      <c r="K593" s="34" t="s">
        <v>65</v>
      </c>
      <c r="L593" s="77">
        <v>593</v>
      </c>
      <c r="M593" s="77"/>
      <c r="N593" s="72"/>
      <c r="O593" s="79" t="s">
        <v>610</v>
      </c>
      <c r="P593" s="79">
        <v>1</v>
      </c>
      <c r="Q593" s="78" t="str">
        <f>REPLACE(INDEX(GroupVertices[Group],MATCH(Edges[[#This Row],[Vertex 1]],GroupVertices[Vertex],0)),1,1,"")</f>
        <v>iktor Burlaka</v>
      </c>
      <c r="R593" s="78" t="str">
        <f>REPLACE(INDEX(GroupVertices[Group],MATCH(Edges[[#This Row],[Vertex 2]],GroupVertices[Vertex],0)),1,1,"")</f>
        <v>iktor Burlaka</v>
      </c>
    </row>
    <row r="594" spans="1:18" ht="15">
      <c r="A594" s="64" t="s">
        <v>238</v>
      </c>
      <c r="B594" s="64" t="s">
        <v>547</v>
      </c>
      <c r="C594" s="65" t="s">
        <v>4443</v>
      </c>
      <c r="D594" s="66">
        <v>3</v>
      </c>
      <c r="E594" s="67"/>
      <c r="F594" s="68">
        <v>40</v>
      </c>
      <c r="G594" s="65"/>
      <c r="H594" s="69"/>
      <c r="I594" s="70"/>
      <c r="J594" s="70"/>
      <c r="K594" s="34" t="s">
        <v>65</v>
      </c>
      <c r="L594" s="77">
        <v>594</v>
      </c>
      <c r="M594" s="77"/>
      <c r="N594" s="72"/>
      <c r="O594" s="79" t="s">
        <v>610</v>
      </c>
      <c r="P594" s="79">
        <v>1</v>
      </c>
      <c r="Q594" s="78" t="str">
        <f>REPLACE(INDEX(GroupVertices[Group],MATCH(Edges[[#This Row],[Vertex 1]],GroupVertices[Vertex],0)),1,1,"")</f>
        <v>iktor Burlaka</v>
      </c>
      <c r="R594" s="78" t="str">
        <f>REPLACE(INDEX(GroupVertices[Group],MATCH(Edges[[#This Row],[Vertex 2]],GroupVertices[Vertex],0)),1,1,"")</f>
        <v>iktor Burlaka</v>
      </c>
    </row>
    <row r="595" spans="1:18" ht="15">
      <c r="A595" s="64" t="s">
        <v>238</v>
      </c>
      <c r="B595" s="64" t="s">
        <v>548</v>
      </c>
      <c r="C595" s="65" t="s">
        <v>4443</v>
      </c>
      <c r="D595" s="66">
        <v>3</v>
      </c>
      <c r="E595" s="67"/>
      <c r="F595" s="68">
        <v>40</v>
      </c>
      <c r="G595" s="65"/>
      <c r="H595" s="69"/>
      <c r="I595" s="70"/>
      <c r="J595" s="70"/>
      <c r="K595" s="34" t="s">
        <v>65</v>
      </c>
      <c r="L595" s="77">
        <v>595</v>
      </c>
      <c r="M595" s="77"/>
      <c r="N595" s="72"/>
      <c r="O595" s="79" t="s">
        <v>610</v>
      </c>
      <c r="P595" s="79">
        <v>1</v>
      </c>
      <c r="Q595" s="78" t="str">
        <f>REPLACE(INDEX(GroupVertices[Group],MATCH(Edges[[#This Row],[Vertex 1]],GroupVertices[Vertex],0)),1,1,"")</f>
        <v>iktor Burlaka</v>
      </c>
      <c r="R595" s="78" t="str">
        <f>REPLACE(INDEX(GroupVertices[Group],MATCH(Edges[[#This Row],[Vertex 2]],GroupVertices[Vertex],0)),1,1,"")</f>
        <v>hesus Medicine</v>
      </c>
    </row>
    <row r="596" spans="1:18" ht="15">
      <c r="A596" s="64" t="s">
        <v>238</v>
      </c>
      <c r="B596" s="64" t="s">
        <v>551</v>
      </c>
      <c r="C596" s="65" t="s">
        <v>4443</v>
      </c>
      <c r="D596" s="66">
        <v>3</v>
      </c>
      <c r="E596" s="67"/>
      <c r="F596" s="68">
        <v>40</v>
      </c>
      <c r="G596" s="65"/>
      <c r="H596" s="69"/>
      <c r="I596" s="70"/>
      <c r="J596" s="70"/>
      <c r="K596" s="34" t="s">
        <v>65</v>
      </c>
      <c r="L596" s="77">
        <v>596</v>
      </c>
      <c r="M596" s="77"/>
      <c r="N596" s="72"/>
      <c r="O596" s="79" t="s">
        <v>610</v>
      </c>
      <c r="P596" s="79">
        <v>1</v>
      </c>
      <c r="Q596" s="78" t="str">
        <f>REPLACE(INDEX(GroupVertices[Group],MATCH(Edges[[#This Row],[Vertex 1]],GroupVertices[Vertex],0)),1,1,"")</f>
        <v>iktor Burlaka</v>
      </c>
      <c r="R596" s="78" t="str">
        <f>REPLACE(INDEX(GroupVertices[Group],MATCH(Edges[[#This Row],[Vertex 2]],GroupVertices[Vertex],0)),1,1,"")</f>
        <v>iktor Burlaka</v>
      </c>
    </row>
    <row r="597" spans="1:18" ht="15">
      <c r="A597" s="64" t="s">
        <v>238</v>
      </c>
      <c r="B597" s="64" t="s">
        <v>550</v>
      </c>
      <c r="C597" s="65" t="s">
        <v>4443</v>
      </c>
      <c r="D597" s="66">
        <v>3</v>
      </c>
      <c r="E597" s="67"/>
      <c r="F597" s="68">
        <v>40</v>
      </c>
      <c r="G597" s="65"/>
      <c r="H597" s="69"/>
      <c r="I597" s="70"/>
      <c r="J597" s="70"/>
      <c r="K597" s="34" t="s">
        <v>65</v>
      </c>
      <c r="L597" s="77">
        <v>597</v>
      </c>
      <c r="M597" s="77"/>
      <c r="N597" s="72"/>
      <c r="O597" s="79" t="s">
        <v>610</v>
      </c>
      <c r="P597" s="79">
        <v>1</v>
      </c>
      <c r="Q597" s="78" t="str">
        <f>REPLACE(INDEX(GroupVertices[Group],MATCH(Edges[[#This Row],[Vertex 1]],GroupVertices[Vertex],0)),1,1,"")</f>
        <v>iktor Burlaka</v>
      </c>
      <c r="R597" s="78" t="str">
        <f>REPLACE(INDEX(GroupVertices[Group],MATCH(Edges[[#This Row],[Vertex 2]],GroupVertices[Vertex],0)),1,1,"")</f>
        <v>iktor Burlaka</v>
      </c>
    </row>
    <row r="598" spans="1:18" ht="15">
      <c r="A598" s="64" t="s">
        <v>238</v>
      </c>
      <c r="B598" s="64" t="s">
        <v>2395</v>
      </c>
      <c r="C598" s="65" t="s">
        <v>4443</v>
      </c>
      <c r="D598" s="66">
        <v>3</v>
      </c>
      <c r="E598" s="67"/>
      <c r="F598" s="68">
        <v>40</v>
      </c>
      <c r="G598" s="65"/>
      <c r="H598" s="69"/>
      <c r="I598" s="70"/>
      <c r="J598" s="70"/>
      <c r="K598" s="34" t="s">
        <v>65</v>
      </c>
      <c r="L598" s="77">
        <v>598</v>
      </c>
      <c r="M598" s="77"/>
      <c r="N598" s="72"/>
      <c r="O598" s="79" t="s">
        <v>610</v>
      </c>
      <c r="P598" s="79">
        <v>1</v>
      </c>
      <c r="Q598" s="78" t="str">
        <f>REPLACE(INDEX(GroupVertices[Group],MATCH(Edges[[#This Row],[Vertex 1]],GroupVertices[Vertex],0)),1,1,"")</f>
        <v>iktor Burlaka</v>
      </c>
      <c r="R598" s="78" t="str">
        <f>REPLACE(INDEX(GroupVertices[Group],MATCH(Edges[[#This Row],[Vertex 2]],GroupVertices[Vertex],0)),1,1,"")</f>
        <v>earn With Jenny</v>
      </c>
    </row>
    <row r="599" spans="1:18" ht="15">
      <c r="A599" s="64" t="s">
        <v>238</v>
      </c>
      <c r="B599" s="64" t="s">
        <v>242</v>
      </c>
      <c r="C599" s="65" t="s">
        <v>4443</v>
      </c>
      <c r="D599" s="66">
        <v>3</v>
      </c>
      <c r="E599" s="67"/>
      <c r="F599" s="68">
        <v>40</v>
      </c>
      <c r="G599" s="65"/>
      <c r="H599" s="69"/>
      <c r="I599" s="70"/>
      <c r="J599" s="70"/>
      <c r="K599" s="34" t="s">
        <v>65</v>
      </c>
      <c r="L599" s="77">
        <v>599</v>
      </c>
      <c r="M599" s="77"/>
      <c r="N599" s="72"/>
      <c r="O599" s="79" t="s">
        <v>610</v>
      </c>
      <c r="P599" s="79">
        <v>1</v>
      </c>
      <c r="Q599" s="78" t="str">
        <f>REPLACE(INDEX(GroupVertices[Group],MATCH(Edges[[#This Row],[Vertex 1]],GroupVertices[Vertex],0)),1,1,"")</f>
        <v>iktor Burlaka</v>
      </c>
      <c r="R599" s="78" t="str">
        <f>REPLACE(INDEX(GroupVertices[Group],MATCH(Edges[[#This Row],[Vertex 2]],GroupVertices[Vertex],0)),1,1,"")</f>
        <v>en Joyce Ackerson</v>
      </c>
    </row>
    <row r="600" spans="1:18" ht="15">
      <c r="A600" s="64" t="s">
        <v>238</v>
      </c>
      <c r="B600" s="64" t="s">
        <v>2420</v>
      </c>
      <c r="C600" s="65" t="s">
        <v>4443</v>
      </c>
      <c r="D600" s="66">
        <v>3</v>
      </c>
      <c r="E600" s="67"/>
      <c r="F600" s="68">
        <v>40</v>
      </c>
      <c r="G600" s="65"/>
      <c r="H600" s="69"/>
      <c r="I600" s="70"/>
      <c r="J600" s="70"/>
      <c r="K600" s="34" t="s">
        <v>65</v>
      </c>
      <c r="L600" s="77">
        <v>600</v>
      </c>
      <c r="M600" s="77"/>
      <c r="N600" s="72"/>
      <c r="O600" s="79" t="s">
        <v>610</v>
      </c>
      <c r="P600" s="79">
        <v>1</v>
      </c>
      <c r="Q600" s="78" t="str">
        <f>REPLACE(INDEX(GroupVertices[Group],MATCH(Edges[[#This Row],[Vertex 1]],GroupVertices[Vertex],0)),1,1,"")</f>
        <v>iktor Burlaka</v>
      </c>
      <c r="R600" s="78" t="str">
        <f>REPLACE(INDEX(GroupVertices[Group],MATCH(Edges[[#This Row],[Vertex 2]],GroupVertices[Vertex],0)),1,1,"")</f>
        <v>edsplanations</v>
      </c>
    </row>
    <row r="601" spans="1:18" ht="15">
      <c r="A601" s="64" t="s">
        <v>238</v>
      </c>
      <c r="B601" s="64" t="s">
        <v>531</v>
      </c>
      <c r="C601" s="65" t="s">
        <v>4443</v>
      </c>
      <c r="D601" s="66">
        <v>3</v>
      </c>
      <c r="E601" s="67"/>
      <c r="F601" s="68">
        <v>40</v>
      </c>
      <c r="G601" s="65"/>
      <c r="H601" s="69"/>
      <c r="I601" s="70"/>
      <c r="J601" s="70"/>
      <c r="K601" s="34" t="s">
        <v>65</v>
      </c>
      <c r="L601" s="77">
        <v>601</v>
      </c>
      <c r="M601" s="77"/>
      <c r="N601" s="72"/>
      <c r="O601" s="79" t="s">
        <v>610</v>
      </c>
      <c r="P601" s="79">
        <v>1</v>
      </c>
      <c r="Q601" s="78" t="str">
        <f>REPLACE(INDEX(GroupVertices[Group],MATCH(Edges[[#This Row],[Vertex 1]],GroupVertices[Vertex],0)),1,1,"")</f>
        <v>iktor Burlaka</v>
      </c>
      <c r="R601" s="78" t="str">
        <f>REPLACE(INDEX(GroupVertices[Group],MATCH(Edges[[#This Row],[Vertex 2]],GroupVertices[Vertex],0)),1,1,"")</f>
        <v>earn With Jenny</v>
      </c>
    </row>
    <row r="602" spans="1:18" ht="15">
      <c r="A602" s="64" t="s">
        <v>238</v>
      </c>
      <c r="B602" s="64" t="s">
        <v>2421</v>
      </c>
      <c r="C602" s="65" t="s">
        <v>4443</v>
      </c>
      <c r="D602" s="66">
        <v>3</v>
      </c>
      <c r="E602" s="67"/>
      <c r="F602" s="68">
        <v>40</v>
      </c>
      <c r="G602" s="65"/>
      <c r="H602" s="69"/>
      <c r="I602" s="70"/>
      <c r="J602" s="70"/>
      <c r="K602" s="34" t="s">
        <v>65</v>
      </c>
      <c r="L602" s="77">
        <v>602</v>
      </c>
      <c r="M602" s="77"/>
      <c r="N602" s="72"/>
      <c r="O602" s="79" t="s">
        <v>610</v>
      </c>
      <c r="P602" s="79">
        <v>1</v>
      </c>
      <c r="Q602" s="78" t="str">
        <f>REPLACE(INDEX(GroupVertices[Group],MATCH(Edges[[#This Row],[Vertex 1]],GroupVertices[Vertex],0)),1,1,"")</f>
        <v>iktor Burlaka</v>
      </c>
      <c r="R602" s="78" t="str">
        <f>REPLACE(INDEX(GroupVertices[Group],MATCH(Edges[[#This Row],[Vertex 2]],GroupVertices[Vertex],0)),1,1,"")</f>
        <v>ow to ADHD</v>
      </c>
    </row>
    <row r="603" spans="1:18" ht="15">
      <c r="A603" s="64" t="s">
        <v>243</v>
      </c>
      <c r="B603" s="64" t="s">
        <v>2459</v>
      </c>
      <c r="C603" s="65" t="s">
        <v>4443</v>
      </c>
      <c r="D603" s="66">
        <v>3</v>
      </c>
      <c r="E603" s="67"/>
      <c r="F603" s="68">
        <v>40</v>
      </c>
      <c r="G603" s="65"/>
      <c r="H603" s="69"/>
      <c r="I603" s="70"/>
      <c r="J603" s="70"/>
      <c r="K603" s="34" t="s">
        <v>65</v>
      </c>
      <c r="L603" s="77">
        <v>603</v>
      </c>
      <c r="M603" s="77"/>
      <c r="N603" s="72"/>
      <c r="O603" s="79" t="s">
        <v>610</v>
      </c>
      <c r="P603" s="79">
        <v>1</v>
      </c>
      <c r="Q603" s="78" t="str">
        <f>REPLACE(INDEX(GroupVertices[Group],MATCH(Edges[[#This Row],[Vertex 1]],GroupVertices[Vertex],0)),1,1,"")</f>
        <v>emorable Psychiatry and Neurology</v>
      </c>
      <c r="R603" s="78" t="str">
        <f>REPLACE(INDEX(GroupVertices[Group],MATCH(Edges[[#This Row],[Vertex 2]],GroupVertices[Vertex],0)),1,1,"")</f>
        <v>avid Kosloski</v>
      </c>
    </row>
    <row r="604" spans="1:18" ht="15">
      <c r="A604" s="64" t="s">
        <v>243</v>
      </c>
      <c r="B604" s="64" t="s">
        <v>2460</v>
      </c>
      <c r="C604" s="65" t="s">
        <v>4443</v>
      </c>
      <c r="D604" s="66">
        <v>3</v>
      </c>
      <c r="E604" s="67"/>
      <c r="F604" s="68">
        <v>40</v>
      </c>
      <c r="G604" s="65"/>
      <c r="H604" s="69"/>
      <c r="I604" s="70"/>
      <c r="J604" s="70"/>
      <c r="K604" s="34" t="s">
        <v>65</v>
      </c>
      <c r="L604" s="77">
        <v>604</v>
      </c>
      <c r="M604" s="77"/>
      <c r="N604" s="72"/>
      <c r="O604" s="79" t="s">
        <v>610</v>
      </c>
      <c r="P604" s="79">
        <v>1</v>
      </c>
      <c r="Q604" s="78" t="str">
        <f>REPLACE(INDEX(GroupVertices[Group],MATCH(Edges[[#This Row],[Vertex 1]],GroupVertices[Vertex],0)),1,1,"")</f>
        <v>emorable Psychiatry and Neurology</v>
      </c>
      <c r="R604" s="78" t="str">
        <f>REPLACE(INDEX(GroupVertices[Group],MATCH(Edges[[#This Row],[Vertex 2]],GroupVertices[Vertex],0)),1,1,"")</f>
        <v>lash with Blue38</v>
      </c>
    </row>
    <row r="605" spans="1:18" ht="15">
      <c r="A605" s="64" t="s">
        <v>243</v>
      </c>
      <c r="B605" s="64" t="s">
        <v>2461</v>
      </c>
      <c r="C605" s="65" t="s">
        <v>4443</v>
      </c>
      <c r="D605" s="66">
        <v>3</v>
      </c>
      <c r="E605" s="67"/>
      <c r="F605" s="68">
        <v>40</v>
      </c>
      <c r="G605" s="65"/>
      <c r="H605" s="69"/>
      <c r="I605" s="70"/>
      <c r="J605" s="70"/>
      <c r="K605" s="34" t="s">
        <v>65</v>
      </c>
      <c r="L605" s="77">
        <v>605</v>
      </c>
      <c r="M605" s="77"/>
      <c r="N605" s="72"/>
      <c r="O605" s="79" t="s">
        <v>610</v>
      </c>
      <c r="P605" s="79">
        <v>1</v>
      </c>
      <c r="Q605" s="78" t="str">
        <f>REPLACE(INDEX(GroupVertices[Group],MATCH(Edges[[#This Row],[Vertex 1]],GroupVertices[Vertex],0)),1,1,"")</f>
        <v>emorable Psychiatry and Neurology</v>
      </c>
      <c r="R605" s="78" t="str">
        <f>REPLACE(INDEX(GroupVertices[Group],MATCH(Edges[[#This Row],[Vertex 2]],GroupVertices[Vertex],0)),1,1,"")</f>
        <v>yan Rupprecht</v>
      </c>
    </row>
    <row r="606" spans="1:18" ht="15">
      <c r="A606" s="64" t="s">
        <v>243</v>
      </c>
      <c r="B606" s="64" t="s">
        <v>2462</v>
      </c>
      <c r="C606" s="65" t="s">
        <v>4443</v>
      </c>
      <c r="D606" s="66">
        <v>3</v>
      </c>
      <c r="E606" s="67"/>
      <c r="F606" s="68">
        <v>40</v>
      </c>
      <c r="G606" s="65"/>
      <c r="H606" s="69"/>
      <c r="I606" s="70"/>
      <c r="J606" s="70"/>
      <c r="K606" s="34" t="s">
        <v>65</v>
      </c>
      <c r="L606" s="77">
        <v>606</v>
      </c>
      <c r="M606" s="77"/>
      <c r="N606" s="72"/>
      <c r="O606" s="79" t="s">
        <v>610</v>
      </c>
      <c r="P606" s="79">
        <v>1</v>
      </c>
      <c r="Q606" s="78" t="str">
        <f>REPLACE(INDEX(GroupVertices[Group],MATCH(Edges[[#This Row],[Vertex 1]],GroupVertices[Vertex],0)),1,1,"")</f>
        <v>emorable Psychiatry and Neurology</v>
      </c>
      <c r="R606" s="78" t="str">
        <f>REPLACE(INDEX(GroupVertices[Group],MATCH(Edges[[#This Row],[Vertex 2]],GroupVertices[Vertex],0)),1,1,"")</f>
        <v>earn Psychology</v>
      </c>
    </row>
    <row r="607" spans="1:18" ht="15">
      <c r="A607" s="64" t="s">
        <v>243</v>
      </c>
      <c r="B607" s="64" t="s">
        <v>2463</v>
      </c>
      <c r="C607" s="65" t="s">
        <v>4443</v>
      </c>
      <c r="D607" s="66">
        <v>3</v>
      </c>
      <c r="E607" s="67"/>
      <c r="F607" s="68">
        <v>40</v>
      </c>
      <c r="G607" s="65"/>
      <c r="H607" s="69"/>
      <c r="I607" s="70"/>
      <c r="J607" s="70"/>
      <c r="K607" s="34" t="s">
        <v>65</v>
      </c>
      <c r="L607" s="77">
        <v>607</v>
      </c>
      <c r="M607" s="77"/>
      <c r="N607" s="72"/>
      <c r="O607" s="79" t="s">
        <v>610</v>
      </c>
      <c r="P607" s="79">
        <v>1</v>
      </c>
      <c r="Q607" s="78" t="str">
        <f>REPLACE(INDEX(GroupVertices[Group],MATCH(Edges[[#This Row],[Vertex 1]],GroupVertices[Vertex],0)),1,1,"")</f>
        <v>emorable Psychiatry and Neurology</v>
      </c>
      <c r="R607" s="78" t="str">
        <f>REPLACE(INDEX(GroupVertices[Group],MATCH(Edges[[#This Row],[Vertex 2]],GroupVertices[Vertex],0)),1,1,"")</f>
        <v>my DeFe</v>
      </c>
    </row>
    <row r="608" spans="1:18" ht="15">
      <c r="A608" s="64" t="s">
        <v>243</v>
      </c>
      <c r="B608" s="64" t="s">
        <v>2464</v>
      </c>
      <c r="C608" s="65" t="s">
        <v>4443</v>
      </c>
      <c r="D608" s="66">
        <v>3</v>
      </c>
      <c r="E608" s="67"/>
      <c r="F608" s="68">
        <v>40</v>
      </c>
      <c r="G608" s="65"/>
      <c r="H608" s="69"/>
      <c r="I608" s="70"/>
      <c r="J608" s="70"/>
      <c r="K608" s="34" t="s">
        <v>65</v>
      </c>
      <c r="L608" s="77">
        <v>608</v>
      </c>
      <c r="M608" s="77"/>
      <c r="N608" s="72"/>
      <c r="O608" s="79" t="s">
        <v>610</v>
      </c>
      <c r="P608" s="79">
        <v>1</v>
      </c>
      <c r="Q608" s="78" t="str">
        <f>REPLACE(INDEX(GroupVertices[Group],MATCH(Edges[[#This Row],[Vertex 1]],GroupVertices[Vertex],0)),1,1,"")</f>
        <v>emorable Psychiatry and Neurology</v>
      </c>
      <c r="R608" s="78" t="str">
        <f>REPLACE(INDEX(GroupVertices[Group],MATCH(Edges[[#This Row],[Vertex 2]],GroupVertices[Vertex],0)),1,1,"")</f>
        <v>rofessor Q</v>
      </c>
    </row>
    <row r="609" spans="1:18" ht="15">
      <c r="A609" s="64" t="s">
        <v>243</v>
      </c>
      <c r="B609" s="64" t="s">
        <v>2465</v>
      </c>
      <c r="C609" s="65" t="s">
        <v>4443</v>
      </c>
      <c r="D609" s="66">
        <v>3</v>
      </c>
      <c r="E609" s="67"/>
      <c r="F609" s="68">
        <v>40</v>
      </c>
      <c r="G609" s="65"/>
      <c r="H609" s="69"/>
      <c r="I609" s="70"/>
      <c r="J609" s="70"/>
      <c r="K609" s="34" t="s">
        <v>65</v>
      </c>
      <c r="L609" s="77">
        <v>609</v>
      </c>
      <c r="M609" s="77"/>
      <c r="N609" s="72"/>
      <c r="O609" s="79" t="s">
        <v>610</v>
      </c>
      <c r="P609" s="79">
        <v>1</v>
      </c>
      <c r="Q609" s="78" t="str">
        <f>REPLACE(INDEX(GroupVertices[Group],MATCH(Edges[[#This Row],[Vertex 1]],GroupVertices[Vertex],0)),1,1,"")</f>
        <v>emorable Psychiatry and Neurology</v>
      </c>
      <c r="R609" s="78" t="str">
        <f>REPLACE(INDEX(GroupVertices[Group],MATCH(Edges[[#This Row],[Vertex 2]],GroupVertices[Vertex],0)),1,1,"")</f>
        <v>rofessor Q</v>
      </c>
    </row>
    <row r="610" spans="1:18" ht="15">
      <c r="A610" s="64" t="s">
        <v>243</v>
      </c>
      <c r="B610" s="64" t="s">
        <v>2466</v>
      </c>
      <c r="C610" s="65" t="s">
        <v>4443</v>
      </c>
      <c r="D610" s="66">
        <v>3</v>
      </c>
      <c r="E610" s="67"/>
      <c r="F610" s="68">
        <v>40</v>
      </c>
      <c r="G610" s="65"/>
      <c r="H610" s="69"/>
      <c r="I610" s="70"/>
      <c r="J610" s="70"/>
      <c r="K610" s="34" t="s">
        <v>65</v>
      </c>
      <c r="L610" s="77">
        <v>610</v>
      </c>
      <c r="M610" s="77"/>
      <c r="N610" s="72"/>
      <c r="O610" s="79" t="s">
        <v>610</v>
      </c>
      <c r="P610" s="79">
        <v>1</v>
      </c>
      <c r="Q610" s="78" t="str">
        <f>REPLACE(INDEX(GroupVertices[Group],MATCH(Edges[[#This Row],[Vertex 1]],GroupVertices[Vertex],0)),1,1,"")</f>
        <v>emorable Psychiatry and Neurology</v>
      </c>
      <c r="R610" s="78" t="str">
        <f>REPLACE(INDEX(GroupVertices[Group],MATCH(Edges[[#This Row],[Vertex 2]],GroupVertices[Vertex],0)),1,1,"")</f>
        <v>edical lectures and tricks</v>
      </c>
    </row>
    <row r="611" spans="1:18" ht="15">
      <c r="A611" s="64" t="s">
        <v>243</v>
      </c>
      <c r="B611" s="64" t="s">
        <v>2467</v>
      </c>
      <c r="C611" s="65" t="s">
        <v>4443</v>
      </c>
      <c r="D611" s="66">
        <v>3</v>
      </c>
      <c r="E611" s="67"/>
      <c r="F611" s="68">
        <v>40</v>
      </c>
      <c r="G611" s="65"/>
      <c r="H611" s="69"/>
      <c r="I611" s="70"/>
      <c r="J611" s="70"/>
      <c r="K611" s="34" t="s">
        <v>65</v>
      </c>
      <c r="L611" s="77">
        <v>611</v>
      </c>
      <c r="M611" s="77"/>
      <c r="N611" s="72"/>
      <c r="O611" s="79" t="s">
        <v>610</v>
      </c>
      <c r="P611" s="79">
        <v>1</v>
      </c>
      <c r="Q611" s="78" t="str">
        <f>REPLACE(INDEX(GroupVertices[Group],MATCH(Edges[[#This Row],[Vertex 1]],GroupVertices[Vertex],0)),1,1,"")</f>
        <v>emorable Psychiatry and Neurology</v>
      </c>
      <c r="R611" s="78" t="str">
        <f>REPLACE(INDEX(GroupVertices[Group],MATCH(Edges[[#This Row],[Vertex 2]],GroupVertices[Vertex],0)),1,1,"")</f>
        <v>rofessor Q</v>
      </c>
    </row>
    <row r="612" spans="1:18" ht="15">
      <c r="A612" s="64" t="s">
        <v>243</v>
      </c>
      <c r="B612" s="64" t="s">
        <v>2468</v>
      </c>
      <c r="C612" s="65" t="s">
        <v>4443</v>
      </c>
      <c r="D612" s="66">
        <v>3</v>
      </c>
      <c r="E612" s="67"/>
      <c r="F612" s="68">
        <v>40</v>
      </c>
      <c r="G612" s="65"/>
      <c r="H612" s="69"/>
      <c r="I612" s="70"/>
      <c r="J612" s="70"/>
      <c r="K612" s="34" t="s">
        <v>65</v>
      </c>
      <c r="L612" s="77">
        <v>612</v>
      </c>
      <c r="M612" s="77"/>
      <c r="N612" s="72"/>
      <c r="O612" s="79" t="s">
        <v>610</v>
      </c>
      <c r="P612" s="79">
        <v>1</v>
      </c>
      <c r="Q612" s="78" t="str">
        <f>REPLACE(INDEX(GroupVertices[Group],MATCH(Edges[[#This Row],[Vertex 1]],GroupVertices[Vertex],0)),1,1,"")</f>
        <v>emorable Psychiatry and Neurology</v>
      </c>
      <c r="R612" s="78" t="str">
        <f>REPLACE(INDEX(GroupVertices[Group],MATCH(Edges[[#This Row],[Vertex 2]],GroupVertices[Vertex],0)),1,1,"")</f>
        <v>he Financial Vault</v>
      </c>
    </row>
    <row r="613" spans="1:18" ht="15">
      <c r="A613" s="64" t="s">
        <v>243</v>
      </c>
      <c r="B613" s="64" t="s">
        <v>2469</v>
      </c>
      <c r="C613" s="65" t="s">
        <v>4443</v>
      </c>
      <c r="D613" s="66">
        <v>3</v>
      </c>
      <c r="E613" s="67"/>
      <c r="F613" s="68">
        <v>40</v>
      </c>
      <c r="G613" s="65"/>
      <c r="H613" s="69"/>
      <c r="I613" s="70"/>
      <c r="J613" s="70"/>
      <c r="K613" s="34" t="s">
        <v>65</v>
      </c>
      <c r="L613" s="77">
        <v>613</v>
      </c>
      <c r="M613" s="77"/>
      <c r="N613" s="72"/>
      <c r="O613" s="79" t="s">
        <v>610</v>
      </c>
      <c r="P613" s="79">
        <v>1</v>
      </c>
      <c r="Q613" s="78" t="str">
        <f>REPLACE(INDEX(GroupVertices[Group],MATCH(Edges[[#This Row],[Vertex 1]],GroupVertices[Vertex],0)),1,1,"")</f>
        <v>emorable Psychiatry and Neurology</v>
      </c>
      <c r="R613" s="78" t="str">
        <f>REPLACE(INDEX(GroupVertices[Group],MATCH(Edges[[#This Row],[Vertex 2]],GroupVertices[Vertex],0)),1,1,"")</f>
        <v>r Varudhini Kankipati</v>
      </c>
    </row>
    <row r="614" spans="1:18" ht="15">
      <c r="A614" s="64" t="s">
        <v>243</v>
      </c>
      <c r="B614" s="64" t="s">
        <v>2470</v>
      </c>
      <c r="C614" s="65" t="s">
        <v>4443</v>
      </c>
      <c r="D614" s="66">
        <v>3</v>
      </c>
      <c r="E614" s="67"/>
      <c r="F614" s="68">
        <v>40</v>
      </c>
      <c r="G614" s="65"/>
      <c r="H614" s="69"/>
      <c r="I614" s="70"/>
      <c r="J614" s="70"/>
      <c r="K614" s="34" t="s">
        <v>65</v>
      </c>
      <c r="L614" s="77">
        <v>614</v>
      </c>
      <c r="M614" s="77"/>
      <c r="N614" s="72"/>
      <c r="O614" s="79" t="s">
        <v>610</v>
      </c>
      <c r="P614" s="79">
        <v>1</v>
      </c>
      <c r="Q614" s="78" t="str">
        <f>REPLACE(INDEX(GroupVertices[Group],MATCH(Edges[[#This Row],[Vertex 1]],GroupVertices[Vertex],0)),1,1,"")</f>
        <v>emorable Psychiatry and Neurology</v>
      </c>
      <c r="R614" s="78" t="str">
        <f>REPLACE(INDEX(GroupVertices[Group],MATCH(Edges[[#This Row],[Vertex 2]],GroupVertices[Vertex],0)),1,1,"")</f>
        <v>nfomania</v>
      </c>
    </row>
    <row r="615" spans="1:18" ht="15">
      <c r="A615" s="64" t="s">
        <v>243</v>
      </c>
      <c r="B615" s="64" t="s">
        <v>2395</v>
      </c>
      <c r="C615" s="65" t="s">
        <v>4443</v>
      </c>
      <c r="D615" s="66">
        <v>3</v>
      </c>
      <c r="E615" s="67"/>
      <c r="F615" s="68">
        <v>40</v>
      </c>
      <c r="G615" s="65"/>
      <c r="H615" s="69"/>
      <c r="I615" s="70"/>
      <c r="J615" s="70"/>
      <c r="K615" s="34" t="s">
        <v>65</v>
      </c>
      <c r="L615" s="77">
        <v>615</v>
      </c>
      <c r="M615" s="77"/>
      <c r="N615" s="72"/>
      <c r="O615" s="79" t="s">
        <v>610</v>
      </c>
      <c r="P615" s="79">
        <v>1</v>
      </c>
      <c r="Q615" s="78" t="str">
        <f>REPLACE(INDEX(GroupVertices[Group],MATCH(Edges[[#This Row],[Vertex 1]],GroupVertices[Vertex],0)),1,1,"")</f>
        <v>emorable Psychiatry and Neurology</v>
      </c>
      <c r="R615" s="78" t="str">
        <f>REPLACE(INDEX(GroupVertices[Group],MATCH(Edges[[#This Row],[Vertex 2]],GroupVertices[Vertex],0)),1,1,"")</f>
        <v>earn With Jenny</v>
      </c>
    </row>
    <row r="616" spans="1:18" ht="15">
      <c r="A616" s="64" t="s">
        <v>243</v>
      </c>
      <c r="B616" s="64" t="s">
        <v>2471</v>
      </c>
      <c r="C616" s="65" t="s">
        <v>4443</v>
      </c>
      <c r="D616" s="66">
        <v>3</v>
      </c>
      <c r="E616" s="67"/>
      <c r="F616" s="68">
        <v>40</v>
      </c>
      <c r="G616" s="65"/>
      <c r="H616" s="69"/>
      <c r="I616" s="70"/>
      <c r="J616" s="70"/>
      <c r="K616" s="34" t="s">
        <v>65</v>
      </c>
      <c r="L616" s="77">
        <v>616</v>
      </c>
      <c r="M616" s="77"/>
      <c r="N616" s="72"/>
      <c r="O616" s="79" t="s">
        <v>610</v>
      </c>
      <c r="P616" s="79">
        <v>1</v>
      </c>
      <c r="Q616" s="78" t="str">
        <f>REPLACE(INDEX(GroupVertices[Group],MATCH(Edges[[#This Row],[Vertex 1]],GroupVertices[Vertex],0)),1,1,"")</f>
        <v>emorable Psychiatry and Neurology</v>
      </c>
      <c r="R616" s="78" t="str">
        <f>REPLACE(INDEX(GroupVertices[Group],MATCH(Edges[[#This Row],[Vertex 2]],GroupVertices[Vertex],0)),1,1,"")</f>
        <v>anji Alo</v>
      </c>
    </row>
    <row r="617" spans="1:18" ht="15">
      <c r="A617" s="64" t="s">
        <v>243</v>
      </c>
      <c r="B617" s="64" t="s">
        <v>2472</v>
      </c>
      <c r="C617" s="65" t="s">
        <v>4443</v>
      </c>
      <c r="D617" s="66">
        <v>3</v>
      </c>
      <c r="E617" s="67"/>
      <c r="F617" s="68">
        <v>40</v>
      </c>
      <c r="G617" s="65"/>
      <c r="H617" s="69"/>
      <c r="I617" s="70"/>
      <c r="J617" s="70"/>
      <c r="K617" s="34" t="s">
        <v>65</v>
      </c>
      <c r="L617" s="77">
        <v>617</v>
      </c>
      <c r="M617" s="77"/>
      <c r="N617" s="72"/>
      <c r="O617" s="79" t="s">
        <v>610</v>
      </c>
      <c r="P617" s="79">
        <v>1</v>
      </c>
      <c r="Q617" s="78" t="str">
        <f>REPLACE(INDEX(GroupVertices[Group],MATCH(Edges[[#This Row],[Vertex 1]],GroupVertices[Vertex],0)),1,1,"")</f>
        <v>emorable Psychiatry and Neurology</v>
      </c>
      <c r="R617" s="78" t="str">
        <f>REPLACE(INDEX(GroupVertices[Group],MATCH(Edges[[#This Row],[Vertex 2]],GroupVertices[Vertex],0)),1,1,"")</f>
        <v>enter for Rusmiddelforskning</v>
      </c>
    </row>
    <row r="618" spans="1:18" ht="15">
      <c r="A618" s="64" t="s">
        <v>243</v>
      </c>
      <c r="B618" s="64" t="s">
        <v>2473</v>
      </c>
      <c r="C618" s="65" t="s">
        <v>4443</v>
      </c>
      <c r="D618" s="66">
        <v>3</v>
      </c>
      <c r="E618" s="67"/>
      <c r="F618" s="68">
        <v>40</v>
      </c>
      <c r="G618" s="65"/>
      <c r="H618" s="69"/>
      <c r="I618" s="70"/>
      <c r="J618" s="70"/>
      <c r="K618" s="34" t="s">
        <v>65</v>
      </c>
      <c r="L618" s="77">
        <v>618</v>
      </c>
      <c r="M618" s="77"/>
      <c r="N618" s="72"/>
      <c r="O618" s="79" t="s">
        <v>610</v>
      </c>
      <c r="P618" s="79">
        <v>1</v>
      </c>
      <c r="Q618" s="78" t="str">
        <f>REPLACE(INDEX(GroupVertices[Group],MATCH(Edges[[#This Row],[Vertex 1]],GroupVertices[Vertex],0)),1,1,"")</f>
        <v>emorable Psychiatry and Neurology</v>
      </c>
      <c r="R618" s="78" t="str">
        <f>REPLACE(INDEX(GroupVertices[Group],MATCH(Edges[[#This Row],[Vertex 2]],GroupVertices[Vertex],0)),1,1,"")</f>
        <v>r.Gomathi Priyadharsini</v>
      </c>
    </row>
    <row r="619" spans="1:18" ht="15">
      <c r="A619" s="64" t="s">
        <v>243</v>
      </c>
      <c r="B619" s="64" t="s">
        <v>2474</v>
      </c>
      <c r="C619" s="65" t="s">
        <v>4443</v>
      </c>
      <c r="D619" s="66">
        <v>3</v>
      </c>
      <c r="E619" s="67"/>
      <c r="F619" s="68">
        <v>40</v>
      </c>
      <c r="G619" s="65"/>
      <c r="H619" s="69"/>
      <c r="I619" s="70"/>
      <c r="J619" s="70"/>
      <c r="K619" s="34" t="s">
        <v>65</v>
      </c>
      <c r="L619" s="77">
        <v>619</v>
      </c>
      <c r="M619" s="77"/>
      <c r="N619" s="72"/>
      <c r="O619" s="79" t="s">
        <v>610</v>
      </c>
      <c r="P619" s="79">
        <v>1</v>
      </c>
      <c r="Q619" s="78" t="str">
        <f>REPLACE(INDEX(GroupVertices[Group],MATCH(Edges[[#This Row],[Vertex 1]],GroupVertices[Vertex],0)),1,1,"")</f>
        <v>emorable Psychiatry and Neurology</v>
      </c>
      <c r="R619" s="78" t="str">
        <f>REPLACE(INDEX(GroupVertices[Group],MATCH(Edges[[#This Row],[Vertex 2]],GroupVertices[Vertex],0)),1,1,"")</f>
        <v>tigmaCrusher</v>
      </c>
    </row>
    <row r="620" spans="1:18" ht="15">
      <c r="A620" s="64" t="s">
        <v>243</v>
      </c>
      <c r="B620" s="64" t="s">
        <v>531</v>
      </c>
      <c r="C620" s="65" t="s">
        <v>4443</v>
      </c>
      <c r="D620" s="66">
        <v>3</v>
      </c>
      <c r="E620" s="67"/>
      <c r="F620" s="68">
        <v>40</v>
      </c>
      <c r="G620" s="65"/>
      <c r="H620" s="69"/>
      <c r="I620" s="70"/>
      <c r="J620" s="70"/>
      <c r="K620" s="34" t="s">
        <v>65</v>
      </c>
      <c r="L620" s="77">
        <v>620</v>
      </c>
      <c r="M620" s="77"/>
      <c r="N620" s="72"/>
      <c r="O620" s="79" t="s">
        <v>610</v>
      </c>
      <c r="P620" s="79">
        <v>1</v>
      </c>
      <c r="Q620" s="78" t="str">
        <f>REPLACE(INDEX(GroupVertices[Group],MATCH(Edges[[#This Row],[Vertex 1]],GroupVertices[Vertex],0)),1,1,"")</f>
        <v>emorable Psychiatry and Neurology</v>
      </c>
      <c r="R620" s="78" t="str">
        <f>REPLACE(INDEX(GroupVertices[Group],MATCH(Edges[[#This Row],[Vertex 2]],GroupVertices[Vertex],0)),1,1,"")</f>
        <v>earn With Jenny</v>
      </c>
    </row>
    <row r="621" spans="1:18" ht="15">
      <c r="A621" s="64" t="s">
        <v>243</v>
      </c>
      <c r="B621" s="64" t="s">
        <v>2475</v>
      </c>
      <c r="C621" s="65" t="s">
        <v>4443</v>
      </c>
      <c r="D621" s="66">
        <v>3</v>
      </c>
      <c r="E621" s="67"/>
      <c r="F621" s="68">
        <v>40</v>
      </c>
      <c r="G621" s="65"/>
      <c r="H621" s="69"/>
      <c r="I621" s="70"/>
      <c r="J621" s="70"/>
      <c r="K621" s="34" t="s">
        <v>65</v>
      </c>
      <c r="L621" s="77">
        <v>621</v>
      </c>
      <c r="M621" s="77"/>
      <c r="N621" s="72"/>
      <c r="O621" s="79" t="s">
        <v>610</v>
      </c>
      <c r="P621" s="79">
        <v>1</v>
      </c>
      <c r="Q621" s="78" t="str">
        <f>REPLACE(INDEX(GroupVertices[Group],MATCH(Edges[[#This Row],[Vertex 1]],GroupVertices[Vertex],0)),1,1,"")</f>
        <v>emorable Psychiatry and Neurology</v>
      </c>
      <c r="R621" s="78" t="str">
        <f>REPLACE(INDEX(GroupVertices[Group],MATCH(Edges[[#This Row],[Vertex 2]],GroupVertices[Vertex],0)),1,1,"")</f>
        <v>hared Health Foundation</v>
      </c>
    </row>
    <row r="622" spans="1:18" ht="15">
      <c r="A622" s="64" t="s">
        <v>243</v>
      </c>
      <c r="B622" s="64" t="s">
        <v>381</v>
      </c>
      <c r="C622" s="65" t="s">
        <v>4443</v>
      </c>
      <c r="D622" s="66">
        <v>3</v>
      </c>
      <c r="E622" s="67"/>
      <c r="F622" s="68">
        <v>40</v>
      </c>
      <c r="G622" s="65"/>
      <c r="H622" s="69"/>
      <c r="I622" s="70"/>
      <c r="J622" s="70"/>
      <c r="K622" s="34" t="s">
        <v>65</v>
      </c>
      <c r="L622" s="77">
        <v>622</v>
      </c>
      <c r="M622" s="77"/>
      <c r="N622" s="72"/>
      <c r="O622" s="79" t="s">
        <v>610</v>
      </c>
      <c r="P622" s="79">
        <v>1</v>
      </c>
      <c r="Q622" s="78" t="str">
        <f>REPLACE(INDEX(GroupVertices[Group],MATCH(Edges[[#This Row],[Vertex 1]],GroupVertices[Vertex],0)),1,1,"")</f>
        <v>emorable Psychiatry and Neurology</v>
      </c>
      <c r="R622" s="78" t="str">
        <f>REPLACE(INDEX(GroupVertices[Group],MATCH(Edges[[#This Row],[Vertex 2]],GroupVertices[Vertex],0)),1,1,"")</f>
        <v>Conn mHealth</v>
      </c>
    </row>
    <row r="623" spans="1:18" ht="15">
      <c r="A623" s="64" t="s">
        <v>243</v>
      </c>
      <c r="B623" s="64" t="s">
        <v>2420</v>
      </c>
      <c r="C623" s="65" t="s">
        <v>4443</v>
      </c>
      <c r="D623" s="66">
        <v>3</v>
      </c>
      <c r="E623" s="67"/>
      <c r="F623" s="68">
        <v>40</v>
      </c>
      <c r="G623" s="65"/>
      <c r="H623" s="69"/>
      <c r="I623" s="70"/>
      <c r="J623" s="70"/>
      <c r="K623" s="34" t="s">
        <v>65</v>
      </c>
      <c r="L623" s="77">
        <v>623</v>
      </c>
      <c r="M623" s="77"/>
      <c r="N623" s="72"/>
      <c r="O623" s="79" t="s">
        <v>610</v>
      </c>
      <c r="P623" s="79">
        <v>1</v>
      </c>
      <c r="Q623" s="78" t="str">
        <f>REPLACE(INDEX(GroupVertices[Group],MATCH(Edges[[#This Row],[Vertex 1]],GroupVertices[Vertex],0)),1,1,"")</f>
        <v>emorable Psychiatry and Neurology</v>
      </c>
      <c r="R623" s="78" t="str">
        <f>REPLACE(INDEX(GroupVertices[Group],MATCH(Edges[[#This Row],[Vertex 2]],GroupVertices[Vertex],0)),1,1,"")</f>
        <v>edsplanations</v>
      </c>
    </row>
    <row r="624" spans="1:18" ht="15">
      <c r="A624" s="64" t="s">
        <v>243</v>
      </c>
      <c r="B624" s="64" t="s">
        <v>2476</v>
      </c>
      <c r="C624" s="65" t="s">
        <v>4443</v>
      </c>
      <c r="D624" s="66">
        <v>3</v>
      </c>
      <c r="E624" s="67"/>
      <c r="F624" s="68">
        <v>40</v>
      </c>
      <c r="G624" s="65"/>
      <c r="H624" s="69"/>
      <c r="I624" s="70"/>
      <c r="J624" s="70"/>
      <c r="K624" s="34" t="s">
        <v>65</v>
      </c>
      <c r="L624" s="77">
        <v>624</v>
      </c>
      <c r="M624" s="77"/>
      <c r="N624" s="72"/>
      <c r="O624" s="79" t="s">
        <v>610</v>
      </c>
      <c r="P624" s="79">
        <v>1</v>
      </c>
      <c r="Q624" s="78" t="str">
        <f>REPLACE(INDEX(GroupVertices[Group],MATCH(Edges[[#This Row],[Vertex 1]],GroupVertices[Vertex],0)),1,1,"")</f>
        <v>emorable Psychiatry and Neurology</v>
      </c>
      <c r="R624" s="78" t="str">
        <f>REPLACE(INDEX(GroupVertices[Group],MATCH(Edges[[#This Row],[Vertex 2]],GroupVertices[Vertex],0)),1,1,"")</f>
        <v>r Varudhini Kankipati</v>
      </c>
    </row>
    <row r="625" spans="1:18" ht="15">
      <c r="A625" s="64" t="s">
        <v>243</v>
      </c>
      <c r="B625" s="64" t="s">
        <v>2477</v>
      </c>
      <c r="C625" s="65" t="s">
        <v>4443</v>
      </c>
      <c r="D625" s="66">
        <v>3</v>
      </c>
      <c r="E625" s="67"/>
      <c r="F625" s="68">
        <v>40</v>
      </c>
      <c r="G625" s="65"/>
      <c r="H625" s="69"/>
      <c r="I625" s="70"/>
      <c r="J625" s="70"/>
      <c r="K625" s="34" t="s">
        <v>65</v>
      </c>
      <c r="L625" s="77">
        <v>625</v>
      </c>
      <c r="M625" s="77"/>
      <c r="N625" s="72"/>
      <c r="O625" s="79" t="s">
        <v>610</v>
      </c>
      <c r="P625" s="79">
        <v>1</v>
      </c>
      <c r="Q625" s="78" t="str">
        <f>REPLACE(INDEX(GroupVertices[Group],MATCH(Edges[[#This Row],[Vertex 1]],GroupVertices[Vertex],0)),1,1,"")</f>
        <v>emorable Psychiatry and Neurology</v>
      </c>
      <c r="R625" s="78" t="str">
        <f>REPLACE(INDEX(GroupVertices[Group],MATCH(Edges[[#This Row],[Vertex 2]],GroupVertices[Vertex],0)),1,1,"")</f>
        <v>ot Like The Others</v>
      </c>
    </row>
    <row r="626" spans="1:18" ht="15">
      <c r="A626" s="64" t="s">
        <v>243</v>
      </c>
      <c r="B626" s="64" t="s">
        <v>274</v>
      </c>
      <c r="C626" s="65" t="s">
        <v>4443</v>
      </c>
      <c r="D626" s="66">
        <v>3</v>
      </c>
      <c r="E626" s="67"/>
      <c r="F626" s="68">
        <v>40</v>
      </c>
      <c r="G626" s="65"/>
      <c r="H626" s="69"/>
      <c r="I626" s="70"/>
      <c r="J626" s="70"/>
      <c r="K626" s="34" t="s">
        <v>65</v>
      </c>
      <c r="L626" s="77">
        <v>626</v>
      </c>
      <c r="M626" s="77"/>
      <c r="N626" s="72"/>
      <c r="O626" s="79" t="s">
        <v>610</v>
      </c>
      <c r="P626" s="79">
        <v>1</v>
      </c>
      <c r="Q626" s="78" t="str">
        <f>REPLACE(INDEX(GroupVertices[Group],MATCH(Edges[[#This Row],[Vertex 1]],GroupVertices[Vertex],0)),1,1,"")</f>
        <v>emorable Psychiatry and Neurology</v>
      </c>
      <c r="R626" s="78" t="str">
        <f>REPLACE(INDEX(GroupVertices[Group],MATCH(Edges[[#This Row],[Vertex 2]],GroupVertices[Vertex],0)),1,1,"")</f>
        <v>irty Medicine</v>
      </c>
    </row>
    <row r="627" spans="1:18" ht="15">
      <c r="A627" s="64" t="s">
        <v>243</v>
      </c>
      <c r="B627" s="64" t="s">
        <v>388</v>
      </c>
      <c r="C627" s="65" t="s">
        <v>4443</v>
      </c>
      <c r="D627" s="66">
        <v>3</v>
      </c>
      <c r="E627" s="67"/>
      <c r="F627" s="68">
        <v>40</v>
      </c>
      <c r="G627" s="65"/>
      <c r="H627" s="69"/>
      <c r="I627" s="70"/>
      <c r="J627" s="70"/>
      <c r="K627" s="34" t="s">
        <v>65</v>
      </c>
      <c r="L627" s="77">
        <v>627</v>
      </c>
      <c r="M627" s="77"/>
      <c r="N627" s="72"/>
      <c r="O627" s="79" t="s">
        <v>610</v>
      </c>
      <c r="P627" s="79">
        <v>1</v>
      </c>
      <c r="Q627" s="78" t="str">
        <f>REPLACE(INDEX(GroupVertices[Group],MATCH(Edges[[#This Row],[Vertex 1]],GroupVertices[Vertex],0)),1,1,"")</f>
        <v>emorable Psychiatry and Neurology</v>
      </c>
      <c r="R627" s="78" t="str">
        <f>REPLACE(INDEX(GroupVertices[Group],MATCH(Edges[[#This Row],[Vertex 2]],GroupVertices[Vertex],0)),1,1,"")</f>
        <v>emorable Psychiatry and Neurology</v>
      </c>
    </row>
    <row r="628" spans="1:18" ht="15">
      <c r="A628" s="64" t="s">
        <v>243</v>
      </c>
      <c r="B628" s="64" t="s">
        <v>580</v>
      </c>
      <c r="C628" s="65" t="s">
        <v>4443</v>
      </c>
      <c r="D628" s="66">
        <v>3</v>
      </c>
      <c r="E628" s="67"/>
      <c r="F628" s="68">
        <v>40</v>
      </c>
      <c r="G628" s="65"/>
      <c r="H628" s="69"/>
      <c r="I628" s="70"/>
      <c r="J628" s="70"/>
      <c r="K628" s="34" t="s">
        <v>65</v>
      </c>
      <c r="L628" s="77">
        <v>628</v>
      </c>
      <c r="M628" s="77"/>
      <c r="N628" s="72"/>
      <c r="O628" s="79" t="s">
        <v>610</v>
      </c>
      <c r="P628" s="79">
        <v>1</v>
      </c>
      <c r="Q628" s="78" t="str">
        <f>REPLACE(INDEX(GroupVertices[Group],MATCH(Edges[[#This Row],[Vertex 1]],GroupVertices[Vertex],0)),1,1,"")</f>
        <v>emorable Psychiatry and Neurology</v>
      </c>
      <c r="R628" s="78" t="str">
        <f>REPLACE(INDEX(GroupVertices[Group],MATCH(Edges[[#This Row],[Vertex 2]],GroupVertices[Vertex],0)),1,1,"")</f>
        <v>ot Like The Others</v>
      </c>
    </row>
    <row r="629" spans="1:18" ht="15">
      <c r="A629" s="64" t="s">
        <v>243</v>
      </c>
      <c r="B629" s="64" t="s">
        <v>275</v>
      </c>
      <c r="C629" s="65" t="s">
        <v>4443</v>
      </c>
      <c r="D629" s="66">
        <v>3</v>
      </c>
      <c r="E629" s="67"/>
      <c r="F629" s="68">
        <v>40</v>
      </c>
      <c r="G629" s="65"/>
      <c r="H629" s="69"/>
      <c r="I629" s="70"/>
      <c r="J629" s="70"/>
      <c r="K629" s="34" t="s">
        <v>65</v>
      </c>
      <c r="L629" s="77">
        <v>629</v>
      </c>
      <c r="M629" s="77"/>
      <c r="N629" s="72"/>
      <c r="O629" s="79" t="s">
        <v>610</v>
      </c>
      <c r="P629" s="79">
        <v>1</v>
      </c>
      <c r="Q629" s="78" t="str">
        <f>REPLACE(INDEX(GroupVertices[Group],MATCH(Edges[[#This Row],[Vertex 1]],GroupVertices[Vertex],0)),1,1,"")</f>
        <v>emorable Psychiatry and Neurology</v>
      </c>
      <c r="R629" s="78" t="str">
        <f>REPLACE(INDEX(GroupVertices[Group],MATCH(Edges[[#This Row],[Vertex 2]],GroupVertices[Vertex],0)),1,1,"")</f>
        <v>emorable Psychiatry and Neurology</v>
      </c>
    </row>
    <row r="630" spans="1:18" ht="15">
      <c r="A630" s="64" t="s">
        <v>243</v>
      </c>
      <c r="B630" s="64" t="s">
        <v>307</v>
      </c>
      <c r="C630" s="65" t="s">
        <v>4443</v>
      </c>
      <c r="D630" s="66">
        <v>3</v>
      </c>
      <c r="E630" s="67"/>
      <c r="F630" s="68">
        <v>40</v>
      </c>
      <c r="G630" s="65"/>
      <c r="H630" s="69"/>
      <c r="I630" s="70"/>
      <c r="J630" s="70"/>
      <c r="K630" s="34" t="s">
        <v>65</v>
      </c>
      <c r="L630" s="77">
        <v>630</v>
      </c>
      <c r="M630" s="77"/>
      <c r="N630" s="72"/>
      <c r="O630" s="79" t="s">
        <v>610</v>
      </c>
      <c r="P630" s="79">
        <v>1</v>
      </c>
      <c r="Q630" s="78" t="str">
        <f>REPLACE(INDEX(GroupVertices[Group],MATCH(Edges[[#This Row],[Vertex 1]],GroupVertices[Vertex],0)),1,1,"")</f>
        <v>emorable Psychiatry and Neurology</v>
      </c>
      <c r="R630" s="78" t="str">
        <f>REPLACE(INDEX(GroupVertices[Group],MATCH(Edges[[#This Row],[Vertex 2]],GroupVertices[Vertex],0)),1,1,"")</f>
        <v>irty Medicine</v>
      </c>
    </row>
    <row r="631" spans="1:18" ht="15">
      <c r="A631" s="64" t="s">
        <v>243</v>
      </c>
      <c r="B631" s="64" t="s">
        <v>387</v>
      </c>
      <c r="C631" s="65" t="s">
        <v>4443</v>
      </c>
      <c r="D631" s="66">
        <v>3</v>
      </c>
      <c r="E631" s="67"/>
      <c r="F631" s="68">
        <v>40</v>
      </c>
      <c r="G631" s="65"/>
      <c r="H631" s="69"/>
      <c r="I631" s="70"/>
      <c r="J631" s="70"/>
      <c r="K631" s="34" t="s">
        <v>65</v>
      </c>
      <c r="L631" s="77">
        <v>631</v>
      </c>
      <c r="M631" s="77"/>
      <c r="N631" s="72"/>
      <c r="O631" s="79" t="s">
        <v>610</v>
      </c>
      <c r="P631" s="79">
        <v>1</v>
      </c>
      <c r="Q631" s="78" t="str">
        <f>REPLACE(INDEX(GroupVertices[Group],MATCH(Edges[[#This Row],[Vertex 1]],GroupVertices[Vertex],0)),1,1,"")</f>
        <v>emorable Psychiatry and Neurology</v>
      </c>
      <c r="R631" s="78" t="str">
        <f>REPLACE(INDEX(GroupVertices[Group],MATCH(Edges[[#This Row],[Vertex 2]],GroupVertices[Vertex],0)),1,1,"")</f>
        <v>imple Nursing</v>
      </c>
    </row>
    <row r="632" spans="1:18" ht="15">
      <c r="A632" s="64" t="s">
        <v>243</v>
      </c>
      <c r="B632" s="64" t="s">
        <v>541</v>
      </c>
      <c r="C632" s="65" t="s">
        <v>4443</v>
      </c>
      <c r="D632" s="66">
        <v>3</v>
      </c>
      <c r="E632" s="67"/>
      <c r="F632" s="68">
        <v>40</v>
      </c>
      <c r="G632" s="65"/>
      <c r="H632" s="69"/>
      <c r="I632" s="70"/>
      <c r="J632" s="70"/>
      <c r="K632" s="34" t="s">
        <v>65</v>
      </c>
      <c r="L632" s="77">
        <v>632</v>
      </c>
      <c r="M632" s="77"/>
      <c r="N632" s="72"/>
      <c r="O632" s="79" t="s">
        <v>610</v>
      </c>
      <c r="P632" s="79">
        <v>1</v>
      </c>
      <c r="Q632" s="78" t="str">
        <f>REPLACE(INDEX(GroupVertices[Group],MATCH(Edges[[#This Row],[Vertex 1]],GroupVertices[Vertex],0)),1,1,"")</f>
        <v>emorable Psychiatry and Neurology</v>
      </c>
      <c r="R632" s="78" t="str">
        <f>REPLACE(INDEX(GroupVertices[Group],MATCH(Edges[[#This Row],[Vertex 2]],GroupVertices[Vertex],0)),1,1,"")</f>
        <v>imple Nursing</v>
      </c>
    </row>
    <row r="633" spans="1:18" ht="15">
      <c r="A633" s="64" t="s">
        <v>243</v>
      </c>
      <c r="B633" s="64" t="s">
        <v>581</v>
      </c>
      <c r="C633" s="65" t="s">
        <v>4443</v>
      </c>
      <c r="D633" s="66">
        <v>3</v>
      </c>
      <c r="E633" s="67"/>
      <c r="F633" s="68">
        <v>40</v>
      </c>
      <c r="G633" s="65"/>
      <c r="H633" s="69"/>
      <c r="I633" s="70"/>
      <c r="J633" s="70"/>
      <c r="K633" s="34" t="s">
        <v>65</v>
      </c>
      <c r="L633" s="77">
        <v>633</v>
      </c>
      <c r="M633" s="77"/>
      <c r="N633" s="72"/>
      <c r="O633" s="79" t="s">
        <v>610</v>
      </c>
      <c r="P633" s="79">
        <v>1</v>
      </c>
      <c r="Q633" s="78" t="str">
        <f>REPLACE(INDEX(GroupVertices[Group],MATCH(Edges[[#This Row],[Vertex 1]],GroupVertices[Vertex],0)),1,1,"")</f>
        <v>emorable Psychiatry and Neurology</v>
      </c>
      <c r="R633" s="78" t="str">
        <f>REPLACE(INDEX(GroupVertices[Group],MATCH(Edges[[#This Row],[Vertex 2]],GroupVertices[Vertex],0)),1,1,"")</f>
        <v>emorable Psychiatry and Neurology</v>
      </c>
    </row>
    <row r="634" spans="1:18" ht="15">
      <c r="A634" s="64" t="s">
        <v>243</v>
      </c>
      <c r="B634" s="64" t="s">
        <v>563</v>
      </c>
      <c r="C634" s="65" t="s">
        <v>4443</v>
      </c>
      <c r="D634" s="66">
        <v>3</v>
      </c>
      <c r="E634" s="67"/>
      <c r="F634" s="68">
        <v>40</v>
      </c>
      <c r="G634" s="65"/>
      <c r="H634" s="69"/>
      <c r="I634" s="70"/>
      <c r="J634" s="70"/>
      <c r="K634" s="34" t="s">
        <v>65</v>
      </c>
      <c r="L634" s="77">
        <v>634</v>
      </c>
      <c r="M634" s="77"/>
      <c r="N634" s="72"/>
      <c r="O634" s="79" t="s">
        <v>610</v>
      </c>
      <c r="P634" s="79">
        <v>1</v>
      </c>
      <c r="Q634" s="78" t="str">
        <f>REPLACE(INDEX(GroupVertices[Group],MATCH(Edges[[#This Row],[Vertex 1]],GroupVertices[Vertex],0)),1,1,"")</f>
        <v>emorable Psychiatry and Neurology</v>
      </c>
      <c r="R634" s="78" t="str">
        <f>REPLACE(INDEX(GroupVertices[Group],MATCH(Edges[[#This Row],[Vertex 2]],GroupVertices[Vertex],0)),1,1,"")</f>
        <v>irty Medicine</v>
      </c>
    </row>
    <row r="635" spans="1:18" ht="15">
      <c r="A635" s="64" t="s">
        <v>243</v>
      </c>
      <c r="B635" s="64" t="s">
        <v>582</v>
      </c>
      <c r="C635" s="65" t="s">
        <v>4443</v>
      </c>
      <c r="D635" s="66">
        <v>3</v>
      </c>
      <c r="E635" s="67"/>
      <c r="F635" s="68">
        <v>40</v>
      </c>
      <c r="G635" s="65"/>
      <c r="H635" s="69"/>
      <c r="I635" s="70"/>
      <c r="J635" s="70"/>
      <c r="K635" s="34" t="s">
        <v>65</v>
      </c>
      <c r="L635" s="77">
        <v>635</v>
      </c>
      <c r="M635" s="77"/>
      <c r="N635" s="72"/>
      <c r="O635" s="79" t="s">
        <v>610</v>
      </c>
      <c r="P635" s="79">
        <v>1</v>
      </c>
      <c r="Q635" s="78" t="str">
        <f>REPLACE(INDEX(GroupVertices[Group],MATCH(Edges[[#This Row],[Vertex 1]],GroupVertices[Vertex],0)),1,1,"")</f>
        <v>emorable Psychiatry and Neurology</v>
      </c>
      <c r="R635" s="78" t="str">
        <f>REPLACE(INDEX(GroupVertices[Group],MATCH(Edges[[#This Row],[Vertex 2]],GroupVertices[Vertex],0)),1,1,"")</f>
        <v>emorable Psychiatry and Neurology</v>
      </c>
    </row>
    <row r="636" spans="1:18" ht="15">
      <c r="A636" s="64" t="s">
        <v>243</v>
      </c>
      <c r="B636" s="64" t="s">
        <v>570</v>
      </c>
      <c r="C636" s="65" t="s">
        <v>4443</v>
      </c>
      <c r="D636" s="66">
        <v>3</v>
      </c>
      <c r="E636" s="67"/>
      <c r="F636" s="68">
        <v>40</v>
      </c>
      <c r="G636" s="65"/>
      <c r="H636" s="69"/>
      <c r="I636" s="70"/>
      <c r="J636" s="70"/>
      <c r="K636" s="34" t="s">
        <v>65</v>
      </c>
      <c r="L636" s="77">
        <v>636</v>
      </c>
      <c r="M636" s="77"/>
      <c r="N636" s="72"/>
      <c r="O636" s="79" t="s">
        <v>610</v>
      </c>
      <c r="P636" s="79">
        <v>1</v>
      </c>
      <c r="Q636" s="78" t="str">
        <f>REPLACE(INDEX(GroupVertices[Group],MATCH(Edges[[#This Row],[Vertex 1]],GroupVertices[Vertex],0)),1,1,"")</f>
        <v>emorable Psychiatry and Neurology</v>
      </c>
      <c r="R636" s="78" t="str">
        <f>REPLACE(INDEX(GroupVertices[Group],MATCH(Edges[[#This Row],[Vertex 2]],GroupVertices[Vertex],0)),1,1,"")</f>
        <v>emorable Psychiatry and Neurology</v>
      </c>
    </row>
    <row r="637" spans="1:18" ht="15">
      <c r="A637" s="64" t="s">
        <v>243</v>
      </c>
      <c r="B637" s="64" t="s">
        <v>584</v>
      </c>
      <c r="C637" s="65" t="s">
        <v>4443</v>
      </c>
      <c r="D637" s="66">
        <v>3</v>
      </c>
      <c r="E637" s="67"/>
      <c r="F637" s="68">
        <v>40</v>
      </c>
      <c r="G637" s="65"/>
      <c r="H637" s="69"/>
      <c r="I637" s="70"/>
      <c r="J637" s="70"/>
      <c r="K637" s="34" t="s">
        <v>65</v>
      </c>
      <c r="L637" s="77">
        <v>637</v>
      </c>
      <c r="M637" s="77"/>
      <c r="N637" s="72"/>
      <c r="O637" s="79" t="s">
        <v>610</v>
      </c>
      <c r="P637" s="79">
        <v>1</v>
      </c>
      <c r="Q637" s="78" t="str">
        <f>REPLACE(INDEX(GroupVertices[Group],MATCH(Edges[[#This Row],[Vertex 1]],GroupVertices[Vertex],0)),1,1,"")</f>
        <v>emorable Psychiatry and Neurology</v>
      </c>
      <c r="R637" s="78" t="str">
        <f>REPLACE(INDEX(GroupVertices[Group],MATCH(Edges[[#This Row],[Vertex 2]],GroupVertices[Vertex],0)),1,1,"")</f>
        <v>emorable Psychiatry and Neurology</v>
      </c>
    </row>
    <row r="638" spans="1:18" ht="15">
      <c r="A638" s="64" t="s">
        <v>243</v>
      </c>
      <c r="B638" s="64" t="s">
        <v>602</v>
      </c>
      <c r="C638" s="65" t="s">
        <v>4443</v>
      </c>
      <c r="D638" s="66">
        <v>3</v>
      </c>
      <c r="E638" s="67"/>
      <c r="F638" s="68">
        <v>40</v>
      </c>
      <c r="G638" s="65"/>
      <c r="H638" s="69"/>
      <c r="I638" s="70"/>
      <c r="J638" s="70"/>
      <c r="K638" s="34" t="s">
        <v>65</v>
      </c>
      <c r="L638" s="77">
        <v>638</v>
      </c>
      <c r="M638" s="77"/>
      <c r="N638" s="72"/>
      <c r="O638" s="79" t="s">
        <v>610</v>
      </c>
      <c r="P638" s="79">
        <v>1</v>
      </c>
      <c r="Q638" s="78" t="str">
        <f>REPLACE(INDEX(GroupVertices[Group],MATCH(Edges[[#This Row],[Vertex 1]],GroupVertices[Vertex],0)),1,1,"")</f>
        <v>emorable Psychiatry and Neurology</v>
      </c>
      <c r="R638" s="78" t="str">
        <f>REPLACE(INDEX(GroupVertices[Group],MATCH(Edges[[#This Row],[Vertex 2]],GroupVertices[Vertex],0)),1,1,"")</f>
        <v>emorable Psychiatry and Neurology</v>
      </c>
    </row>
    <row r="639" spans="1:18" ht="15">
      <c r="A639" s="64" t="s">
        <v>243</v>
      </c>
      <c r="B639" s="64" t="s">
        <v>555</v>
      </c>
      <c r="C639" s="65" t="s">
        <v>4443</v>
      </c>
      <c r="D639" s="66">
        <v>3</v>
      </c>
      <c r="E639" s="67"/>
      <c r="F639" s="68">
        <v>40</v>
      </c>
      <c r="G639" s="65"/>
      <c r="H639" s="69"/>
      <c r="I639" s="70"/>
      <c r="J639" s="70"/>
      <c r="K639" s="34" t="s">
        <v>65</v>
      </c>
      <c r="L639" s="77">
        <v>639</v>
      </c>
      <c r="M639" s="77"/>
      <c r="N639" s="72"/>
      <c r="O639" s="79" t="s">
        <v>610</v>
      </c>
      <c r="P639" s="79">
        <v>1</v>
      </c>
      <c r="Q639" s="78" t="str">
        <f>REPLACE(INDEX(GroupVertices[Group],MATCH(Edges[[#This Row],[Vertex 1]],GroupVertices[Vertex],0)),1,1,"")</f>
        <v>emorable Psychiatry and Neurology</v>
      </c>
      <c r="R639" s="78" t="str">
        <f>REPLACE(INDEX(GroupVertices[Group],MATCH(Edges[[#This Row],[Vertex 2]],GroupVertices[Vertex],0)),1,1,"")</f>
        <v>emorable Psychiatry and Neurology</v>
      </c>
    </row>
    <row r="640" spans="1:18" ht="15">
      <c r="A640" s="64" t="s">
        <v>243</v>
      </c>
      <c r="B640" s="64" t="s">
        <v>269</v>
      </c>
      <c r="C640" s="65" t="s">
        <v>4443</v>
      </c>
      <c r="D640" s="66">
        <v>3</v>
      </c>
      <c r="E640" s="67"/>
      <c r="F640" s="68">
        <v>40</v>
      </c>
      <c r="G640" s="65"/>
      <c r="H640" s="69"/>
      <c r="I640" s="70"/>
      <c r="J640" s="70"/>
      <c r="K640" s="34" t="s">
        <v>65</v>
      </c>
      <c r="L640" s="77">
        <v>640</v>
      </c>
      <c r="M640" s="77"/>
      <c r="N640" s="72"/>
      <c r="O640" s="79" t="s">
        <v>610</v>
      </c>
      <c r="P640" s="79">
        <v>1</v>
      </c>
      <c r="Q640" s="78" t="str">
        <f>REPLACE(INDEX(GroupVertices[Group],MATCH(Edges[[#This Row],[Vertex 1]],GroupVertices[Vertex],0)),1,1,"")</f>
        <v>emorable Psychiatry and Neurology</v>
      </c>
      <c r="R640" s="78" t="str">
        <f>REPLACE(INDEX(GroupVertices[Group],MATCH(Edges[[#This Row],[Vertex 2]],GroupVertices[Vertex],0)),1,1,"")</f>
        <v>emorable Psychiatry and Neurology</v>
      </c>
    </row>
    <row r="641" spans="1:18" ht="15">
      <c r="A641" s="64" t="s">
        <v>243</v>
      </c>
      <c r="B641" s="64" t="s">
        <v>587</v>
      </c>
      <c r="C641" s="65" t="s">
        <v>4443</v>
      </c>
      <c r="D641" s="66">
        <v>3</v>
      </c>
      <c r="E641" s="67"/>
      <c r="F641" s="68">
        <v>40</v>
      </c>
      <c r="G641" s="65"/>
      <c r="H641" s="69"/>
      <c r="I641" s="70"/>
      <c r="J641" s="70"/>
      <c r="K641" s="34" t="s">
        <v>65</v>
      </c>
      <c r="L641" s="77">
        <v>641</v>
      </c>
      <c r="M641" s="77"/>
      <c r="N641" s="72"/>
      <c r="O641" s="79" t="s">
        <v>610</v>
      </c>
      <c r="P641" s="79">
        <v>1</v>
      </c>
      <c r="Q641" s="78" t="str">
        <f>REPLACE(INDEX(GroupVertices[Group],MATCH(Edges[[#This Row],[Vertex 1]],GroupVertices[Vertex],0)),1,1,"")</f>
        <v>emorable Psychiatry and Neurology</v>
      </c>
      <c r="R641" s="78" t="str">
        <f>REPLACE(INDEX(GroupVertices[Group],MATCH(Edges[[#This Row],[Vertex 2]],GroupVertices[Vertex],0)),1,1,"")</f>
        <v>emorable Psychiatry and Neurology</v>
      </c>
    </row>
    <row r="642" spans="1:18" ht="15">
      <c r="A642" s="64" t="s">
        <v>243</v>
      </c>
      <c r="B642" s="64" t="s">
        <v>2478</v>
      </c>
      <c r="C642" s="65" t="s">
        <v>4443</v>
      </c>
      <c r="D642" s="66">
        <v>3</v>
      </c>
      <c r="E642" s="67"/>
      <c r="F642" s="68">
        <v>40</v>
      </c>
      <c r="G642" s="65"/>
      <c r="H642" s="69"/>
      <c r="I642" s="70"/>
      <c r="J642" s="70"/>
      <c r="K642" s="34" t="s">
        <v>65</v>
      </c>
      <c r="L642" s="77">
        <v>642</v>
      </c>
      <c r="M642" s="77"/>
      <c r="N642" s="72"/>
      <c r="O642" s="79" t="s">
        <v>610</v>
      </c>
      <c r="P642" s="79">
        <v>1</v>
      </c>
      <c r="Q642" s="78" t="str">
        <f>REPLACE(INDEX(GroupVertices[Group],MATCH(Edges[[#This Row],[Vertex 1]],GroupVertices[Vertex],0)),1,1,"")</f>
        <v>emorable Psychiatry and Neurology</v>
      </c>
      <c r="R642" s="78" t="str">
        <f>REPLACE(INDEX(GroupVertices[Group],MATCH(Edges[[#This Row],[Vertex 2]],GroupVertices[Vertex],0)),1,1,"")</f>
        <v>emorable Psychiatry and Neurology</v>
      </c>
    </row>
    <row r="643" spans="1:18" ht="15">
      <c r="A643" s="64" t="s">
        <v>243</v>
      </c>
      <c r="B643" s="64" t="s">
        <v>589</v>
      </c>
      <c r="C643" s="65" t="s">
        <v>4443</v>
      </c>
      <c r="D643" s="66">
        <v>3</v>
      </c>
      <c r="E643" s="67"/>
      <c r="F643" s="68">
        <v>40</v>
      </c>
      <c r="G643" s="65"/>
      <c r="H643" s="69"/>
      <c r="I643" s="70"/>
      <c r="J643" s="70"/>
      <c r="K643" s="34" t="s">
        <v>65</v>
      </c>
      <c r="L643" s="77">
        <v>643</v>
      </c>
      <c r="M643" s="77"/>
      <c r="N643" s="72"/>
      <c r="O643" s="79" t="s">
        <v>610</v>
      </c>
      <c r="P643" s="79">
        <v>1</v>
      </c>
      <c r="Q643" s="78" t="str">
        <f>REPLACE(INDEX(GroupVertices[Group],MATCH(Edges[[#This Row],[Vertex 1]],GroupVertices[Vertex],0)),1,1,"")</f>
        <v>emorable Psychiatry and Neurology</v>
      </c>
      <c r="R643" s="78" t="str">
        <f>REPLACE(INDEX(GroupVertices[Group],MATCH(Edges[[#This Row],[Vertex 2]],GroupVertices[Vertex],0)),1,1,"")</f>
        <v>emorable Psychiatry and Neurology</v>
      </c>
    </row>
    <row r="644" spans="1:18" ht="15">
      <c r="A644" s="64" t="s">
        <v>243</v>
      </c>
      <c r="B644" s="64" t="s">
        <v>583</v>
      </c>
      <c r="C644" s="65" t="s">
        <v>4443</v>
      </c>
      <c r="D644" s="66">
        <v>3</v>
      </c>
      <c r="E644" s="67"/>
      <c r="F644" s="68">
        <v>40</v>
      </c>
      <c r="G644" s="65"/>
      <c r="H644" s="69"/>
      <c r="I644" s="70"/>
      <c r="J644" s="70"/>
      <c r="K644" s="34" t="s">
        <v>65</v>
      </c>
      <c r="L644" s="77">
        <v>644</v>
      </c>
      <c r="M644" s="77"/>
      <c r="N644" s="72"/>
      <c r="O644" s="79" t="s">
        <v>610</v>
      </c>
      <c r="P644" s="79">
        <v>1</v>
      </c>
      <c r="Q644" s="78" t="str">
        <f>REPLACE(INDEX(GroupVertices[Group],MATCH(Edges[[#This Row],[Vertex 1]],GroupVertices[Vertex],0)),1,1,"")</f>
        <v>emorable Psychiatry and Neurology</v>
      </c>
      <c r="R644" s="78" t="str">
        <f>REPLACE(INDEX(GroupVertices[Group],MATCH(Edges[[#This Row],[Vertex 2]],GroupVertices[Vertex],0)),1,1,"")</f>
        <v>emorable Psychiatry and Neurology</v>
      </c>
    </row>
    <row r="645" spans="1:18" ht="15">
      <c r="A645" s="64" t="s">
        <v>243</v>
      </c>
      <c r="B645" s="64" t="s">
        <v>585</v>
      </c>
      <c r="C645" s="65" t="s">
        <v>4443</v>
      </c>
      <c r="D645" s="66">
        <v>3</v>
      </c>
      <c r="E645" s="67"/>
      <c r="F645" s="68">
        <v>40</v>
      </c>
      <c r="G645" s="65"/>
      <c r="H645" s="69"/>
      <c r="I645" s="70"/>
      <c r="J645" s="70"/>
      <c r="K645" s="34" t="s">
        <v>65</v>
      </c>
      <c r="L645" s="77">
        <v>645</v>
      </c>
      <c r="M645" s="77"/>
      <c r="N645" s="72"/>
      <c r="O645" s="79" t="s">
        <v>610</v>
      </c>
      <c r="P645" s="79">
        <v>1</v>
      </c>
      <c r="Q645" s="78" t="str">
        <f>REPLACE(INDEX(GroupVertices[Group],MATCH(Edges[[#This Row],[Vertex 1]],GroupVertices[Vertex],0)),1,1,"")</f>
        <v>emorable Psychiatry and Neurology</v>
      </c>
      <c r="R645" s="78" t="str">
        <f>REPLACE(INDEX(GroupVertices[Group],MATCH(Edges[[#This Row],[Vertex 2]],GroupVertices[Vertex],0)),1,1,"")</f>
        <v>emorable Psychiatry and Neurology</v>
      </c>
    </row>
    <row r="646" spans="1:18" ht="15">
      <c r="A646" s="64" t="s">
        <v>243</v>
      </c>
      <c r="B646" s="64" t="s">
        <v>586</v>
      </c>
      <c r="C646" s="65" t="s">
        <v>4443</v>
      </c>
      <c r="D646" s="66">
        <v>3</v>
      </c>
      <c r="E646" s="67"/>
      <c r="F646" s="68">
        <v>40</v>
      </c>
      <c r="G646" s="65"/>
      <c r="H646" s="69"/>
      <c r="I646" s="70"/>
      <c r="J646" s="70"/>
      <c r="K646" s="34" t="s">
        <v>65</v>
      </c>
      <c r="L646" s="77">
        <v>646</v>
      </c>
      <c r="M646" s="77"/>
      <c r="N646" s="72"/>
      <c r="O646" s="79" t="s">
        <v>610</v>
      </c>
      <c r="P646" s="79">
        <v>1</v>
      </c>
      <c r="Q646" s="78" t="str">
        <f>REPLACE(INDEX(GroupVertices[Group],MATCH(Edges[[#This Row],[Vertex 1]],GroupVertices[Vertex],0)),1,1,"")</f>
        <v>emorable Psychiatry and Neurology</v>
      </c>
      <c r="R646" s="78" t="str">
        <f>REPLACE(INDEX(GroupVertices[Group],MATCH(Edges[[#This Row],[Vertex 2]],GroupVertices[Vertex],0)),1,1,"")</f>
        <v>emorable Psychiatry and Neurology</v>
      </c>
    </row>
    <row r="647" spans="1:18" ht="15">
      <c r="A647" s="64" t="s">
        <v>243</v>
      </c>
      <c r="B647" s="64" t="s">
        <v>588</v>
      </c>
      <c r="C647" s="65" t="s">
        <v>4443</v>
      </c>
      <c r="D647" s="66">
        <v>3</v>
      </c>
      <c r="E647" s="67"/>
      <c r="F647" s="68">
        <v>40</v>
      </c>
      <c r="G647" s="65"/>
      <c r="H647" s="69"/>
      <c r="I647" s="70"/>
      <c r="J647" s="70"/>
      <c r="K647" s="34" t="s">
        <v>65</v>
      </c>
      <c r="L647" s="77">
        <v>647</v>
      </c>
      <c r="M647" s="77"/>
      <c r="N647" s="72"/>
      <c r="O647" s="79" t="s">
        <v>610</v>
      </c>
      <c r="P647" s="79">
        <v>1</v>
      </c>
      <c r="Q647" s="78" t="str">
        <f>REPLACE(INDEX(GroupVertices[Group],MATCH(Edges[[#This Row],[Vertex 1]],GroupVertices[Vertex],0)),1,1,"")</f>
        <v>emorable Psychiatry and Neurology</v>
      </c>
      <c r="R647" s="78" t="str">
        <f>REPLACE(INDEX(GroupVertices[Group],MATCH(Edges[[#This Row],[Vertex 2]],GroupVertices[Vertex],0)),1,1,"")</f>
        <v>emorable Psychiatry and Neurology</v>
      </c>
    </row>
    <row r="648" spans="1:18" ht="15">
      <c r="A648" s="64" t="s">
        <v>243</v>
      </c>
      <c r="B648" s="64" t="s">
        <v>564</v>
      </c>
      <c r="C648" s="65" t="s">
        <v>4443</v>
      </c>
      <c r="D648" s="66">
        <v>3</v>
      </c>
      <c r="E648" s="67"/>
      <c r="F648" s="68">
        <v>40</v>
      </c>
      <c r="G648" s="65"/>
      <c r="H648" s="69"/>
      <c r="I648" s="70"/>
      <c r="J648" s="70"/>
      <c r="K648" s="34" t="s">
        <v>65</v>
      </c>
      <c r="L648" s="77">
        <v>648</v>
      </c>
      <c r="M648" s="77"/>
      <c r="N648" s="72"/>
      <c r="O648" s="79" t="s">
        <v>610</v>
      </c>
      <c r="P648" s="79">
        <v>1</v>
      </c>
      <c r="Q648" s="78" t="str">
        <f>REPLACE(INDEX(GroupVertices[Group],MATCH(Edges[[#This Row],[Vertex 1]],GroupVertices[Vertex],0)),1,1,"")</f>
        <v>emorable Psychiatry and Neurology</v>
      </c>
      <c r="R648" s="78" t="str">
        <f>REPLACE(INDEX(GroupVertices[Group],MATCH(Edges[[#This Row],[Vertex 2]],GroupVertices[Vertex],0)),1,1,"")</f>
        <v>emorable Psychiatry and Neurology</v>
      </c>
    </row>
    <row r="649" spans="1:18" ht="15">
      <c r="A649" s="64" t="s">
        <v>243</v>
      </c>
      <c r="B649" s="64" t="s">
        <v>272</v>
      </c>
      <c r="C649" s="65" t="s">
        <v>4443</v>
      </c>
      <c r="D649" s="66">
        <v>3</v>
      </c>
      <c r="E649" s="67"/>
      <c r="F649" s="68">
        <v>40</v>
      </c>
      <c r="G649" s="65"/>
      <c r="H649" s="69"/>
      <c r="I649" s="70"/>
      <c r="J649" s="70"/>
      <c r="K649" s="34" t="s">
        <v>65</v>
      </c>
      <c r="L649" s="77">
        <v>649</v>
      </c>
      <c r="M649" s="77"/>
      <c r="N649" s="72"/>
      <c r="O649" s="79" t="s">
        <v>610</v>
      </c>
      <c r="P649" s="79">
        <v>1</v>
      </c>
      <c r="Q649" s="78" t="str">
        <f>REPLACE(INDEX(GroupVertices[Group],MATCH(Edges[[#This Row],[Vertex 1]],GroupVertices[Vertex],0)),1,1,"")</f>
        <v>emorable Psychiatry and Neurology</v>
      </c>
      <c r="R649" s="78" t="str">
        <f>REPLACE(INDEX(GroupVertices[Group],MATCH(Edges[[#This Row],[Vertex 2]],GroupVertices[Vertex],0)),1,1,"")</f>
        <v>irty Medicine</v>
      </c>
    </row>
    <row r="650" spans="1:18" ht="15">
      <c r="A650" s="64" t="s">
        <v>243</v>
      </c>
      <c r="B650" s="64" t="s">
        <v>385</v>
      </c>
      <c r="C650" s="65" t="s">
        <v>4443</v>
      </c>
      <c r="D650" s="66">
        <v>3</v>
      </c>
      <c r="E650" s="67"/>
      <c r="F650" s="68">
        <v>40</v>
      </c>
      <c r="G650" s="65"/>
      <c r="H650" s="69"/>
      <c r="I650" s="70"/>
      <c r="J650" s="70"/>
      <c r="K650" s="34" t="s">
        <v>65</v>
      </c>
      <c r="L650" s="77">
        <v>650</v>
      </c>
      <c r="M650" s="77"/>
      <c r="N650" s="72"/>
      <c r="O650" s="79" t="s">
        <v>610</v>
      </c>
      <c r="P650" s="79">
        <v>1</v>
      </c>
      <c r="Q650" s="78" t="str">
        <f>REPLACE(INDEX(GroupVertices[Group],MATCH(Edges[[#This Row],[Vertex 1]],GroupVertices[Vertex],0)),1,1,"")</f>
        <v>emorable Psychiatry and Neurology</v>
      </c>
      <c r="R650" s="78" t="str">
        <f>REPLACE(INDEX(GroupVertices[Group],MATCH(Edges[[#This Row],[Vertex 2]],GroupVertices[Vertex],0)),1,1,"")</f>
        <v>emorable Psychiatry and Neurology</v>
      </c>
    </row>
    <row r="651" spans="1:18" ht="15">
      <c r="A651" s="64" t="s">
        <v>243</v>
      </c>
      <c r="B651" s="64" t="s">
        <v>597</v>
      </c>
      <c r="C651" s="65" t="s">
        <v>4443</v>
      </c>
      <c r="D651" s="66">
        <v>3</v>
      </c>
      <c r="E651" s="67"/>
      <c r="F651" s="68">
        <v>40</v>
      </c>
      <c r="G651" s="65"/>
      <c r="H651" s="69"/>
      <c r="I651" s="70"/>
      <c r="J651" s="70"/>
      <c r="K651" s="34" t="s">
        <v>65</v>
      </c>
      <c r="L651" s="77">
        <v>651</v>
      </c>
      <c r="M651" s="77"/>
      <c r="N651" s="72"/>
      <c r="O651" s="79" t="s">
        <v>610</v>
      </c>
      <c r="P651" s="79">
        <v>1</v>
      </c>
      <c r="Q651" s="78" t="str">
        <f>REPLACE(INDEX(GroupVertices[Group],MATCH(Edges[[#This Row],[Vertex 1]],GroupVertices[Vertex],0)),1,1,"")</f>
        <v>emorable Psychiatry and Neurology</v>
      </c>
      <c r="R651" s="78" t="str">
        <f>REPLACE(INDEX(GroupVertices[Group],MATCH(Edges[[#This Row],[Vertex 2]],GroupVertices[Vertex],0)),1,1,"")</f>
        <v>emorable Psychiatry and Neurology</v>
      </c>
    </row>
    <row r="652" spans="1:18" ht="15">
      <c r="A652" s="64" t="s">
        <v>243</v>
      </c>
      <c r="B652" s="64" t="s">
        <v>2553</v>
      </c>
      <c r="C652" s="65" t="s">
        <v>4443</v>
      </c>
      <c r="D652" s="66">
        <v>3</v>
      </c>
      <c r="E652" s="67"/>
      <c r="F652" s="68">
        <v>40</v>
      </c>
      <c r="G652" s="65"/>
      <c r="H652" s="69"/>
      <c r="I652" s="70"/>
      <c r="J652" s="70"/>
      <c r="K652" s="34" t="s">
        <v>65</v>
      </c>
      <c r="L652" s="77">
        <v>652</v>
      </c>
      <c r="M652" s="77"/>
      <c r="N652" s="72"/>
      <c r="O652" s="79" t="s">
        <v>610</v>
      </c>
      <c r="P652" s="79">
        <v>1</v>
      </c>
      <c r="Q652" s="78" t="str">
        <f>REPLACE(INDEX(GroupVertices[Group],MATCH(Edges[[#This Row],[Vertex 1]],GroupVertices[Vertex],0)),1,1,"")</f>
        <v>emorable Psychiatry and Neurology</v>
      </c>
      <c r="R652" s="78" t="str">
        <f>REPLACE(INDEX(GroupVertices[Group],MATCH(Edges[[#This Row],[Vertex 2]],GroupVertices[Vertex],0)),1,1,"")</f>
        <v>TUDY.PSYCHOLOGY</v>
      </c>
    </row>
    <row r="653" spans="1:18" ht="15">
      <c r="A653" s="64" t="s">
        <v>225</v>
      </c>
      <c r="B653" s="64" t="s">
        <v>327</v>
      </c>
      <c r="C653" s="65" t="s">
        <v>4443</v>
      </c>
      <c r="D653" s="66">
        <v>3</v>
      </c>
      <c r="E653" s="67"/>
      <c r="F653" s="68">
        <v>40</v>
      </c>
      <c r="G653" s="65"/>
      <c r="H653" s="69"/>
      <c r="I653" s="70"/>
      <c r="J653" s="70"/>
      <c r="K653" s="34" t="s">
        <v>65</v>
      </c>
      <c r="L653" s="77">
        <v>653</v>
      </c>
      <c r="M653" s="77"/>
      <c r="N653" s="72"/>
      <c r="O653" s="79" t="s">
        <v>610</v>
      </c>
      <c r="P653" s="79">
        <v>1</v>
      </c>
      <c r="Q653" s="78" t="str">
        <f>REPLACE(INDEX(GroupVertices[Group],MATCH(Edges[[#This Row],[Vertex 1]],GroupVertices[Vertex],0)),1,1,"")</f>
        <v>nlineCEUCredit</v>
      </c>
      <c r="R653" s="78" t="str">
        <f>REPLACE(INDEX(GroupVertices[Group],MATCH(Edges[[#This Row],[Vertex 2]],GroupVertices[Vertex],0)),1,1,"")</f>
        <v>nlineCEUCredit</v>
      </c>
    </row>
    <row r="654" spans="1:18" ht="15">
      <c r="A654" s="64" t="s">
        <v>225</v>
      </c>
      <c r="B654" s="64" t="s">
        <v>330</v>
      </c>
      <c r="C654" s="65" t="s">
        <v>4443</v>
      </c>
      <c r="D654" s="66">
        <v>3</v>
      </c>
      <c r="E654" s="67"/>
      <c r="F654" s="68">
        <v>40</v>
      </c>
      <c r="G654" s="65"/>
      <c r="H654" s="69"/>
      <c r="I654" s="70"/>
      <c r="J654" s="70"/>
      <c r="K654" s="34" t="s">
        <v>65</v>
      </c>
      <c r="L654" s="77">
        <v>654</v>
      </c>
      <c r="M654" s="77"/>
      <c r="N654" s="72"/>
      <c r="O654" s="79" t="s">
        <v>610</v>
      </c>
      <c r="P654" s="79">
        <v>1</v>
      </c>
      <c r="Q654" s="78" t="str">
        <f>REPLACE(INDEX(GroupVertices[Group],MATCH(Edges[[#This Row],[Vertex 1]],GroupVertices[Vertex],0)),1,1,"")</f>
        <v>nlineCEUCredit</v>
      </c>
      <c r="R654" s="78" t="str">
        <f>REPLACE(INDEX(GroupVertices[Group],MATCH(Edges[[#This Row],[Vertex 2]],GroupVertices[Vertex],0)),1,1,"")</f>
        <v>nlineCEUCredit</v>
      </c>
    </row>
    <row r="655" spans="1:18" ht="15">
      <c r="A655" s="64" t="s">
        <v>225</v>
      </c>
      <c r="B655" s="64" t="s">
        <v>329</v>
      </c>
      <c r="C655" s="65" t="s">
        <v>4443</v>
      </c>
      <c r="D655" s="66">
        <v>3</v>
      </c>
      <c r="E655" s="67"/>
      <c r="F655" s="68">
        <v>40</v>
      </c>
      <c r="G655" s="65"/>
      <c r="H655" s="69"/>
      <c r="I655" s="70"/>
      <c r="J655" s="70"/>
      <c r="K655" s="34" t="s">
        <v>65</v>
      </c>
      <c r="L655" s="77">
        <v>655</v>
      </c>
      <c r="M655" s="77"/>
      <c r="N655" s="72"/>
      <c r="O655" s="79" t="s">
        <v>610</v>
      </c>
      <c r="P655" s="79">
        <v>1</v>
      </c>
      <c r="Q655" s="78" t="str">
        <f>REPLACE(INDEX(GroupVertices[Group],MATCH(Edges[[#This Row],[Vertex 1]],GroupVertices[Vertex],0)),1,1,"")</f>
        <v>nlineCEUCredit</v>
      </c>
      <c r="R655" s="78" t="str">
        <f>REPLACE(INDEX(GroupVertices[Group],MATCH(Edges[[#This Row],[Vertex 2]],GroupVertices[Vertex],0)),1,1,"")</f>
        <v>nlineCEUCredit</v>
      </c>
    </row>
    <row r="656" spans="1:18" ht="15">
      <c r="A656" s="64" t="s">
        <v>225</v>
      </c>
      <c r="B656" s="64" t="s">
        <v>332</v>
      </c>
      <c r="C656" s="65" t="s">
        <v>4443</v>
      </c>
      <c r="D656" s="66">
        <v>3</v>
      </c>
      <c r="E656" s="67"/>
      <c r="F656" s="68">
        <v>40</v>
      </c>
      <c r="G656" s="65"/>
      <c r="H656" s="69"/>
      <c r="I656" s="70"/>
      <c r="J656" s="70"/>
      <c r="K656" s="34" t="s">
        <v>65</v>
      </c>
      <c r="L656" s="77">
        <v>656</v>
      </c>
      <c r="M656" s="77"/>
      <c r="N656" s="72"/>
      <c r="O656" s="79" t="s">
        <v>610</v>
      </c>
      <c r="P656" s="79">
        <v>1</v>
      </c>
      <c r="Q656" s="78" t="str">
        <f>REPLACE(INDEX(GroupVertices[Group],MATCH(Edges[[#This Row],[Vertex 1]],GroupVertices[Vertex],0)),1,1,"")</f>
        <v>nlineCEUCredit</v>
      </c>
      <c r="R656" s="78" t="str">
        <f>REPLACE(INDEX(GroupVertices[Group],MATCH(Edges[[#This Row],[Vertex 2]],GroupVertices[Vertex],0)),1,1,"")</f>
        <v>nlineCEUCredit</v>
      </c>
    </row>
    <row r="657" spans="1:18" ht="15">
      <c r="A657" s="64" t="s">
        <v>225</v>
      </c>
      <c r="B657" s="64" t="s">
        <v>335</v>
      </c>
      <c r="C657" s="65" t="s">
        <v>4443</v>
      </c>
      <c r="D657" s="66">
        <v>3</v>
      </c>
      <c r="E657" s="67"/>
      <c r="F657" s="68">
        <v>40</v>
      </c>
      <c r="G657" s="65"/>
      <c r="H657" s="69"/>
      <c r="I657" s="70"/>
      <c r="J657" s="70"/>
      <c r="K657" s="34" t="s">
        <v>65</v>
      </c>
      <c r="L657" s="77">
        <v>657</v>
      </c>
      <c r="M657" s="77"/>
      <c r="N657" s="72"/>
      <c r="O657" s="79" t="s">
        <v>610</v>
      </c>
      <c r="P657" s="79">
        <v>1</v>
      </c>
      <c r="Q657" s="78" t="str">
        <f>REPLACE(INDEX(GroupVertices[Group],MATCH(Edges[[#This Row],[Vertex 1]],GroupVertices[Vertex],0)),1,1,"")</f>
        <v>nlineCEUCredit</v>
      </c>
      <c r="R657" s="78" t="str">
        <f>REPLACE(INDEX(GroupVertices[Group],MATCH(Edges[[#This Row],[Vertex 2]],GroupVertices[Vertex],0)),1,1,"")</f>
        <v>nlineCEUCredit</v>
      </c>
    </row>
    <row r="658" spans="1:18" ht="15">
      <c r="A658" s="64" t="s">
        <v>225</v>
      </c>
      <c r="B658" s="64" t="s">
        <v>328</v>
      </c>
      <c r="C658" s="65" t="s">
        <v>4443</v>
      </c>
      <c r="D658" s="66">
        <v>3</v>
      </c>
      <c r="E658" s="67"/>
      <c r="F658" s="68">
        <v>40</v>
      </c>
      <c r="G658" s="65"/>
      <c r="H658" s="69"/>
      <c r="I658" s="70"/>
      <c r="J658" s="70"/>
      <c r="K658" s="34" t="s">
        <v>65</v>
      </c>
      <c r="L658" s="77">
        <v>658</v>
      </c>
      <c r="M658" s="77"/>
      <c r="N658" s="72"/>
      <c r="O658" s="79" t="s">
        <v>610</v>
      </c>
      <c r="P658" s="79">
        <v>1</v>
      </c>
      <c r="Q658" s="78" t="str">
        <f>REPLACE(INDEX(GroupVertices[Group],MATCH(Edges[[#This Row],[Vertex 1]],GroupVertices[Vertex],0)),1,1,"")</f>
        <v>nlineCEUCredit</v>
      </c>
      <c r="R658" s="78" t="str">
        <f>REPLACE(INDEX(GroupVertices[Group],MATCH(Edges[[#This Row],[Vertex 2]],GroupVertices[Vertex],0)),1,1,"")</f>
        <v>nlineCEUCredit</v>
      </c>
    </row>
    <row r="659" spans="1:18" ht="15">
      <c r="A659" s="64" t="s">
        <v>225</v>
      </c>
      <c r="B659" s="64" t="s">
        <v>347</v>
      </c>
      <c r="C659" s="65" t="s">
        <v>4443</v>
      </c>
      <c r="D659" s="66">
        <v>3</v>
      </c>
      <c r="E659" s="67"/>
      <c r="F659" s="68">
        <v>40</v>
      </c>
      <c r="G659" s="65"/>
      <c r="H659" s="69"/>
      <c r="I659" s="70"/>
      <c r="J659" s="70"/>
      <c r="K659" s="34" t="s">
        <v>65</v>
      </c>
      <c r="L659" s="77">
        <v>659</v>
      </c>
      <c r="M659" s="77"/>
      <c r="N659" s="72"/>
      <c r="O659" s="79" t="s">
        <v>610</v>
      </c>
      <c r="P659" s="79">
        <v>1</v>
      </c>
      <c r="Q659" s="78" t="str">
        <f>REPLACE(INDEX(GroupVertices[Group],MATCH(Edges[[#This Row],[Vertex 1]],GroupVertices[Vertex],0)),1,1,"")</f>
        <v>nlineCEUCredit</v>
      </c>
      <c r="R659" s="78" t="str">
        <f>REPLACE(INDEX(GroupVertices[Group],MATCH(Edges[[#This Row],[Vertex 2]],GroupVertices[Vertex],0)),1,1,"")</f>
        <v>nlineCEUCredit</v>
      </c>
    </row>
    <row r="660" spans="1:18" ht="15">
      <c r="A660" s="64" t="s">
        <v>225</v>
      </c>
      <c r="B660" s="64" t="s">
        <v>337</v>
      </c>
      <c r="C660" s="65" t="s">
        <v>4443</v>
      </c>
      <c r="D660" s="66">
        <v>3</v>
      </c>
      <c r="E660" s="67"/>
      <c r="F660" s="68">
        <v>40</v>
      </c>
      <c r="G660" s="65"/>
      <c r="H660" s="69"/>
      <c r="I660" s="70"/>
      <c r="J660" s="70"/>
      <c r="K660" s="34" t="s">
        <v>65</v>
      </c>
      <c r="L660" s="77">
        <v>660</v>
      </c>
      <c r="M660" s="77"/>
      <c r="N660" s="72"/>
      <c r="O660" s="79" t="s">
        <v>610</v>
      </c>
      <c r="P660" s="79">
        <v>1</v>
      </c>
      <c r="Q660" s="78" t="str">
        <f>REPLACE(INDEX(GroupVertices[Group],MATCH(Edges[[#This Row],[Vertex 1]],GroupVertices[Vertex],0)),1,1,"")</f>
        <v>nlineCEUCredit</v>
      </c>
      <c r="R660" s="78" t="str">
        <f>REPLACE(INDEX(GroupVertices[Group],MATCH(Edges[[#This Row],[Vertex 2]],GroupVertices[Vertex],0)),1,1,"")</f>
        <v>nlineCEUCredit</v>
      </c>
    </row>
    <row r="661" spans="1:18" ht="15">
      <c r="A661" s="64" t="s">
        <v>225</v>
      </c>
      <c r="B661" s="64" t="s">
        <v>331</v>
      </c>
      <c r="C661" s="65" t="s">
        <v>4443</v>
      </c>
      <c r="D661" s="66">
        <v>3</v>
      </c>
      <c r="E661" s="67"/>
      <c r="F661" s="68">
        <v>40</v>
      </c>
      <c r="G661" s="65"/>
      <c r="H661" s="69"/>
      <c r="I661" s="70"/>
      <c r="J661" s="70"/>
      <c r="K661" s="34" t="s">
        <v>65</v>
      </c>
      <c r="L661" s="77">
        <v>661</v>
      </c>
      <c r="M661" s="77"/>
      <c r="N661" s="72"/>
      <c r="O661" s="79" t="s">
        <v>610</v>
      </c>
      <c r="P661" s="79">
        <v>1</v>
      </c>
      <c r="Q661" s="78" t="str">
        <f>REPLACE(INDEX(GroupVertices[Group],MATCH(Edges[[#This Row],[Vertex 1]],GroupVertices[Vertex],0)),1,1,"")</f>
        <v>nlineCEUCredit</v>
      </c>
      <c r="R661" s="78" t="str">
        <f>REPLACE(INDEX(GroupVertices[Group],MATCH(Edges[[#This Row],[Vertex 2]],GroupVertices[Vertex],0)),1,1,"")</f>
        <v>nlineCEUCredit</v>
      </c>
    </row>
    <row r="662" spans="1:18" ht="15">
      <c r="A662" s="64" t="s">
        <v>225</v>
      </c>
      <c r="B662" s="64" t="s">
        <v>341</v>
      </c>
      <c r="C662" s="65" t="s">
        <v>4443</v>
      </c>
      <c r="D662" s="66">
        <v>3</v>
      </c>
      <c r="E662" s="67"/>
      <c r="F662" s="68">
        <v>40</v>
      </c>
      <c r="G662" s="65"/>
      <c r="H662" s="69"/>
      <c r="I662" s="70"/>
      <c r="J662" s="70"/>
      <c r="K662" s="34" t="s">
        <v>65</v>
      </c>
      <c r="L662" s="77">
        <v>662</v>
      </c>
      <c r="M662" s="77"/>
      <c r="N662" s="72"/>
      <c r="O662" s="79" t="s">
        <v>610</v>
      </c>
      <c r="P662" s="79">
        <v>1</v>
      </c>
      <c r="Q662" s="78" t="str">
        <f>REPLACE(INDEX(GroupVertices[Group],MATCH(Edges[[#This Row],[Vertex 1]],GroupVertices[Vertex],0)),1,1,"")</f>
        <v>nlineCEUCredit</v>
      </c>
      <c r="R662" s="78" t="str">
        <f>REPLACE(INDEX(GroupVertices[Group],MATCH(Edges[[#This Row],[Vertex 2]],GroupVertices[Vertex],0)),1,1,"")</f>
        <v>nlineCEUCredit</v>
      </c>
    </row>
    <row r="663" spans="1:18" ht="15">
      <c r="A663" s="64" t="s">
        <v>225</v>
      </c>
      <c r="B663" s="64" t="s">
        <v>339</v>
      </c>
      <c r="C663" s="65" t="s">
        <v>4443</v>
      </c>
      <c r="D663" s="66">
        <v>3</v>
      </c>
      <c r="E663" s="67"/>
      <c r="F663" s="68">
        <v>40</v>
      </c>
      <c r="G663" s="65"/>
      <c r="H663" s="69"/>
      <c r="I663" s="70"/>
      <c r="J663" s="70"/>
      <c r="K663" s="34" t="s">
        <v>65</v>
      </c>
      <c r="L663" s="77">
        <v>663</v>
      </c>
      <c r="M663" s="77"/>
      <c r="N663" s="72"/>
      <c r="O663" s="79" t="s">
        <v>610</v>
      </c>
      <c r="P663" s="79">
        <v>1</v>
      </c>
      <c r="Q663" s="78" t="str">
        <f>REPLACE(INDEX(GroupVertices[Group],MATCH(Edges[[#This Row],[Vertex 1]],GroupVertices[Vertex],0)),1,1,"")</f>
        <v>nlineCEUCredit</v>
      </c>
      <c r="R663" s="78" t="str">
        <f>REPLACE(INDEX(GroupVertices[Group],MATCH(Edges[[#This Row],[Vertex 2]],GroupVertices[Vertex],0)),1,1,"")</f>
        <v>nlineCEUCredit</v>
      </c>
    </row>
    <row r="664" spans="1:18" ht="15">
      <c r="A664" s="64" t="s">
        <v>225</v>
      </c>
      <c r="B664" s="64" t="s">
        <v>222</v>
      </c>
      <c r="C664" s="65" t="s">
        <v>4443</v>
      </c>
      <c r="D664" s="66">
        <v>3</v>
      </c>
      <c r="E664" s="67"/>
      <c r="F664" s="68">
        <v>40</v>
      </c>
      <c r="G664" s="65"/>
      <c r="H664" s="69"/>
      <c r="I664" s="70"/>
      <c r="J664" s="70"/>
      <c r="K664" s="34" t="s">
        <v>65</v>
      </c>
      <c r="L664" s="77">
        <v>664</v>
      </c>
      <c r="M664" s="77"/>
      <c r="N664" s="72"/>
      <c r="O664" s="79" t="s">
        <v>610</v>
      </c>
      <c r="P664" s="79">
        <v>1</v>
      </c>
      <c r="Q664" s="78" t="str">
        <f>REPLACE(INDEX(GroupVertices[Group],MATCH(Edges[[#This Row],[Vertex 1]],GroupVertices[Vertex],0)),1,1,"")</f>
        <v>nlineCEUCredit</v>
      </c>
      <c r="R664" s="78" t="str">
        <f>REPLACE(INDEX(GroupVertices[Group],MATCH(Edges[[#This Row],[Vertex 2]],GroupVertices[Vertex],0)),1,1,"")</f>
        <v>nlineCEUCredit</v>
      </c>
    </row>
    <row r="665" spans="1:18" ht="15">
      <c r="A665" s="64" t="s">
        <v>225</v>
      </c>
      <c r="B665" s="64" t="s">
        <v>326</v>
      </c>
      <c r="C665" s="65" t="s">
        <v>4443</v>
      </c>
      <c r="D665" s="66">
        <v>3</v>
      </c>
      <c r="E665" s="67"/>
      <c r="F665" s="68">
        <v>40</v>
      </c>
      <c r="G665" s="65"/>
      <c r="H665" s="69"/>
      <c r="I665" s="70"/>
      <c r="J665" s="70"/>
      <c r="K665" s="34" t="s">
        <v>65</v>
      </c>
      <c r="L665" s="77">
        <v>665</v>
      </c>
      <c r="M665" s="77"/>
      <c r="N665" s="72"/>
      <c r="O665" s="79" t="s">
        <v>610</v>
      </c>
      <c r="P665" s="79">
        <v>1</v>
      </c>
      <c r="Q665" s="78" t="str">
        <f>REPLACE(INDEX(GroupVertices[Group],MATCH(Edges[[#This Row],[Vertex 1]],GroupVertices[Vertex],0)),1,1,"")</f>
        <v>nlineCEUCredit</v>
      </c>
      <c r="R665" s="78" t="str">
        <f>REPLACE(INDEX(GroupVertices[Group],MATCH(Edges[[#This Row],[Vertex 2]],GroupVertices[Vertex],0)),1,1,"")</f>
        <v>eady Study Go</v>
      </c>
    </row>
    <row r="666" spans="1:18" ht="15">
      <c r="A666" s="64" t="s">
        <v>233</v>
      </c>
      <c r="B666" s="64" t="s">
        <v>2330</v>
      </c>
      <c r="C666" s="65" t="s">
        <v>4443</v>
      </c>
      <c r="D666" s="66">
        <v>3</v>
      </c>
      <c r="E666" s="67"/>
      <c r="F666" s="68">
        <v>40</v>
      </c>
      <c r="G666" s="65"/>
      <c r="H666" s="69"/>
      <c r="I666" s="70"/>
      <c r="J666" s="70"/>
      <c r="K666" s="34" t="s">
        <v>65</v>
      </c>
      <c r="L666" s="77">
        <v>666</v>
      </c>
      <c r="M666" s="77"/>
      <c r="N666" s="72"/>
      <c r="O666" s="79" t="s">
        <v>610</v>
      </c>
      <c r="P666" s="79">
        <v>1</v>
      </c>
      <c r="Q666" s="78" t="str">
        <f>REPLACE(INDEX(GroupVertices[Group],MATCH(Edges[[#This Row],[Vertex 1]],GroupVertices[Vertex],0)),1,1,"")</f>
        <v>liyyas Ahammed</v>
      </c>
      <c r="R666" s="78" t="str">
        <f>REPLACE(INDEX(GroupVertices[Group],MATCH(Edges[[#This Row],[Vertex 2]],GroupVertices[Vertex],0)),1,1,"")</f>
        <v>haun Trezise</v>
      </c>
    </row>
    <row r="667" spans="1:18" ht="15">
      <c r="A667" s="64" t="s">
        <v>233</v>
      </c>
      <c r="B667" s="64" t="s">
        <v>485</v>
      </c>
      <c r="C667" s="65" t="s">
        <v>4443</v>
      </c>
      <c r="D667" s="66">
        <v>3</v>
      </c>
      <c r="E667" s="67"/>
      <c r="F667" s="68">
        <v>40</v>
      </c>
      <c r="G667" s="65"/>
      <c r="H667" s="69"/>
      <c r="I667" s="70"/>
      <c r="J667" s="70"/>
      <c r="K667" s="34" t="s">
        <v>65</v>
      </c>
      <c r="L667" s="77">
        <v>667</v>
      </c>
      <c r="M667" s="77"/>
      <c r="N667" s="72"/>
      <c r="O667" s="79" t="s">
        <v>610</v>
      </c>
      <c r="P667" s="79">
        <v>1</v>
      </c>
      <c r="Q667" s="78" t="str">
        <f>REPLACE(INDEX(GroupVertices[Group],MATCH(Edges[[#This Row],[Vertex 1]],GroupVertices[Vertex],0)),1,1,"")</f>
        <v>liyyas Ahammed</v>
      </c>
      <c r="R667" s="78" t="str">
        <f>REPLACE(INDEX(GroupVertices[Group],MATCH(Edges[[#This Row],[Vertex 2]],GroupVertices[Vertex],0)),1,1,"")</f>
        <v>uhammad Usman</v>
      </c>
    </row>
    <row r="668" spans="1:18" ht="15">
      <c r="A668" s="64" t="s">
        <v>233</v>
      </c>
      <c r="B668" s="64" t="s">
        <v>486</v>
      </c>
      <c r="C668" s="65" t="s">
        <v>4443</v>
      </c>
      <c r="D668" s="66">
        <v>3</v>
      </c>
      <c r="E668" s="67"/>
      <c r="F668" s="68">
        <v>40</v>
      </c>
      <c r="G668" s="65"/>
      <c r="H668" s="69"/>
      <c r="I668" s="70"/>
      <c r="J668" s="70"/>
      <c r="K668" s="34" t="s">
        <v>65</v>
      </c>
      <c r="L668" s="77">
        <v>668</v>
      </c>
      <c r="M668" s="77"/>
      <c r="N668" s="72"/>
      <c r="O668" s="79" t="s">
        <v>610</v>
      </c>
      <c r="P668" s="79">
        <v>1</v>
      </c>
      <c r="Q668" s="78" t="str">
        <f>REPLACE(INDEX(GroupVertices[Group],MATCH(Edges[[#This Row],[Vertex 1]],GroupVertices[Vertex],0)),1,1,"")</f>
        <v>liyyas Ahammed</v>
      </c>
      <c r="R668" s="78" t="str">
        <f>REPLACE(INDEX(GroupVertices[Group],MATCH(Edges[[#This Row],[Vertex 2]],GroupVertices[Vertex],0)),1,1,"")</f>
        <v>he Sakib XYZ</v>
      </c>
    </row>
    <row r="669" spans="1:18" ht="15">
      <c r="A669" s="64" t="s">
        <v>233</v>
      </c>
      <c r="B669" s="64" t="s">
        <v>487</v>
      </c>
      <c r="C669" s="65" t="s">
        <v>4443</v>
      </c>
      <c r="D669" s="66">
        <v>3</v>
      </c>
      <c r="E669" s="67"/>
      <c r="F669" s="68">
        <v>40</v>
      </c>
      <c r="G669" s="65"/>
      <c r="H669" s="69"/>
      <c r="I669" s="70"/>
      <c r="J669" s="70"/>
      <c r="K669" s="34" t="s">
        <v>65</v>
      </c>
      <c r="L669" s="77">
        <v>669</v>
      </c>
      <c r="M669" s="77"/>
      <c r="N669" s="72"/>
      <c r="O669" s="79" t="s">
        <v>610</v>
      </c>
      <c r="P669" s="79">
        <v>1</v>
      </c>
      <c r="Q669" s="78" t="str">
        <f>REPLACE(INDEX(GroupVertices[Group],MATCH(Edges[[#This Row],[Vertex 1]],GroupVertices[Vertex],0)),1,1,"")</f>
        <v>liyyas Ahammed</v>
      </c>
      <c r="R669" s="78" t="str">
        <f>REPLACE(INDEX(GroupVertices[Group],MATCH(Edges[[#This Row],[Vertex 2]],GroupVertices[Vertex],0)),1,1,"")</f>
        <v>arohi's FIRE Journey</v>
      </c>
    </row>
    <row r="670" spans="1:18" ht="15">
      <c r="A670" s="64" t="s">
        <v>233</v>
      </c>
      <c r="B670" s="64" t="s">
        <v>489</v>
      </c>
      <c r="C670" s="65" t="s">
        <v>4443</v>
      </c>
      <c r="D670" s="66">
        <v>3</v>
      </c>
      <c r="E670" s="67"/>
      <c r="F670" s="68">
        <v>40</v>
      </c>
      <c r="G670" s="65"/>
      <c r="H670" s="69"/>
      <c r="I670" s="70"/>
      <c r="J670" s="70"/>
      <c r="K670" s="34" t="s">
        <v>65</v>
      </c>
      <c r="L670" s="77">
        <v>670</v>
      </c>
      <c r="M670" s="77"/>
      <c r="N670" s="72"/>
      <c r="O670" s="79" t="s">
        <v>610</v>
      </c>
      <c r="P670" s="79">
        <v>1</v>
      </c>
      <c r="Q670" s="78" t="str">
        <f>REPLACE(INDEX(GroupVertices[Group],MATCH(Edges[[#This Row],[Vertex 1]],GroupVertices[Vertex],0)),1,1,"")</f>
        <v>liyyas Ahammed</v>
      </c>
      <c r="R670" s="78" t="str">
        <f>REPLACE(INDEX(GroupVertices[Group],MATCH(Edges[[#This Row],[Vertex 2]],GroupVertices[Vertex],0)),1,1,"")</f>
        <v>hycology Topics</v>
      </c>
    </row>
    <row r="671" spans="1:18" ht="15">
      <c r="A671" s="64" t="s">
        <v>233</v>
      </c>
      <c r="B671" s="64" t="s">
        <v>488</v>
      </c>
      <c r="C671" s="65" t="s">
        <v>4443</v>
      </c>
      <c r="D671" s="66">
        <v>3</v>
      </c>
      <c r="E671" s="67"/>
      <c r="F671" s="68">
        <v>40</v>
      </c>
      <c r="G671" s="65"/>
      <c r="H671" s="69"/>
      <c r="I671" s="70"/>
      <c r="J671" s="70"/>
      <c r="K671" s="34" t="s">
        <v>65</v>
      </c>
      <c r="L671" s="77">
        <v>671</v>
      </c>
      <c r="M671" s="77"/>
      <c r="N671" s="72"/>
      <c r="O671" s="79" t="s">
        <v>610</v>
      </c>
      <c r="P671" s="79">
        <v>1</v>
      </c>
      <c r="Q671" s="78" t="str">
        <f>REPLACE(INDEX(GroupVertices[Group],MATCH(Edges[[#This Row],[Vertex 1]],GroupVertices[Vertex],0)),1,1,"")</f>
        <v>liyyas Ahammed</v>
      </c>
      <c r="R671" s="78" t="str">
        <f>REPLACE(INDEX(GroupVertices[Group],MATCH(Edges[[#This Row],[Vertex 2]],GroupVertices[Vertex],0)),1,1,"")</f>
        <v>EHARBANU ABDULLA</v>
      </c>
    </row>
    <row r="672" spans="1:18" ht="15">
      <c r="A672" s="64" t="s">
        <v>233</v>
      </c>
      <c r="B672" s="64" t="s">
        <v>2331</v>
      </c>
      <c r="C672" s="65" t="s">
        <v>4443</v>
      </c>
      <c r="D672" s="66">
        <v>3</v>
      </c>
      <c r="E672" s="67"/>
      <c r="F672" s="68">
        <v>40</v>
      </c>
      <c r="G672" s="65"/>
      <c r="H672" s="69"/>
      <c r="I672" s="70"/>
      <c r="J672" s="70"/>
      <c r="K672" s="34" t="s">
        <v>65</v>
      </c>
      <c r="L672" s="77">
        <v>672</v>
      </c>
      <c r="M672" s="77"/>
      <c r="N672" s="72"/>
      <c r="O672" s="79" t="s">
        <v>610</v>
      </c>
      <c r="P672" s="79">
        <v>1</v>
      </c>
      <c r="Q672" s="78" t="str">
        <f>REPLACE(INDEX(GroupVertices[Group],MATCH(Edges[[#This Row],[Vertex 1]],GroupVertices[Vertex],0)),1,1,"")</f>
        <v>liyyas Ahammed</v>
      </c>
      <c r="R672" s="78" t="str">
        <f>REPLACE(INDEX(GroupVertices[Group],MATCH(Edges[[#This Row],[Vertex 2]],GroupVertices[Vertex],0)),1,1,"")</f>
        <v>oniYana</v>
      </c>
    </row>
    <row r="673" spans="1:18" ht="15">
      <c r="A673" s="64" t="s">
        <v>233</v>
      </c>
      <c r="B673" s="64" t="s">
        <v>490</v>
      </c>
      <c r="C673" s="65" t="s">
        <v>4443</v>
      </c>
      <c r="D673" s="66">
        <v>3</v>
      </c>
      <c r="E673" s="67"/>
      <c r="F673" s="68">
        <v>40</v>
      </c>
      <c r="G673" s="65"/>
      <c r="H673" s="69"/>
      <c r="I673" s="70"/>
      <c r="J673" s="70"/>
      <c r="K673" s="34" t="s">
        <v>65</v>
      </c>
      <c r="L673" s="77">
        <v>673</v>
      </c>
      <c r="M673" s="77"/>
      <c r="N673" s="72"/>
      <c r="O673" s="79" t="s">
        <v>610</v>
      </c>
      <c r="P673" s="79">
        <v>1</v>
      </c>
      <c r="Q673" s="78" t="str">
        <f>REPLACE(INDEX(GroupVertices[Group],MATCH(Edges[[#This Row],[Vertex 1]],GroupVertices[Vertex],0)),1,1,"")</f>
        <v>liyyas Ahammed</v>
      </c>
      <c r="R673" s="78" t="str">
        <f>REPLACE(INDEX(GroupVertices[Group],MATCH(Edges[[#This Row],[Vertex 2]],GroupVertices[Vertex],0)),1,1,"")</f>
        <v>hycology Topics</v>
      </c>
    </row>
    <row r="674" spans="1:18" ht="15">
      <c r="A674" s="64" t="s">
        <v>233</v>
      </c>
      <c r="B674" s="64" t="s">
        <v>491</v>
      </c>
      <c r="C674" s="65" t="s">
        <v>4443</v>
      </c>
      <c r="D674" s="66">
        <v>3</v>
      </c>
      <c r="E674" s="67"/>
      <c r="F674" s="68">
        <v>40</v>
      </c>
      <c r="G674" s="65"/>
      <c r="H674" s="69"/>
      <c r="I674" s="70"/>
      <c r="J674" s="70"/>
      <c r="K674" s="34" t="s">
        <v>65</v>
      </c>
      <c r="L674" s="77">
        <v>674</v>
      </c>
      <c r="M674" s="77"/>
      <c r="N674" s="72"/>
      <c r="O674" s="79" t="s">
        <v>610</v>
      </c>
      <c r="P674" s="79">
        <v>1</v>
      </c>
      <c r="Q674" s="78" t="str">
        <f>REPLACE(INDEX(GroupVertices[Group],MATCH(Edges[[#This Row],[Vertex 1]],GroupVertices[Vertex],0)),1,1,"")</f>
        <v>liyyas Ahammed</v>
      </c>
      <c r="R674" s="78" t="str">
        <f>REPLACE(INDEX(GroupVertices[Group],MATCH(Edges[[#This Row],[Vertex 2]],GroupVertices[Vertex],0)),1,1,"")</f>
        <v>ady_Psychologist</v>
      </c>
    </row>
    <row r="675" spans="1:18" ht="15">
      <c r="A675" s="64" t="s">
        <v>233</v>
      </c>
      <c r="B675" s="64" t="s">
        <v>2332</v>
      </c>
      <c r="C675" s="65" t="s">
        <v>4443</v>
      </c>
      <c r="D675" s="66">
        <v>3</v>
      </c>
      <c r="E675" s="67"/>
      <c r="F675" s="68">
        <v>40</v>
      </c>
      <c r="G675" s="65"/>
      <c r="H675" s="69"/>
      <c r="I675" s="70"/>
      <c r="J675" s="70"/>
      <c r="K675" s="34" t="s">
        <v>65</v>
      </c>
      <c r="L675" s="77">
        <v>675</v>
      </c>
      <c r="M675" s="77"/>
      <c r="N675" s="72"/>
      <c r="O675" s="79" t="s">
        <v>610</v>
      </c>
      <c r="P675" s="79">
        <v>1</v>
      </c>
      <c r="Q675" s="78" t="str">
        <f>REPLACE(INDEX(GroupVertices[Group],MATCH(Edges[[#This Row],[Vertex 1]],GroupVertices[Vertex],0)),1,1,"")</f>
        <v>liyyas Ahammed</v>
      </c>
      <c r="R675" s="78" t="str">
        <f>REPLACE(INDEX(GroupVertices[Group],MATCH(Edges[[#This Row],[Vertex 2]],GroupVertices[Vertex],0)),1,1,"")</f>
        <v>arcissist Hunter</v>
      </c>
    </row>
    <row r="676" spans="1:18" ht="15">
      <c r="A676" s="64" t="s">
        <v>233</v>
      </c>
      <c r="B676" s="64" t="s">
        <v>492</v>
      </c>
      <c r="C676" s="65" t="s">
        <v>4443</v>
      </c>
      <c r="D676" s="66">
        <v>3</v>
      </c>
      <c r="E676" s="67"/>
      <c r="F676" s="68">
        <v>40</v>
      </c>
      <c r="G676" s="65"/>
      <c r="H676" s="69"/>
      <c r="I676" s="70"/>
      <c r="J676" s="70"/>
      <c r="K676" s="34" t="s">
        <v>65</v>
      </c>
      <c r="L676" s="77">
        <v>676</v>
      </c>
      <c r="M676" s="77"/>
      <c r="N676" s="72"/>
      <c r="O676" s="79" t="s">
        <v>610</v>
      </c>
      <c r="P676" s="79">
        <v>1</v>
      </c>
      <c r="Q676" s="78" t="str">
        <f>REPLACE(INDEX(GroupVertices[Group],MATCH(Edges[[#This Row],[Vertex 1]],GroupVertices[Vertex],0)),1,1,"")</f>
        <v>liyyas Ahammed</v>
      </c>
      <c r="R676" s="78" t="str">
        <f>REPLACE(INDEX(GroupVertices[Group],MATCH(Edges[[#This Row],[Vertex 2]],GroupVertices[Vertex],0)),1,1,"")</f>
        <v>riti Deogam</v>
      </c>
    </row>
    <row r="677" spans="1:18" ht="15">
      <c r="A677" s="64" t="s">
        <v>233</v>
      </c>
      <c r="B677" s="64" t="s">
        <v>493</v>
      </c>
      <c r="C677" s="65" t="s">
        <v>4443</v>
      </c>
      <c r="D677" s="66">
        <v>3</v>
      </c>
      <c r="E677" s="67"/>
      <c r="F677" s="68">
        <v>40</v>
      </c>
      <c r="G677" s="65"/>
      <c r="H677" s="69"/>
      <c r="I677" s="70"/>
      <c r="J677" s="70"/>
      <c r="K677" s="34" t="s">
        <v>65</v>
      </c>
      <c r="L677" s="77">
        <v>677</v>
      </c>
      <c r="M677" s="77"/>
      <c r="N677" s="72"/>
      <c r="O677" s="79" t="s">
        <v>610</v>
      </c>
      <c r="P677" s="79">
        <v>1</v>
      </c>
      <c r="Q677" s="78" t="str">
        <f>REPLACE(INDEX(GroupVertices[Group],MATCH(Edges[[#This Row],[Vertex 1]],GroupVertices[Vertex],0)),1,1,"")</f>
        <v>liyyas Ahammed</v>
      </c>
      <c r="R677" s="78" t="str">
        <f>REPLACE(INDEX(GroupVertices[Group],MATCH(Edges[[#This Row],[Vertex 2]],GroupVertices[Vertex],0)),1,1,"")</f>
        <v>he Learning point</v>
      </c>
    </row>
    <row r="678" spans="1:18" ht="15">
      <c r="A678" s="64" t="s">
        <v>233</v>
      </c>
      <c r="B678" s="64" t="s">
        <v>494</v>
      </c>
      <c r="C678" s="65" t="s">
        <v>4443</v>
      </c>
      <c r="D678" s="66">
        <v>3</v>
      </c>
      <c r="E678" s="67"/>
      <c r="F678" s="68">
        <v>40</v>
      </c>
      <c r="G678" s="65"/>
      <c r="H678" s="69"/>
      <c r="I678" s="70"/>
      <c r="J678" s="70"/>
      <c r="K678" s="34" t="s">
        <v>65</v>
      </c>
      <c r="L678" s="77">
        <v>678</v>
      </c>
      <c r="M678" s="77"/>
      <c r="N678" s="72"/>
      <c r="O678" s="79" t="s">
        <v>610</v>
      </c>
      <c r="P678" s="79">
        <v>1</v>
      </c>
      <c r="Q678" s="78" t="str">
        <f>REPLACE(INDEX(GroupVertices[Group],MATCH(Edges[[#This Row],[Vertex 1]],GroupVertices[Vertex],0)),1,1,"")</f>
        <v>liyyas Ahammed</v>
      </c>
      <c r="R678" s="78" t="str">
        <f>REPLACE(INDEX(GroupVertices[Group],MATCH(Edges[[#This Row],[Vertex 2]],GroupVertices[Vertex],0)),1,1,"")</f>
        <v>mily Teo</v>
      </c>
    </row>
    <row r="679" spans="1:18" ht="15">
      <c r="A679" s="64" t="s">
        <v>233</v>
      </c>
      <c r="B679" s="64" t="s">
        <v>473</v>
      </c>
      <c r="C679" s="65" t="s">
        <v>4443</v>
      </c>
      <c r="D679" s="66">
        <v>3</v>
      </c>
      <c r="E679" s="67"/>
      <c r="F679" s="68">
        <v>40</v>
      </c>
      <c r="G679" s="65"/>
      <c r="H679" s="69"/>
      <c r="I679" s="70"/>
      <c r="J679" s="70"/>
      <c r="K679" s="34" t="s">
        <v>65</v>
      </c>
      <c r="L679" s="77">
        <v>679</v>
      </c>
      <c r="M679" s="77"/>
      <c r="N679" s="72"/>
      <c r="O679" s="79" t="s">
        <v>610</v>
      </c>
      <c r="P679" s="79">
        <v>1</v>
      </c>
      <c r="Q679" s="78" t="str">
        <f>REPLACE(INDEX(GroupVertices[Group],MATCH(Edges[[#This Row],[Vertex 1]],GroupVertices[Vertex],0)),1,1,"")</f>
        <v>liyyas Ahammed</v>
      </c>
      <c r="R679" s="78" t="str">
        <f>REPLACE(INDEX(GroupVertices[Group],MATCH(Edges[[#This Row],[Vertex 2]],GroupVertices[Vertex],0)),1,1,"")</f>
        <v>hlorophyll Water</v>
      </c>
    </row>
    <row r="680" spans="1:18" ht="15">
      <c r="A680" s="64" t="s">
        <v>233</v>
      </c>
      <c r="B680" s="64" t="s">
        <v>495</v>
      </c>
      <c r="C680" s="65" t="s">
        <v>4443</v>
      </c>
      <c r="D680" s="66">
        <v>3</v>
      </c>
      <c r="E680" s="67"/>
      <c r="F680" s="68">
        <v>40</v>
      </c>
      <c r="G680" s="65"/>
      <c r="H680" s="69"/>
      <c r="I680" s="70"/>
      <c r="J680" s="70"/>
      <c r="K680" s="34" t="s">
        <v>65</v>
      </c>
      <c r="L680" s="77">
        <v>680</v>
      </c>
      <c r="M680" s="77"/>
      <c r="N680" s="72"/>
      <c r="O680" s="79" t="s">
        <v>610</v>
      </c>
      <c r="P680" s="79">
        <v>1</v>
      </c>
      <c r="Q680" s="78" t="str">
        <f>REPLACE(INDEX(GroupVertices[Group],MATCH(Edges[[#This Row],[Vertex 1]],GroupVertices[Vertex],0)),1,1,"")</f>
        <v>liyyas Ahammed</v>
      </c>
      <c r="R680" s="78" t="str">
        <f>REPLACE(INDEX(GroupVertices[Group],MATCH(Edges[[#This Row],[Vertex 2]],GroupVertices[Vertex],0)),1,1,"")</f>
        <v>efore You Push</v>
      </c>
    </row>
    <row r="681" spans="1:18" ht="15">
      <c r="A681" s="64" t="s">
        <v>233</v>
      </c>
      <c r="B681" s="64" t="s">
        <v>474</v>
      </c>
      <c r="C681" s="65" t="s">
        <v>4443</v>
      </c>
      <c r="D681" s="66">
        <v>3</v>
      </c>
      <c r="E681" s="67"/>
      <c r="F681" s="68">
        <v>40</v>
      </c>
      <c r="G681" s="65"/>
      <c r="H681" s="69"/>
      <c r="I681" s="70"/>
      <c r="J681" s="70"/>
      <c r="K681" s="34" t="s">
        <v>65</v>
      </c>
      <c r="L681" s="77">
        <v>681</v>
      </c>
      <c r="M681" s="77"/>
      <c r="N681" s="72"/>
      <c r="O681" s="79" t="s">
        <v>610</v>
      </c>
      <c r="P681" s="79">
        <v>1</v>
      </c>
      <c r="Q681" s="78" t="str">
        <f>REPLACE(INDEX(GroupVertices[Group],MATCH(Edges[[#This Row],[Vertex 1]],GroupVertices[Vertex],0)),1,1,"")</f>
        <v>liyyas Ahammed</v>
      </c>
      <c r="R681" s="78" t="str">
        <f>REPLACE(INDEX(GroupVertices[Group],MATCH(Edges[[#This Row],[Vertex 2]],GroupVertices[Vertex],0)),1,1,"")</f>
        <v>shley Mitchell (AsMitch the Labor B*tch)</v>
      </c>
    </row>
    <row r="682" spans="1:18" ht="15">
      <c r="A682" s="64" t="s">
        <v>233</v>
      </c>
      <c r="B682" s="64" t="s">
        <v>476</v>
      </c>
      <c r="C682" s="65" t="s">
        <v>4443</v>
      </c>
      <c r="D682" s="66">
        <v>3</v>
      </c>
      <c r="E682" s="67"/>
      <c r="F682" s="68">
        <v>40</v>
      </c>
      <c r="G682" s="65"/>
      <c r="H682" s="69"/>
      <c r="I682" s="70"/>
      <c r="J682" s="70"/>
      <c r="K682" s="34" t="s">
        <v>65</v>
      </c>
      <c r="L682" s="77">
        <v>682</v>
      </c>
      <c r="M682" s="77"/>
      <c r="N682" s="72"/>
      <c r="O682" s="79" t="s">
        <v>610</v>
      </c>
      <c r="P682" s="79">
        <v>1</v>
      </c>
      <c r="Q682" s="78" t="str">
        <f>REPLACE(INDEX(GroupVertices[Group],MATCH(Edges[[#This Row],[Vertex 1]],GroupVertices[Vertex],0)),1,1,"")</f>
        <v>liyyas Ahammed</v>
      </c>
      <c r="R682" s="78" t="str">
        <f>REPLACE(INDEX(GroupVertices[Group],MATCH(Edges[[#This Row],[Vertex 2]],GroupVertices[Vertex],0)),1,1,"")</f>
        <v>liyyas Ahammed</v>
      </c>
    </row>
    <row r="683" spans="1:18" ht="15">
      <c r="A683" s="64" t="s">
        <v>233</v>
      </c>
      <c r="B683" s="64" t="s">
        <v>2333</v>
      </c>
      <c r="C683" s="65" t="s">
        <v>4443</v>
      </c>
      <c r="D683" s="66">
        <v>3</v>
      </c>
      <c r="E683" s="67"/>
      <c r="F683" s="68">
        <v>40</v>
      </c>
      <c r="G683" s="65"/>
      <c r="H683" s="69"/>
      <c r="I683" s="70"/>
      <c r="J683" s="70"/>
      <c r="K683" s="34" t="s">
        <v>65</v>
      </c>
      <c r="L683" s="77">
        <v>683</v>
      </c>
      <c r="M683" s="77"/>
      <c r="N683" s="72"/>
      <c r="O683" s="79" t="s">
        <v>610</v>
      </c>
      <c r="P683" s="79">
        <v>1</v>
      </c>
      <c r="Q683" s="78" t="str">
        <f>REPLACE(INDEX(GroupVertices[Group],MATCH(Edges[[#This Row],[Vertex 1]],GroupVertices[Vertex],0)),1,1,"")</f>
        <v>liyyas Ahammed</v>
      </c>
      <c r="R683" s="78" t="str">
        <f>REPLACE(INDEX(GroupVertices[Group],MATCH(Edges[[#This Row],[Vertex 2]],GroupVertices[Vertex],0)),1,1,"")</f>
        <v>liyyas Ahammed</v>
      </c>
    </row>
    <row r="684" spans="1:18" ht="15">
      <c r="A684" s="64" t="s">
        <v>233</v>
      </c>
      <c r="B684" s="64" t="s">
        <v>480</v>
      </c>
      <c r="C684" s="65" t="s">
        <v>4443</v>
      </c>
      <c r="D684" s="66">
        <v>3</v>
      </c>
      <c r="E684" s="67"/>
      <c r="F684" s="68">
        <v>40</v>
      </c>
      <c r="G684" s="65"/>
      <c r="H684" s="69"/>
      <c r="I684" s="70"/>
      <c r="J684" s="70"/>
      <c r="K684" s="34" t="s">
        <v>65</v>
      </c>
      <c r="L684" s="77">
        <v>684</v>
      </c>
      <c r="M684" s="77"/>
      <c r="N684" s="72"/>
      <c r="O684" s="79" t="s">
        <v>610</v>
      </c>
      <c r="P684" s="79">
        <v>1</v>
      </c>
      <c r="Q684" s="78" t="str">
        <f>REPLACE(INDEX(GroupVertices[Group],MATCH(Edges[[#This Row],[Vertex 1]],GroupVertices[Vertex],0)),1,1,"")</f>
        <v>liyyas Ahammed</v>
      </c>
      <c r="R684" s="78" t="str">
        <f>REPLACE(INDEX(GroupVertices[Group],MATCH(Edges[[#This Row],[Vertex 2]],GroupVertices[Vertex],0)),1,1,"")</f>
        <v>liyyas Ahammed</v>
      </c>
    </row>
    <row r="685" spans="1:18" ht="15">
      <c r="A685" s="64" t="s">
        <v>233</v>
      </c>
      <c r="B685" s="64" t="s">
        <v>477</v>
      </c>
      <c r="C685" s="65" t="s">
        <v>4443</v>
      </c>
      <c r="D685" s="66">
        <v>3</v>
      </c>
      <c r="E685" s="67"/>
      <c r="F685" s="68">
        <v>40</v>
      </c>
      <c r="G685" s="65"/>
      <c r="H685" s="69"/>
      <c r="I685" s="70"/>
      <c r="J685" s="70"/>
      <c r="K685" s="34" t="s">
        <v>65</v>
      </c>
      <c r="L685" s="77">
        <v>685</v>
      </c>
      <c r="M685" s="77"/>
      <c r="N685" s="72"/>
      <c r="O685" s="79" t="s">
        <v>610</v>
      </c>
      <c r="P685" s="79">
        <v>1</v>
      </c>
      <c r="Q685" s="78" t="str">
        <f>REPLACE(INDEX(GroupVertices[Group],MATCH(Edges[[#This Row],[Vertex 1]],GroupVertices[Vertex],0)),1,1,"")</f>
        <v>liyyas Ahammed</v>
      </c>
      <c r="R685" s="78" t="str">
        <f>REPLACE(INDEX(GroupVertices[Group],MATCH(Edges[[#This Row],[Vertex 2]],GroupVertices[Vertex],0)),1,1,"")</f>
        <v>liyyas Ahammed</v>
      </c>
    </row>
    <row r="686" spans="1:18" ht="15">
      <c r="A686" s="64" t="s">
        <v>233</v>
      </c>
      <c r="B686" s="64" t="s">
        <v>475</v>
      </c>
      <c r="C686" s="65" t="s">
        <v>4443</v>
      </c>
      <c r="D686" s="66">
        <v>3</v>
      </c>
      <c r="E686" s="67"/>
      <c r="F686" s="68">
        <v>40</v>
      </c>
      <c r="G686" s="65"/>
      <c r="H686" s="69"/>
      <c r="I686" s="70"/>
      <c r="J686" s="70"/>
      <c r="K686" s="34" t="s">
        <v>65</v>
      </c>
      <c r="L686" s="77">
        <v>686</v>
      </c>
      <c r="M686" s="77"/>
      <c r="N686" s="72"/>
      <c r="O686" s="79" t="s">
        <v>610</v>
      </c>
      <c r="P686" s="79">
        <v>1</v>
      </c>
      <c r="Q686" s="78" t="str">
        <f>REPLACE(INDEX(GroupVertices[Group],MATCH(Edges[[#This Row],[Vertex 1]],GroupVertices[Vertex],0)),1,1,"")</f>
        <v>liyyas Ahammed</v>
      </c>
      <c r="R686" s="78" t="str">
        <f>REPLACE(INDEX(GroupVertices[Group],MATCH(Edges[[#This Row],[Vertex 2]],GroupVertices[Vertex],0)),1,1,"")</f>
        <v>liyyas Ahammed</v>
      </c>
    </row>
    <row r="687" spans="1:18" ht="15">
      <c r="A687" s="64" t="s">
        <v>233</v>
      </c>
      <c r="B687" s="64" t="s">
        <v>496</v>
      </c>
      <c r="C687" s="65" t="s">
        <v>4443</v>
      </c>
      <c r="D687" s="66">
        <v>3</v>
      </c>
      <c r="E687" s="67"/>
      <c r="F687" s="68">
        <v>40</v>
      </c>
      <c r="G687" s="65"/>
      <c r="H687" s="69"/>
      <c r="I687" s="70"/>
      <c r="J687" s="70"/>
      <c r="K687" s="34" t="s">
        <v>65</v>
      </c>
      <c r="L687" s="77">
        <v>687</v>
      </c>
      <c r="M687" s="77"/>
      <c r="N687" s="72"/>
      <c r="O687" s="79" t="s">
        <v>610</v>
      </c>
      <c r="P687" s="79">
        <v>1</v>
      </c>
      <c r="Q687" s="78" t="str">
        <f>REPLACE(INDEX(GroupVertices[Group],MATCH(Edges[[#This Row],[Vertex 1]],GroupVertices[Vertex],0)),1,1,"")</f>
        <v>liyyas Ahammed</v>
      </c>
      <c r="R687" s="78" t="str">
        <f>REPLACE(INDEX(GroupVertices[Group],MATCH(Edges[[#This Row],[Vertex 2]],GroupVertices[Vertex],0)),1,1,"")</f>
        <v>liyyas Ahammed</v>
      </c>
    </row>
    <row r="688" spans="1:18" ht="15">
      <c r="A688" s="64" t="s">
        <v>233</v>
      </c>
      <c r="B688" s="64" t="s">
        <v>497</v>
      </c>
      <c r="C688" s="65" t="s">
        <v>4443</v>
      </c>
      <c r="D688" s="66">
        <v>3</v>
      </c>
      <c r="E688" s="67"/>
      <c r="F688" s="68">
        <v>40</v>
      </c>
      <c r="G688" s="65"/>
      <c r="H688" s="69"/>
      <c r="I688" s="70"/>
      <c r="J688" s="70"/>
      <c r="K688" s="34" t="s">
        <v>65</v>
      </c>
      <c r="L688" s="77">
        <v>688</v>
      </c>
      <c r="M688" s="77"/>
      <c r="N688" s="72"/>
      <c r="O688" s="79" t="s">
        <v>610</v>
      </c>
      <c r="P688" s="79">
        <v>1</v>
      </c>
      <c r="Q688" s="78" t="str">
        <f>REPLACE(INDEX(GroupVertices[Group],MATCH(Edges[[#This Row],[Vertex 1]],GroupVertices[Vertex],0)),1,1,"")</f>
        <v>liyyas Ahammed</v>
      </c>
      <c r="R688" s="78" t="str">
        <f>REPLACE(INDEX(GroupVertices[Group],MATCH(Edges[[#This Row],[Vertex 2]],GroupVertices[Vertex],0)),1,1,"")</f>
        <v>liyyas Ahammed</v>
      </c>
    </row>
    <row r="689" spans="1:18" ht="15">
      <c r="A689" s="64" t="s">
        <v>233</v>
      </c>
      <c r="B689" s="64" t="s">
        <v>479</v>
      </c>
      <c r="C689" s="65" t="s">
        <v>4443</v>
      </c>
      <c r="D689" s="66">
        <v>3</v>
      </c>
      <c r="E689" s="67"/>
      <c r="F689" s="68">
        <v>40</v>
      </c>
      <c r="G689" s="65"/>
      <c r="H689" s="69"/>
      <c r="I689" s="70"/>
      <c r="J689" s="70"/>
      <c r="K689" s="34" t="s">
        <v>65</v>
      </c>
      <c r="L689" s="77">
        <v>689</v>
      </c>
      <c r="M689" s="77"/>
      <c r="N689" s="72"/>
      <c r="O689" s="79" t="s">
        <v>610</v>
      </c>
      <c r="P689" s="79">
        <v>1</v>
      </c>
      <c r="Q689" s="78" t="str">
        <f>REPLACE(INDEX(GroupVertices[Group],MATCH(Edges[[#This Row],[Vertex 1]],GroupVertices[Vertex],0)),1,1,"")</f>
        <v>liyyas Ahammed</v>
      </c>
      <c r="R689" s="78" t="str">
        <f>REPLACE(INDEX(GroupVertices[Group],MATCH(Edges[[#This Row],[Vertex 2]],GroupVertices[Vertex],0)),1,1,"")</f>
        <v>liyyas Ahammed</v>
      </c>
    </row>
    <row r="690" spans="1:18" ht="15">
      <c r="A690" s="64" t="s">
        <v>233</v>
      </c>
      <c r="B690" s="64" t="s">
        <v>498</v>
      </c>
      <c r="C690" s="65" t="s">
        <v>4443</v>
      </c>
      <c r="D690" s="66">
        <v>3</v>
      </c>
      <c r="E690" s="67"/>
      <c r="F690" s="68">
        <v>40</v>
      </c>
      <c r="G690" s="65"/>
      <c r="H690" s="69"/>
      <c r="I690" s="70"/>
      <c r="J690" s="70"/>
      <c r="K690" s="34" t="s">
        <v>65</v>
      </c>
      <c r="L690" s="77">
        <v>690</v>
      </c>
      <c r="M690" s="77"/>
      <c r="N690" s="72"/>
      <c r="O690" s="79" t="s">
        <v>610</v>
      </c>
      <c r="P690" s="79">
        <v>1</v>
      </c>
      <c r="Q690" s="78" t="str">
        <f>REPLACE(INDEX(GroupVertices[Group],MATCH(Edges[[#This Row],[Vertex 1]],GroupVertices[Vertex],0)),1,1,"")</f>
        <v>liyyas Ahammed</v>
      </c>
      <c r="R690" s="78" t="str">
        <f>REPLACE(INDEX(GroupVertices[Group],MATCH(Edges[[#This Row],[Vertex 2]],GroupVertices[Vertex],0)),1,1,"")</f>
        <v>3 Health</v>
      </c>
    </row>
    <row r="691" spans="1:18" ht="15">
      <c r="A691" s="64" t="s">
        <v>233</v>
      </c>
      <c r="B691" s="64" t="s">
        <v>478</v>
      </c>
      <c r="C691" s="65" t="s">
        <v>4443</v>
      </c>
      <c r="D691" s="66">
        <v>3</v>
      </c>
      <c r="E691" s="67"/>
      <c r="F691" s="68">
        <v>40</v>
      </c>
      <c r="G691" s="65"/>
      <c r="H691" s="69"/>
      <c r="I691" s="70"/>
      <c r="J691" s="70"/>
      <c r="K691" s="34" t="s">
        <v>65</v>
      </c>
      <c r="L691" s="77">
        <v>691</v>
      </c>
      <c r="M691" s="77"/>
      <c r="N691" s="72"/>
      <c r="O691" s="79" t="s">
        <v>610</v>
      </c>
      <c r="P691" s="79">
        <v>1</v>
      </c>
      <c r="Q691" s="78" t="str">
        <f>REPLACE(INDEX(GroupVertices[Group],MATCH(Edges[[#This Row],[Vertex 1]],GroupVertices[Vertex],0)),1,1,"")</f>
        <v>liyyas Ahammed</v>
      </c>
      <c r="R691" s="78" t="str">
        <f>REPLACE(INDEX(GroupVertices[Group],MATCH(Edges[[#This Row],[Vertex 2]],GroupVertices[Vertex],0)),1,1,"")</f>
        <v>liyyas Ahammed</v>
      </c>
    </row>
    <row r="692" spans="1:18" ht="15">
      <c r="A692" s="64" t="s">
        <v>233</v>
      </c>
      <c r="B692" s="64" t="s">
        <v>481</v>
      </c>
      <c r="C692" s="65" t="s">
        <v>4443</v>
      </c>
      <c r="D692" s="66">
        <v>3</v>
      </c>
      <c r="E692" s="67"/>
      <c r="F692" s="68">
        <v>40</v>
      </c>
      <c r="G692" s="65"/>
      <c r="H692" s="69"/>
      <c r="I692" s="70"/>
      <c r="J692" s="70"/>
      <c r="K692" s="34" t="s">
        <v>65</v>
      </c>
      <c r="L692" s="77">
        <v>692</v>
      </c>
      <c r="M692" s="77"/>
      <c r="N692" s="72"/>
      <c r="O692" s="79" t="s">
        <v>610</v>
      </c>
      <c r="P692" s="79">
        <v>1</v>
      </c>
      <c r="Q692" s="78" t="str">
        <f>REPLACE(INDEX(GroupVertices[Group],MATCH(Edges[[#This Row],[Vertex 1]],GroupVertices[Vertex],0)),1,1,"")</f>
        <v>liyyas Ahammed</v>
      </c>
      <c r="R692" s="78" t="str">
        <f>REPLACE(INDEX(GroupVertices[Group],MATCH(Edges[[#This Row],[Vertex 2]],GroupVertices[Vertex],0)),1,1,"")</f>
        <v>liyyas Ahammed</v>
      </c>
    </row>
    <row r="693" spans="1:18" ht="15">
      <c r="A693" s="64" t="s">
        <v>233</v>
      </c>
      <c r="B693" s="64" t="s">
        <v>2334</v>
      </c>
      <c r="C693" s="65" t="s">
        <v>4443</v>
      </c>
      <c r="D693" s="66">
        <v>3</v>
      </c>
      <c r="E693" s="67"/>
      <c r="F693" s="68">
        <v>40</v>
      </c>
      <c r="G693" s="65"/>
      <c r="H693" s="69"/>
      <c r="I693" s="70"/>
      <c r="J693" s="70"/>
      <c r="K693" s="34" t="s">
        <v>65</v>
      </c>
      <c r="L693" s="77">
        <v>693</v>
      </c>
      <c r="M693" s="77"/>
      <c r="N693" s="72"/>
      <c r="O693" s="79" t="s">
        <v>610</v>
      </c>
      <c r="P693" s="79">
        <v>1</v>
      </c>
      <c r="Q693" s="78" t="str">
        <f>REPLACE(INDEX(GroupVertices[Group],MATCH(Edges[[#This Row],[Vertex 1]],GroupVertices[Vertex],0)),1,1,"")</f>
        <v>liyyas Ahammed</v>
      </c>
      <c r="R693" s="78" t="str">
        <f>REPLACE(INDEX(GroupVertices[Group],MATCH(Edges[[#This Row],[Vertex 2]],GroupVertices[Vertex],0)),1,1,"")</f>
        <v>liyyas Ahammed</v>
      </c>
    </row>
    <row r="694" spans="1:18" ht="15">
      <c r="A694" s="64" t="s">
        <v>233</v>
      </c>
      <c r="B694" s="64" t="s">
        <v>482</v>
      </c>
      <c r="C694" s="65" t="s">
        <v>4443</v>
      </c>
      <c r="D694" s="66">
        <v>3</v>
      </c>
      <c r="E694" s="67"/>
      <c r="F694" s="68">
        <v>40</v>
      </c>
      <c r="G694" s="65"/>
      <c r="H694" s="69"/>
      <c r="I694" s="70"/>
      <c r="J694" s="70"/>
      <c r="K694" s="34" t="s">
        <v>65</v>
      </c>
      <c r="L694" s="77">
        <v>694</v>
      </c>
      <c r="M694" s="77"/>
      <c r="N694" s="72"/>
      <c r="O694" s="79" t="s">
        <v>610</v>
      </c>
      <c r="P694" s="79">
        <v>1</v>
      </c>
      <c r="Q694" s="78" t="str">
        <f>REPLACE(INDEX(GroupVertices[Group],MATCH(Edges[[#This Row],[Vertex 1]],GroupVertices[Vertex],0)),1,1,"")</f>
        <v>liyyas Ahammed</v>
      </c>
      <c r="R694" s="78" t="str">
        <f>REPLACE(INDEX(GroupVertices[Group],MATCH(Edges[[#This Row],[Vertex 2]],GroupVertices[Vertex],0)),1,1,"")</f>
        <v>liyyas Ahammed</v>
      </c>
    </row>
    <row r="695" spans="1:18" ht="15">
      <c r="A695" s="64" t="s">
        <v>233</v>
      </c>
      <c r="B695" s="64" t="s">
        <v>2335</v>
      </c>
      <c r="C695" s="65" t="s">
        <v>4443</v>
      </c>
      <c r="D695" s="66">
        <v>3</v>
      </c>
      <c r="E695" s="67"/>
      <c r="F695" s="68">
        <v>40</v>
      </c>
      <c r="G695" s="65"/>
      <c r="H695" s="69"/>
      <c r="I695" s="70"/>
      <c r="J695" s="70"/>
      <c r="K695" s="34" t="s">
        <v>65</v>
      </c>
      <c r="L695" s="77">
        <v>695</v>
      </c>
      <c r="M695" s="77"/>
      <c r="N695" s="72"/>
      <c r="O695" s="79" t="s">
        <v>610</v>
      </c>
      <c r="P695" s="79">
        <v>1</v>
      </c>
      <c r="Q695" s="78" t="str">
        <f>REPLACE(INDEX(GroupVertices[Group],MATCH(Edges[[#This Row],[Vertex 1]],GroupVertices[Vertex],0)),1,1,"")</f>
        <v>liyyas Ahammed</v>
      </c>
      <c r="R695" s="78" t="str">
        <f>REPLACE(INDEX(GroupVertices[Group],MATCH(Edges[[#This Row],[Vertex 2]],GroupVertices[Vertex],0)),1,1,"")</f>
        <v>liyyas Ahammed</v>
      </c>
    </row>
    <row r="696" spans="1:18" ht="15">
      <c r="A696" s="64" t="s">
        <v>233</v>
      </c>
      <c r="B696" s="64" t="s">
        <v>483</v>
      </c>
      <c r="C696" s="65" t="s">
        <v>4443</v>
      </c>
      <c r="D696" s="66">
        <v>3</v>
      </c>
      <c r="E696" s="67"/>
      <c r="F696" s="68">
        <v>40</v>
      </c>
      <c r="G696" s="65"/>
      <c r="H696" s="69"/>
      <c r="I696" s="70"/>
      <c r="J696" s="70"/>
      <c r="K696" s="34" t="s">
        <v>65</v>
      </c>
      <c r="L696" s="77">
        <v>696</v>
      </c>
      <c r="M696" s="77"/>
      <c r="N696" s="72"/>
      <c r="O696" s="79" t="s">
        <v>610</v>
      </c>
      <c r="P696" s="79">
        <v>1</v>
      </c>
      <c r="Q696" s="78" t="str">
        <f>REPLACE(INDEX(GroupVertices[Group],MATCH(Edges[[#This Row],[Vertex 1]],GroupVertices[Vertex],0)),1,1,"")</f>
        <v>liyyas Ahammed</v>
      </c>
      <c r="R696" s="78" t="str">
        <f>REPLACE(INDEX(GroupVertices[Group],MATCH(Edges[[#This Row],[Vertex 2]],GroupVertices[Vertex],0)),1,1,"")</f>
        <v>liyyas Ahammed</v>
      </c>
    </row>
    <row r="697" spans="1:18" ht="15">
      <c r="A697" s="64" t="s">
        <v>233</v>
      </c>
      <c r="B697" s="64" t="s">
        <v>499</v>
      </c>
      <c r="C697" s="65" t="s">
        <v>4443</v>
      </c>
      <c r="D697" s="66">
        <v>3</v>
      </c>
      <c r="E697" s="67"/>
      <c r="F697" s="68">
        <v>40</v>
      </c>
      <c r="G697" s="65"/>
      <c r="H697" s="69"/>
      <c r="I697" s="70"/>
      <c r="J697" s="70"/>
      <c r="K697" s="34" t="s">
        <v>65</v>
      </c>
      <c r="L697" s="77">
        <v>697</v>
      </c>
      <c r="M697" s="77"/>
      <c r="N697" s="72"/>
      <c r="O697" s="79" t="s">
        <v>610</v>
      </c>
      <c r="P697" s="79">
        <v>1</v>
      </c>
      <c r="Q697" s="78" t="str">
        <f>REPLACE(INDEX(GroupVertices[Group],MATCH(Edges[[#This Row],[Vertex 1]],GroupVertices[Vertex],0)),1,1,"")</f>
        <v>liyyas Ahammed</v>
      </c>
      <c r="R697" s="78" t="str">
        <f>REPLACE(INDEX(GroupVertices[Group],MATCH(Edges[[#This Row],[Vertex 2]],GroupVertices[Vertex],0)),1,1,"")</f>
        <v>liyyas Ahammed</v>
      </c>
    </row>
    <row r="698" spans="1:18" ht="15">
      <c r="A698" s="64" t="s">
        <v>222</v>
      </c>
      <c r="B698" s="64" t="s">
        <v>221</v>
      </c>
      <c r="C698" s="65" t="s">
        <v>4443</v>
      </c>
      <c r="D698" s="66">
        <v>3</v>
      </c>
      <c r="E698" s="67"/>
      <c r="F698" s="68">
        <v>40</v>
      </c>
      <c r="G698" s="65"/>
      <c r="H698" s="69"/>
      <c r="I698" s="70"/>
      <c r="J698" s="70"/>
      <c r="K698" s="34" t="s">
        <v>65</v>
      </c>
      <c r="L698" s="77">
        <v>698</v>
      </c>
      <c r="M698" s="77"/>
      <c r="N698" s="72"/>
      <c r="O698" s="79" t="s">
        <v>610</v>
      </c>
      <c r="P698" s="79">
        <v>1</v>
      </c>
      <c r="Q698" s="78" t="str">
        <f>REPLACE(INDEX(GroupVertices[Group],MATCH(Edges[[#This Row],[Vertex 1]],GroupVertices[Vertex],0)),1,1,"")</f>
        <v>nlineCEUCredit</v>
      </c>
      <c r="R698" s="78" t="str">
        <f>REPLACE(INDEX(GroupVertices[Group],MATCH(Edges[[#This Row],[Vertex 2]],GroupVertices[Vertex],0)),1,1,"")</f>
        <v>nlineCEUCredit</v>
      </c>
    </row>
    <row r="699" spans="1:18" ht="15">
      <c r="A699" s="64" t="s">
        <v>222</v>
      </c>
      <c r="B699" s="64" t="s">
        <v>346</v>
      </c>
      <c r="C699" s="65" t="s">
        <v>4443</v>
      </c>
      <c r="D699" s="66">
        <v>3</v>
      </c>
      <c r="E699" s="67"/>
      <c r="F699" s="68">
        <v>40</v>
      </c>
      <c r="G699" s="65"/>
      <c r="H699" s="69"/>
      <c r="I699" s="70"/>
      <c r="J699" s="70"/>
      <c r="K699" s="34" t="s">
        <v>65</v>
      </c>
      <c r="L699" s="77">
        <v>699</v>
      </c>
      <c r="M699" s="77"/>
      <c r="N699" s="72"/>
      <c r="O699" s="79" t="s">
        <v>610</v>
      </c>
      <c r="P699" s="79">
        <v>1</v>
      </c>
      <c r="Q699" s="78" t="str">
        <f>REPLACE(INDEX(GroupVertices[Group],MATCH(Edges[[#This Row],[Vertex 1]],GroupVertices[Vertex],0)),1,1,"")</f>
        <v>nlineCEUCredit</v>
      </c>
      <c r="R699" s="78" t="str">
        <f>REPLACE(INDEX(GroupVertices[Group],MATCH(Edges[[#This Row],[Vertex 2]],GroupVertices[Vertex],0)),1,1,"")</f>
        <v>nlineCEUCredit</v>
      </c>
    </row>
    <row r="700" spans="1:18" ht="15">
      <c r="A700" s="64" t="s">
        <v>222</v>
      </c>
      <c r="B700" s="64" t="s">
        <v>334</v>
      </c>
      <c r="C700" s="65" t="s">
        <v>4443</v>
      </c>
      <c r="D700" s="66">
        <v>3</v>
      </c>
      <c r="E700" s="67"/>
      <c r="F700" s="68">
        <v>40</v>
      </c>
      <c r="G700" s="65"/>
      <c r="H700" s="69"/>
      <c r="I700" s="70"/>
      <c r="J700" s="70"/>
      <c r="K700" s="34" t="s">
        <v>65</v>
      </c>
      <c r="L700" s="77">
        <v>700</v>
      </c>
      <c r="M700" s="77"/>
      <c r="N700" s="72"/>
      <c r="O700" s="79" t="s">
        <v>610</v>
      </c>
      <c r="P700" s="79">
        <v>1</v>
      </c>
      <c r="Q700" s="78" t="str">
        <f>REPLACE(INDEX(GroupVertices[Group],MATCH(Edges[[#This Row],[Vertex 1]],GroupVertices[Vertex],0)),1,1,"")</f>
        <v>nlineCEUCredit</v>
      </c>
      <c r="R700" s="78" t="str">
        <f>REPLACE(INDEX(GroupVertices[Group],MATCH(Edges[[#This Row],[Vertex 2]],GroupVertices[Vertex],0)),1,1,"")</f>
        <v>nlineCEUCredit</v>
      </c>
    </row>
    <row r="701" spans="1:18" ht="15">
      <c r="A701" s="64" t="s">
        <v>222</v>
      </c>
      <c r="B701" s="64" t="s">
        <v>333</v>
      </c>
      <c r="C701" s="65" t="s">
        <v>4443</v>
      </c>
      <c r="D701" s="66">
        <v>3</v>
      </c>
      <c r="E701" s="67"/>
      <c r="F701" s="68">
        <v>40</v>
      </c>
      <c r="G701" s="65"/>
      <c r="H701" s="69"/>
      <c r="I701" s="70"/>
      <c r="J701" s="70"/>
      <c r="K701" s="34" t="s">
        <v>65</v>
      </c>
      <c r="L701" s="77">
        <v>701</v>
      </c>
      <c r="M701" s="77"/>
      <c r="N701" s="72"/>
      <c r="O701" s="79" t="s">
        <v>610</v>
      </c>
      <c r="P701" s="79">
        <v>1</v>
      </c>
      <c r="Q701" s="78" t="str">
        <f>REPLACE(INDEX(GroupVertices[Group],MATCH(Edges[[#This Row],[Vertex 1]],GroupVertices[Vertex],0)),1,1,"")</f>
        <v>nlineCEUCredit</v>
      </c>
      <c r="R701" s="78" t="str">
        <f>REPLACE(INDEX(GroupVertices[Group],MATCH(Edges[[#This Row],[Vertex 2]],GroupVertices[Vertex],0)),1,1,"")</f>
        <v>nlineCEUCredit</v>
      </c>
    </row>
    <row r="702" spans="1:18" ht="15">
      <c r="A702" s="64" t="s">
        <v>222</v>
      </c>
      <c r="B702" s="64" t="s">
        <v>336</v>
      </c>
      <c r="C702" s="65" t="s">
        <v>4443</v>
      </c>
      <c r="D702" s="66">
        <v>3</v>
      </c>
      <c r="E702" s="67"/>
      <c r="F702" s="68">
        <v>40</v>
      </c>
      <c r="G702" s="65"/>
      <c r="H702" s="69"/>
      <c r="I702" s="70"/>
      <c r="J702" s="70"/>
      <c r="K702" s="34" t="s">
        <v>65</v>
      </c>
      <c r="L702" s="77">
        <v>702</v>
      </c>
      <c r="M702" s="77"/>
      <c r="N702" s="72"/>
      <c r="O702" s="79" t="s">
        <v>610</v>
      </c>
      <c r="P702" s="79">
        <v>1</v>
      </c>
      <c r="Q702" s="78" t="str">
        <f>REPLACE(INDEX(GroupVertices[Group],MATCH(Edges[[#This Row],[Vertex 1]],GroupVertices[Vertex],0)),1,1,"")</f>
        <v>nlineCEUCredit</v>
      </c>
      <c r="R702" s="78" t="str">
        <f>REPLACE(INDEX(GroupVertices[Group],MATCH(Edges[[#This Row],[Vertex 2]],GroupVertices[Vertex],0)),1,1,"")</f>
        <v>nlineCEUCredit</v>
      </c>
    </row>
    <row r="703" spans="1:18" ht="15">
      <c r="A703" s="64" t="s">
        <v>222</v>
      </c>
      <c r="B703" s="64" t="s">
        <v>338</v>
      </c>
      <c r="C703" s="65" t="s">
        <v>4443</v>
      </c>
      <c r="D703" s="66">
        <v>3</v>
      </c>
      <c r="E703" s="67"/>
      <c r="F703" s="68">
        <v>40</v>
      </c>
      <c r="G703" s="65"/>
      <c r="H703" s="69"/>
      <c r="I703" s="70"/>
      <c r="J703" s="70"/>
      <c r="K703" s="34" t="s">
        <v>65</v>
      </c>
      <c r="L703" s="77">
        <v>703</v>
      </c>
      <c r="M703" s="77"/>
      <c r="N703" s="72"/>
      <c r="O703" s="79" t="s">
        <v>610</v>
      </c>
      <c r="P703" s="79">
        <v>1</v>
      </c>
      <c r="Q703" s="78" t="str">
        <f>REPLACE(INDEX(GroupVertices[Group],MATCH(Edges[[#This Row],[Vertex 1]],GroupVertices[Vertex],0)),1,1,"")</f>
        <v>nlineCEUCredit</v>
      </c>
      <c r="R703" s="78" t="str">
        <f>REPLACE(INDEX(GroupVertices[Group],MATCH(Edges[[#This Row],[Vertex 2]],GroupVertices[Vertex],0)),1,1,"")</f>
        <v>nlineCEUCredit</v>
      </c>
    </row>
    <row r="704" spans="1:18" ht="15">
      <c r="A704" s="64" t="s">
        <v>222</v>
      </c>
      <c r="B704" s="64" t="s">
        <v>340</v>
      </c>
      <c r="C704" s="65" t="s">
        <v>4443</v>
      </c>
      <c r="D704" s="66">
        <v>3</v>
      </c>
      <c r="E704" s="67"/>
      <c r="F704" s="68">
        <v>40</v>
      </c>
      <c r="G704" s="65"/>
      <c r="H704" s="69"/>
      <c r="I704" s="70"/>
      <c r="J704" s="70"/>
      <c r="K704" s="34" t="s">
        <v>65</v>
      </c>
      <c r="L704" s="77">
        <v>704</v>
      </c>
      <c r="M704" s="77"/>
      <c r="N704" s="72"/>
      <c r="O704" s="79" t="s">
        <v>610</v>
      </c>
      <c r="P704" s="79">
        <v>1</v>
      </c>
      <c r="Q704" s="78" t="str">
        <f>REPLACE(INDEX(GroupVertices[Group],MATCH(Edges[[#This Row],[Vertex 1]],GroupVertices[Vertex],0)),1,1,"")</f>
        <v>nlineCEUCredit</v>
      </c>
      <c r="R704" s="78" t="str">
        <f>REPLACE(INDEX(GroupVertices[Group],MATCH(Edges[[#This Row],[Vertex 2]],GroupVertices[Vertex],0)),1,1,"")</f>
        <v>nlineCEUCredit</v>
      </c>
    </row>
    <row r="705" spans="1:18" ht="15">
      <c r="A705" s="64" t="s">
        <v>222</v>
      </c>
      <c r="B705" s="64" t="s">
        <v>327</v>
      </c>
      <c r="C705" s="65" t="s">
        <v>4443</v>
      </c>
      <c r="D705" s="66">
        <v>3</v>
      </c>
      <c r="E705" s="67"/>
      <c r="F705" s="68">
        <v>40</v>
      </c>
      <c r="G705" s="65"/>
      <c r="H705" s="69"/>
      <c r="I705" s="70"/>
      <c r="J705" s="70"/>
      <c r="K705" s="34" t="s">
        <v>65</v>
      </c>
      <c r="L705" s="77">
        <v>705</v>
      </c>
      <c r="M705" s="77"/>
      <c r="N705" s="72"/>
      <c r="O705" s="79" t="s">
        <v>610</v>
      </c>
      <c r="P705" s="79">
        <v>1</v>
      </c>
      <c r="Q705" s="78" t="str">
        <f>REPLACE(INDEX(GroupVertices[Group],MATCH(Edges[[#This Row],[Vertex 1]],GroupVertices[Vertex],0)),1,1,"")</f>
        <v>nlineCEUCredit</v>
      </c>
      <c r="R705" s="78" t="str">
        <f>REPLACE(INDEX(GroupVertices[Group],MATCH(Edges[[#This Row],[Vertex 2]],GroupVertices[Vertex],0)),1,1,"")</f>
        <v>nlineCEUCredit</v>
      </c>
    </row>
    <row r="706" spans="1:18" ht="15">
      <c r="A706" s="64" t="s">
        <v>222</v>
      </c>
      <c r="B706" s="64" t="s">
        <v>330</v>
      </c>
      <c r="C706" s="65" t="s">
        <v>4443</v>
      </c>
      <c r="D706" s="66">
        <v>3</v>
      </c>
      <c r="E706" s="67"/>
      <c r="F706" s="68">
        <v>40</v>
      </c>
      <c r="G706" s="65"/>
      <c r="H706" s="69"/>
      <c r="I706" s="70"/>
      <c r="J706" s="70"/>
      <c r="K706" s="34" t="s">
        <v>65</v>
      </c>
      <c r="L706" s="77">
        <v>706</v>
      </c>
      <c r="M706" s="77"/>
      <c r="N706" s="72"/>
      <c r="O706" s="79" t="s">
        <v>610</v>
      </c>
      <c r="P706" s="79">
        <v>1</v>
      </c>
      <c r="Q706" s="78" t="str">
        <f>REPLACE(INDEX(GroupVertices[Group],MATCH(Edges[[#This Row],[Vertex 1]],GroupVertices[Vertex],0)),1,1,"")</f>
        <v>nlineCEUCredit</v>
      </c>
      <c r="R706" s="78" t="str">
        <f>REPLACE(INDEX(GroupVertices[Group],MATCH(Edges[[#This Row],[Vertex 2]],GroupVertices[Vertex],0)),1,1,"")</f>
        <v>nlineCEUCredit</v>
      </c>
    </row>
    <row r="707" spans="1:18" ht="15">
      <c r="A707" s="64" t="s">
        <v>222</v>
      </c>
      <c r="B707" s="64" t="s">
        <v>332</v>
      </c>
      <c r="C707" s="65" t="s">
        <v>4443</v>
      </c>
      <c r="D707" s="66">
        <v>3</v>
      </c>
      <c r="E707" s="67"/>
      <c r="F707" s="68">
        <v>40</v>
      </c>
      <c r="G707" s="65"/>
      <c r="H707" s="69"/>
      <c r="I707" s="70"/>
      <c r="J707" s="70"/>
      <c r="K707" s="34" t="s">
        <v>65</v>
      </c>
      <c r="L707" s="77">
        <v>707</v>
      </c>
      <c r="M707" s="77"/>
      <c r="N707" s="72"/>
      <c r="O707" s="79" t="s">
        <v>610</v>
      </c>
      <c r="P707" s="79">
        <v>1</v>
      </c>
      <c r="Q707" s="78" t="str">
        <f>REPLACE(INDEX(GroupVertices[Group],MATCH(Edges[[#This Row],[Vertex 1]],GroupVertices[Vertex],0)),1,1,"")</f>
        <v>nlineCEUCredit</v>
      </c>
      <c r="R707" s="78" t="str">
        <f>REPLACE(INDEX(GroupVertices[Group],MATCH(Edges[[#This Row],[Vertex 2]],GroupVertices[Vertex],0)),1,1,"")</f>
        <v>nlineCEUCredit</v>
      </c>
    </row>
    <row r="708" spans="1:18" ht="15">
      <c r="A708" s="64" t="s">
        <v>222</v>
      </c>
      <c r="B708" s="64" t="s">
        <v>335</v>
      </c>
      <c r="C708" s="65" t="s">
        <v>4443</v>
      </c>
      <c r="D708" s="66">
        <v>3</v>
      </c>
      <c r="E708" s="67"/>
      <c r="F708" s="68">
        <v>40</v>
      </c>
      <c r="G708" s="65"/>
      <c r="H708" s="69"/>
      <c r="I708" s="70"/>
      <c r="J708" s="70"/>
      <c r="K708" s="34" t="s">
        <v>65</v>
      </c>
      <c r="L708" s="77">
        <v>708</v>
      </c>
      <c r="M708" s="77"/>
      <c r="N708" s="72"/>
      <c r="O708" s="79" t="s">
        <v>610</v>
      </c>
      <c r="P708" s="79">
        <v>1</v>
      </c>
      <c r="Q708" s="78" t="str">
        <f>REPLACE(INDEX(GroupVertices[Group],MATCH(Edges[[#This Row],[Vertex 1]],GroupVertices[Vertex],0)),1,1,"")</f>
        <v>nlineCEUCredit</v>
      </c>
      <c r="R708" s="78" t="str">
        <f>REPLACE(INDEX(GroupVertices[Group],MATCH(Edges[[#This Row],[Vertex 2]],GroupVertices[Vertex],0)),1,1,"")</f>
        <v>nlineCEUCredit</v>
      </c>
    </row>
    <row r="709" spans="1:18" ht="15">
      <c r="A709" s="64" t="s">
        <v>222</v>
      </c>
      <c r="B709" s="64" t="s">
        <v>328</v>
      </c>
      <c r="C709" s="65" t="s">
        <v>4443</v>
      </c>
      <c r="D709" s="66">
        <v>3</v>
      </c>
      <c r="E709" s="67"/>
      <c r="F709" s="68">
        <v>40</v>
      </c>
      <c r="G709" s="65"/>
      <c r="H709" s="69"/>
      <c r="I709" s="70"/>
      <c r="J709" s="70"/>
      <c r="K709" s="34" t="s">
        <v>65</v>
      </c>
      <c r="L709" s="77">
        <v>709</v>
      </c>
      <c r="M709" s="77"/>
      <c r="N709" s="72"/>
      <c r="O709" s="79" t="s">
        <v>610</v>
      </c>
      <c r="P709" s="79">
        <v>1</v>
      </c>
      <c r="Q709" s="78" t="str">
        <f>REPLACE(INDEX(GroupVertices[Group],MATCH(Edges[[#This Row],[Vertex 1]],GroupVertices[Vertex],0)),1,1,"")</f>
        <v>nlineCEUCredit</v>
      </c>
      <c r="R709" s="78" t="str">
        <f>REPLACE(INDEX(GroupVertices[Group],MATCH(Edges[[#This Row],[Vertex 2]],GroupVertices[Vertex],0)),1,1,"")</f>
        <v>nlineCEUCredit</v>
      </c>
    </row>
    <row r="710" spans="1:18" ht="15">
      <c r="A710" s="64" t="s">
        <v>222</v>
      </c>
      <c r="B710" s="64" t="s">
        <v>337</v>
      </c>
      <c r="C710" s="65" t="s">
        <v>4443</v>
      </c>
      <c r="D710" s="66">
        <v>3</v>
      </c>
      <c r="E710" s="67"/>
      <c r="F710" s="68">
        <v>40</v>
      </c>
      <c r="G710" s="65"/>
      <c r="H710" s="69"/>
      <c r="I710" s="70"/>
      <c r="J710" s="70"/>
      <c r="K710" s="34" t="s">
        <v>65</v>
      </c>
      <c r="L710" s="77">
        <v>710</v>
      </c>
      <c r="M710" s="77"/>
      <c r="N710" s="72"/>
      <c r="O710" s="79" t="s">
        <v>610</v>
      </c>
      <c r="P710" s="79">
        <v>1</v>
      </c>
      <c r="Q710" s="78" t="str">
        <f>REPLACE(INDEX(GroupVertices[Group],MATCH(Edges[[#This Row],[Vertex 1]],GroupVertices[Vertex],0)),1,1,"")</f>
        <v>nlineCEUCredit</v>
      </c>
      <c r="R710" s="78" t="str">
        <f>REPLACE(INDEX(GroupVertices[Group],MATCH(Edges[[#This Row],[Vertex 2]],GroupVertices[Vertex],0)),1,1,"")</f>
        <v>nlineCEUCredit</v>
      </c>
    </row>
    <row r="711" spans="1:18" ht="15">
      <c r="A711" s="64" t="s">
        <v>222</v>
      </c>
      <c r="B711" s="64" t="s">
        <v>331</v>
      </c>
      <c r="C711" s="65" t="s">
        <v>4443</v>
      </c>
      <c r="D711" s="66">
        <v>3</v>
      </c>
      <c r="E711" s="67"/>
      <c r="F711" s="68">
        <v>40</v>
      </c>
      <c r="G711" s="65"/>
      <c r="H711" s="69"/>
      <c r="I711" s="70"/>
      <c r="J711" s="70"/>
      <c r="K711" s="34" t="s">
        <v>65</v>
      </c>
      <c r="L711" s="77">
        <v>711</v>
      </c>
      <c r="M711" s="77"/>
      <c r="N711" s="72"/>
      <c r="O711" s="79" t="s">
        <v>610</v>
      </c>
      <c r="P711" s="79">
        <v>1</v>
      </c>
      <c r="Q711" s="78" t="str">
        <f>REPLACE(INDEX(GroupVertices[Group],MATCH(Edges[[#This Row],[Vertex 1]],GroupVertices[Vertex],0)),1,1,"")</f>
        <v>nlineCEUCredit</v>
      </c>
      <c r="R711" s="78" t="str">
        <f>REPLACE(INDEX(GroupVertices[Group],MATCH(Edges[[#This Row],[Vertex 2]],GroupVertices[Vertex],0)),1,1,"")</f>
        <v>nlineCEUCredit</v>
      </c>
    </row>
    <row r="712" spans="1:18" ht="15">
      <c r="A712" s="64" t="s">
        <v>222</v>
      </c>
      <c r="B712" s="64" t="s">
        <v>341</v>
      </c>
      <c r="C712" s="65" t="s">
        <v>4443</v>
      </c>
      <c r="D712" s="66">
        <v>3</v>
      </c>
      <c r="E712" s="67"/>
      <c r="F712" s="68">
        <v>40</v>
      </c>
      <c r="G712" s="65"/>
      <c r="H712" s="69"/>
      <c r="I712" s="70"/>
      <c r="J712" s="70"/>
      <c r="K712" s="34" t="s">
        <v>65</v>
      </c>
      <c r="L712" s="77">
        <v>712</v>
      </c>
      <c r="M712" s="77"/>
      <c r="N712" s="72"/>
      <c r="O712" s="79" t="s">
        <v>610</v>
      </c>
      <c r="P712" s="79">
        <v>1</v>
      </c>
      <c r="Q712" s="78" t="str">
        <f>REPLACE(INDEX(GroupVertices[Group],MATCH(Edges[[#This Row],[Vertex 1]],GroupVertices[Vertex],0)),1,1,"")</f>
        <v>nlineCEUCredit</v>
      </c>
      <c r="R712" s="78" t="str">
        <f>REPLACE(INDEX(GroupVertices[Group],MATCH(Edges[[#This Row],[Vertex 2]],GroupVertices[Vertex],0)),1,1,"")</f>
        <v>nlineCEUCredit</v>
      </c>
    </row>
    <row r="713" spans="1:18" ht="15">
      <c r="A713" s="64" t="s">
        <v>222</v>
      </c>
      <c r="B713" s="64" t="s">
        <v>339</v>
      </c>
      <c r="C713" s="65" t="s">
        <v>4443</v>
      </c>
      <c r="D713" s="66">
        <v>3</v>
      </c>
      <c r="E713" s="67"/>
      <c r="F713" s="68">
        <v>40</v>
      </c>
      <c r="G713" s="65"/>
      <c r="H713" s="69"/>
      <c r="I713" s="70"/>
      <c r="J713" s="70"/>
      <c r="K713" s="34" t="s">
        <v>65</v>
      </c>
      <c r="L713" s="77">
        <v>713</v>
      </c>
      <c r="M713" s="77"/>
      <c r="N713" s="72"/>
      <c r="O713" s="79" t="s">
        <v>610</v>
      </c>
      <c r="P713" s="79">
        <v>1</v>
      </c>
      <c r="Q713" s="78" t="str">
        <f>REPLACE(INDEX(GroupVertices[Group],MATCH(Edges[[#This Row],[Vertex 1]],GroupVertices[Vertex],0)),1,1,"")</f>
        <v>nlineCEUCredit</v>
      </c>
      <c r="R713" s="78" t="str">
        <f>REPLACE(INDEX(GroupVertices[Group],MATCH(Edges[[#This Row],[Vertex 2]],GroupVertices[Vertex],0)),1,1,"")</f>
        <v>nlineCEUCredit</v>
      </c>
    </row>
    <row r="714" spans="1:18" ht="15">
      <c r="A714" s="64" t="s">
        <v>222</v>
      </c>
      <c r="B714" s="64" t="s">
        <v>326</v>
      </c>
      <c r="C714" s="65" t="s">
        <v>4443</v>
      </c>
      <c r="D714" s="66">
        <v>3</v>
      </c>
      <c r="E714" s="67"/>
      <c r="F714" s="68">
        <v>40</v>
      </c>
      <c r="G714" s="65"/>
      <c r="H714" s="69"/>
      <c r="I714" s="70"/>
      <c r="J714" s="70"/>
      <c r="K714" s="34" t="s">
        <v>65</v>
      </c>
      <c r="L714" s="77">
        <v>714</v>
      </c>
      <c r="M714" s="77"/>
      <c r="N714" s="72"/>
      <c r="O714" s="79" t="s">
        <v>610</v>
      </c>
      <c r="P714" s="79">
        <v>1</v>
      </c>
      <c r="Q714" s="78" t="str">
        <f>REPLACE(INDEX(GroupVertices[Group],MATCH(Edges[[#This Row],[Vertex 1]],GroupVertices[Vertex],0)),1,1,"")</f>
        <v>nlineCEUCredit</v>
      </c>
      <c r="R714" s="78" t="str">
        <f>REPLACE(INDEX(GroupVertices[Group],MATCH(Edges[[#This Row],[Vertex 2]],GroupVertices[Vertex],0)),1,1,"")</f>
        <v>eady Study Go</v>
      </c>
    </row>
    <row r="715" spans="1:18" ht="15">
      <c r="A715" s="64" t="s">
        <v>234</v>
      </c>
      <c r="B715" s="64" t="s">
        <v>502</v>
      </c>
      <c r="C715" s="65" t="s">
        <v>4443</v>
      </c>
      <c r="D715" s="66">
        <v>3</v>
      </c>
      <c r="E715" s="67"/>
      <c r="F715" s="68">
        <v>40</v>
      </c>
      <c r="G715" s="65"/>
      <c r="H715" s="69"/>
      <c r="I715" s="70"/>
      <c r="J715" s="70"/>
      <c r="K715" s="34" t="s">
        <v>65</v>
      </c>
      <c r="L715" s="77">
        <v>715</v>
      </c>
      <c r="M715" s="77"/>
      <c r="N715" s="72"/>
      <c r="O715" s="79" t="s">
        <v>610</v>
      </c>
      <c r="P715" s="79">
        <v>1</v>
      </c>
      <c r="Q715" s="78" t="str">
        <f>REPLACE(INDEX(GroupVertices[Group],MATCH(Edges[[#This Row],[Vertex 1]],GroupVertices[Vertex],0)),1,1,"")</f>
        <v>ourAlberta</v>
      </c>
      <c r="R715" s="78" t="str">
        <f>REPLACE(INDEX(GroupVertices[Group],MATCH(Edges[[#This Row],[Vertex 2]],GroupVertices[Vertex],0)),1,1,"")</f>
        <v>healbertareporter</v>
      </c>
    </row>
    <row r="716" spans="1:18" ht="15">
      <c r="A716" s="64" t="s">
        <v>234</v>
      </c>
      <c r="B716" s="64" t="s">
        <v>503</v>
      </c>
      <c r="C716" s="65" t="s">
        <v>4443</v>
      </c>
      <c r="D716" s="66">
        <v>3</v>
      </c>
      <c r="E716" s="67"/>
      <c r="F716" s="68">
        <v>40</v>
      </c>
      <c r="G716" s="65"/>
      <c r="H716" s="69"/>
      <c r="I716" s="70"/>
      <c r="J716" s="70"/>
      <c r="K716" s="34" t="s">
        <v>65</v>
      </c>
      <c r="L716" s="77">
        <v>716</v>
      </c>
      <c r="M716" s="77"/>
      <c r="N716" s="72"/>
      <c r="O716" s="79" t="s">
        <v>610</v>
      </c>
      <c r="P716" s="79">
        <v>1</v>
      </c>
      <c r="Q716" s="78" t="str">
        <f>REPLACE(INDEX(GroupVertices[Group],MATCH(Edges[[#This Row],[Vertex 1]],GroupVertices[Vertex],0)),1,1,"")</f>
        <v>ourAlberta</v>
      </c>
      <c r="R716" s="78" t="str">
        <f>REPLACE(INDEX(GroupVertices[Group],MATCH(Edges[[#This Row],[Vertex 2]],GroupVertices[Vertex],0)),1,1,"")</f>
        <v>xposure Therapy</v>
      </c>
    </row>
    <row r="717" spans="1:18" ht="15">
      <c r="A717" s="64" t="s">
        <v>234</v>
      </c>
      <c r="B717" s="64" t="s">
        <v>504</v>
      </c>
      <c r="C717" s="65" t="s">
        <v>4443</v>
      </c>
      <c r="D717" s="66">
        <v>3</v>
      </c>
      <c r="E717" s="67"/>
      <c r="F717" s="68">
        <v>40</v>
      </c>
      <c r="G717" s="65"/>
      <c r="H717" s="69"/>
      <c r="I717" s="70"/>
      <c r="J717" s="70"/>
      <c r="K717" s="34" t="s">
        <v>65</v>
      </c>
      <c r="L717" s="77">
        <v>717</v>
      </c>
      <c r="M717" s="77"/>
      <c r="N717" s="72"/>
      <c r="O717" s="79" t="s">
        <v>610</v>
      </c>
      <c r="P717" s="79">
        <v>1</v>
      </c>
      <c r="Q717" s="78" t="str">
        <f>REPLACE(INDEX(GroupVertices[Group],MATCH(Edges[[#This Row],[Vertex 1]],GroupVertices[Vertex],0)),1,1,"")</f>
        <v>ourAlberta</v>
      </c>
      <c r="R717" s="78" t="str">
        <f>REPLACE(INDEX(GroupVertices[Group],MATCH(Edges[[#This Row],[Vertex 2]],GroupVertices[Vertex],0)),1,1,"")</f>
        <v>xposure Therapy</v>
      </c>
    </row>
    <row r="718" spans="1:18" ht="15">
      <c r="A718" s="64" t="s">
        <v>234</v>
      </c>
      <c r="B718" s="64" t="s">
        <v>505</v>
      </c>
      <c r="C718" s="65" t="s">
        <v>4443</v>
      </c>
      <c r="D718" s="66">
        <v>3</v>
      </c>
      <c r="E718" s="67"/>
      <c r="F718" s="68">
        <v>40</v>
      </c>
      <c r="G718" s="65"/>
      <c r="H718" s="69"/>
      <c r="I718" s="70"/>
      <c r="J718" s="70"/>
      <c r="K718" s="34" t="s">
        <v>65</v>
      </c>
      <c r="L718" s="77">
        <v>718</v>
      </c>
      <c r="M718" s="77"/>
      <c r="N718" s="72"/>
      <c r="O718" s="79" t="s">
        <v>610</v>
      </c>
      <c r="P718" s="79">
        <v>1</v>
      </c>
      <c r="Q718" s="78" t="str">
        <f>REPLACE(INDEX(GroupVertices[Group],MATCH(Edges[[#This Row],[Vertex 1]],GroupVertices[Vertex],0)),1,1,"")</f>
        <v>ourAlberta</v>
      </c>
      <c r="R718" s="78" t="str">
        <f>REPLACE(INDEX(GroupVertices[Group],MATCH(Edges[[#This Row],[Vertex 2]],GroupVertices[Vertex],0)),1,1,"")</f>
        <v>ovingtoCalgary</v>
      </c>
    </row>
    <row r="719" spans="1:18" ht="15">
      <c r="A719" s="64" t="s">
        <v>234</v>
      </c>
      <c r="B719" s="64" t="s">
        <v>507</v>
      </c>
      <c r="C719" s="65" t="s">
        <v>4443</v>
      </c>
      <c r="D719" s="66">
        <v>3</v>
      </c>
      <c r="E719" s="67"/>
      <c r="F719" s="68">
        <v>40</v>
      </c>
      <c r="G719" s="65"/>
      <c r="H719" s="69"/>
      <c r="I719" s="70"/>
      <c r="J719" s="70"/>
      <c r="K719" s="34" t="s">
        <v>65</v>
      </c>
      <c r="L719" s="77">
        <v>719</v>
      </c>
      <c r="M719" s="77"/>
      <c r="N719" s="72"/>
      <c r="O719" s="79" t="s">
        <v>610</v>
      </c>
      <c r="P719" s="79">
        <v>1</v>
      </c>
      <c r="Q719" s="78" t="str">
        <f>REPLACE(INDEX(GroupVertices[Group],MATCH(Edges[[#This Row],[Vertex 1]],GroupVertices[Vertex],0)),1,1,"")</f>
        <v>ourAlberta</v>
      </c>
      <c r="R719" s="78" t="str">
        <f>REPLACE(INDEX(GroupVertices[Group],MATCH(Edges[[#This Row],[Vertex 2]],GroupVertices[Vertex],0)),1,1,"")</f>
        <v>atching Carbon</v>
      </c>
    </row>
    <row r="720" spans="1:18" ht="15">
      <c r="A720" s="64" t="s">
        <v>234</v>
      </c>
      <c r="B720" s="64" t="s">
        <v>506</v>
      </c>
      <c r="C720" s="65" t="s">
        <v>4443</v>
      </c>
      <c r="D720" s="66">
        <v>3</v>
      </c>
      <c r="E720" s="67"/>
      <c r="F720" s="68">
        <v>40</v>
      </c>
      <c r="G720" s="65"/>
      <c r="H720" s="69"/>
      <c r="I720" s="70"/>
      <c r="J720" s="70"/>
      <c r="K720" s="34" t="s">
        <v>65</v>
      </c>
      <c r="L720" s="77">
        <v>720</v>
      </c>
      <c r="M720" s="77"/>
      <c r="N720" s="72"/>
      <c r="O720" s="79" t="s">
        <v>610</v>
      </c>
      <c r="P720" s="79">
        <v>1</v>
      </c>
      <c r="Q720" s="78" t="str">
        <f>REPLACE(INDEX(GroupVertices[Group],MATCH(Edges[[#This Row],[Vertex 1]],GroupVertices[Vertex],0)),1,1,"")</f>
        <v>ourAlberta</v>
      </c>
      <c r="R720" s="78" t="str">
        <f>REPLACE(INDEX(GroupVertices[Group],MATCH(Edges[[#This Row],[Vertex 2]],GroupVertices[Vertex],0)),1,1,"")</f>
        <v>ounty of Grande Prairie</v>
      </c>
    </row>
    <row r="721" spans="1:18" ht="15">
      <c r="A721" s="64" t="s">
        <v>234</v>
      </c>
      <c r="B721" s="64" t="s">
        <v>508</v>
      </c>
      <c r="C721" s="65" t="s">
        <v>4443</v>
      </c>
      <c r="D721" s="66">
        <v>3</v>
      </c>
      <c r="E721" s="67"/>
      <c r="F721" s="68">
        <v>40</v>
      </c>
      <c r="G721" s="65"/>
      <c r="H721" s="69"/>
      <c r="I721" s="70"/>
      <c r="J721" s="70"/>
      <c r="K721" s="34" t="s">
        <v>65</v>
      </c>
      <c r="L721" s="77">
        <v>721</v>
      </c>
      <c r="M721" s="77"/>
      <c r="N721" s="72"/>
      <c r="O721" s="79" t="s">
        <v>610</v>
      </c>
      <c r="P721" s="79">
        <v>1</v>
      </c>
      <c r="Q721" s="78" t="str">
        <f>REPLACE(INDEX(GroupVertices[Group],MATCH(Edges[[#This Row],[Vertex 1]],GroupVertices[Vertex],0)),1,1,"")</f>
        <v>ourAlberta</v>
      </c>
      <c r="R721" s="78" t="str">
        <f>REPLACE(INDEX(GroupVertices[Group],MATCH(Edges[[#This Row],[Vertex 2]],GroupVertices[Vertex],0)),1,1,"")</f>
        <v>ehigh County PA</v>
      </c>
    </row>
    <row r="722" spans="1:18" ht="15">
      <c r="A722" s="64" t="s">
        <v>234</v>
      </c>
      <c r="B722" s="64" t="s">
        <v>509</v>
      </c>
      <c r="C722" s="65" t="s">
        <v>4443</v>
      </c>
      <c r="D722" s="66">
        <v>3</v>
      </c>
      <c r="E722" s="67"/>
      <c r="F722" s="68">
        <v>40</v>
      </c>
      <c r="G722" s="65"/>
      <c r="H722" s="69"/>
      <c r="I722" s="70"/>
      <c r="J722" s="70"/>
      <c r="K722" s="34" t="s">
        <v>65</v>
      </c>
      <c r="L722" s="77">
        <v>722</v>
      </c>
      <c r="M722" s="77"/>
      <c r="N722" s="72"/>
      <c r="O722" s="79" t="s">
        <v>610</v>
      </c>
      <c r="P722" s="79">
        <v>1</v>
      </c>
      <c r="Q722" s="78" t="str">
        <f>REPLACE(INDEX(GroupVertices[Group],MATCH(Edges[[#This Row],[Vertex 1]],GroupVertices[Vertex],0)),1,1,"")</f>
        <v>ourAlberta</v>
      </c>
      <c r="R722" s="78" t="str">
        <f>REPLACE(INDEX(GroupVertices[Group],MATCH(Edges[[#This Row],[Vertex 2]],GroupVertices[Vertex],0)),1,1,"")</f>
        <v>ovingtoCalgary</v>
      </c>
    </row>
    <row r="723" spans="1:18" ht="15">
      <c r="A723" s="64" t="s">
        <v>234</v>
      </c>
      <c r="B723" s="64" t="s">
        <v>500</v>
      </c>
      <c r="C723" s="65" t="s">
        <v>4443</v>
      </c>
      <c r="D723" s="66">
        <v>3</v>
      </c>
      <c r="E723" s="67"/>
      <c r="F723" s="68">
        <v>40</v>
      </c>
      <c r="G723" s="65"/>
      <c r="H723" s="69"/>
      <c r="I723" s="70"/>
      <c r="J723" s="70"/>
      <c r="K723" s="34" t="s">
        <v>65</v>
      </c>
      <c r="L723" s="77">
        <v>723</v>
      </c>
      <c r="M723" s="77"/>
      <c r="N723" s="72"/>
      <c r="O723" s="79" t="s">
        <v>610</v>
      </c>
      <c r="P723" s="79">
        <v>1</v>
      </c>
      <c r="Q723" s="78" t="str">
        <f>REPLACE(INDEX(GroupVertices[Group],MATCH(Edges[[#This Row],[Vertex 1]],GroupVertices[Vertex],0)),1,1,"")</f>
        <v>ourAlberta</v>
      </c>
      <c r="R723" s="78" t="str">
        <f>REPLACE(INDEX(GroupVertices[Group],MATCH(Edges[[#This Row],[Vertex 2]],GroupVertices[Vertex],0)),1,1,"")</f>
        <v>ndivided</v>
      </c>
    </row>
    <row r="724" spans="1:18" ht="15">
      <c r="A724" s="64" t="s">
        <v>234</v>
      </c>
      <c r="B724" s="64" t="s">
        <v>511</v>
      </c>
      <c r="C724" s="65" t="s">
        <v>4443</v>
      </c>
      <c r="D724" s="66">
        <v>3</v>
      </c>
      <c r="E724" s="67"/>
      <c r="F724" s="68">
        <v>40</v>
      </c>
      <c r="G724" s="65"/>
      <c r="H724" s="69"/>
      <c r="I724" s="70"/>
      <c r="J724" s="70"/>
      <c r="K724" s="34" t="s">
        <v>65</v>
      </c>
      <c r="L724" s="77">
        <v>724</v>
      </c>
      <c r="M724" s="77"/>
      <c r="N724" s="72"/>
      <c r="O724" s="79" t="s">
        <v>610</v>
      </c>
      <c r="P724" s="79">
        <v>1</v>
      </c>
      <c r="Q724" s="78" t="str">
        <f>REPLACE(INDEX(GroupVertices[Group],MATCH(Edges[[#This Row],[Vertex 1]],GroupVertices[Vertex],0)),1,1,"")</f>
        <v>ourAlberta</v>
      </c>
      <c r="R724" s="78" t="str">
        <f>REPLACE(INDEX(GroupVertices[Group],MATCH(Edges[[#This Row],[Vertex 2]],GroupVertices[Vertex],0)),1,1,"")</f>
        <v>il Sands Magazine</v>
      </c>
    </row>
    <row r="725" spans="1:18" ht="15">
      <c r="A725" s="64" t="s">
        <v>234</v>
      </c>
      <c r="B725" s="64" t="s">
        <v>510</v>
      </c>
      <c r="C725" s="65" t="s">
        <v>4443</v>
      </c>
      <c r="D725" s="66">
        <v>3</v>
      </c>
      <c r="E725" s="67"/>
      <c r="F725" s="68">
        <v>40</v>
      </c>
      <c r="G725" s="65"/>
      <c r="H725" s="69"/>
      <c r="I725" s="70"/>
      <c r="J725" s="70"/>
      <c r="K725" s="34" t="s">
        <v>65</v>
      </c>
      <c r="L725" s="77">
        <v>725</v>
      </c>
      <c r="M725" s="77"/>
      <c r="N725" s="72"/>
      <c r="O725" s="79" t="s">
        <v>610</v>
      </c>
      <c r="P725" s="79">
        <v>1</v>
      </c>
      <c r="Q725" s="78" t="str">
        <f>REPLACE(INDEX(GroupVertices[Group],MATCH(Edges[[#This Row],[Vertex 1]],GroupVertices[Vertex],0)),1,1,"")</f>
        <v>ourAlberta</v>
      </c>
      <c r="R725" s="78" t="str">
        <f>REPLACE(INDEX(GroupVertices[Group],MATCH(Edges[[#This Row],[Vertex 2]],GroupVertices[Vertex],0)),1,1,"")</f>
        <v>il Sands Magazine</v>
      </c>
    </row>
    <row r="726" spans="1:18" ht="15">
      <c r="A726" s="64" t="s">
        <v>234</v>
      </c>
      <c r="B726" s="64" t="s">
        <v>513</v>
      </c>
      <c r="C726" s="65" t="s">
        <v>4443</v>
      </c>
      <c r="D726" s="66">
        <v>3</v>
      </c>
      <c r="E726" s="67"/>
      <c r="F726" s="68">
        <v>40</v>
      </c>
      <c r="G726" s="65"/>
      <c r="H726" s="69"/>
      <c r="I726" s="70"/>
      <c r="J726" s="70"/>
      <c r="K726" s="34" t="s">
        <v>65</v>
      </c>
      <c r="L726" s="77">
        <v>726</v>
      </c>
      <c r="M726" s="77"/>
      <c r="N726" s="72"/>
      <c r="O726" s="79" t="s">
        <v>610</v>
      </c>
      <c r="P726" s="79">
        <v>1</v>
      </c>
      <c r="Q726" s="78" t="str">
        <f>REPLACE(INDEX(GroupVertices[Group],MATCH(Edges[[#This Row],[Vertex 1]],GroupVertices[Vertex],0)),1,1,"")</f>
        <v>ourAlberta</v>
      </c>
      <c r="R726" s="78" t="str">
        <f>REPLACE(INDEX(GroupVertices[Group],MATCH(Edges[[#This Row],[Vertex 2]],GroupVertices[Vertex],0)),1,1,"")</f>
        <v>ourAlberta</v>
      </c>
    </row>
    <row r="727" spans="1:18" ht="15">
      <c r="A727" s="64" t="s">
        <v>234</v>
      </c>
      <c r="B727" s="64" t="s">
        <v>512</v>
      </c>
      <c r="C727" s="65" t="s">
        <v>4443</v>
      </c>
      <c r="D727" s="66">
        <v>3</v>
      </c>
      <c r="E727" s="67"/>
      <c r="F727" s="68">
        <v>40</v>
      </c>
      <c r="G727" s="65"/>
      <c r="H727" s="69"/>
      <c r="I727" s="70"/>
      <c r="J727" s="70"/>
      <c r="K727" s="34" t="s">
        <v>65</v>
      </c>
      <c r="L727" s="77">
        <v>727</v>
      </c>
      <c r="M727" s="77"/>
      <c r="N727" s="72"/>
      <c r="O727" s="79" t="s">
        <v>610</v>
      </c>
      <c r="P727" s="79">
        <v>1</v>
      </c>
      <c r="Q727" s="78" t="str">
        <f>REPLACE(INDEX(GroupVertices[Group],MATCH(Edges[[#This Row],[Vertex 1]],GroupVertices[Vertex],0)),1,1,"")</f>
        <v>ourAlberta</v>
      </c>
      <c r="R727" s="78" t="str">
        <f>REPLACE(INDEX(GroupVertices[Group],MATCH(Edges[[#This Row],[Vertex 2]],GroupVertices[Vertex],0)),1,1,"")</f>
        <v>ourAlberta</v>
      </c>
    </row>
    <row r="728" spans="1:18" ht="15">
      <c r="A728" s="64" t="s">
        <v>234</v>
      </c>
      <c r="B728" s="64" t="s">
        <v>514</v>
      </c>
      <c r="C728" s="65" t="s">
        <v>4443</v>
      </c>
      <c r="D728" s="66">
        <v>3</v>
      </c>
      <c r="E728" s="67"/>
      <c r="F728" s="68">
        <v>40</v>
      </c>
      <c r="G728" s="65"/>
      <c r="H728" s="69"/>
      <c r="I728" s="70"/>
      <c r="J728" s="70"/>
      <c r="K728" s="34" t="s">
        <v>65</v>
      </c>
      <c r="L728" s="77">
        <v>728</v>
      </c>
      <c r="M728" s="77"/>
      <c r="N728" s="72"/>
      <c r="O728" s="79" t="s">
        <v>610</v>
      </c>
      <c r="P728" s="79">
        <v>1</v>
      </c>
      <c r="Q728" s="78" t="str">
        <f>REPLACE(INDEX(GroupVertices[Group],MATCH(Edges[[#This Row],[Vertex 1]],GroupVertices[Vertex],0)),1,1,"")</f>
        <v>ourAlberta</v>
      </c>
      <c r="R728" s="78" t="str">
        <f>REPLACE(INDEX(GroupVertices[Group],MATCH(Edges[[#This Row],[Vertex 2]],GroupVertices[Vertex],0)),1,1,"")</f>
        <v>ourAlberta</v>
      </c>
    </row>
    <row r="729" spans="1:18" ht="15">
      <c r="A729" s="64" t="s">
        <v>234</v>
      </c>
      <c r="B729" s="64" t="s">
        <v>515</v>
      </c>
      <c r="C729" s="65" t="s">
        <v>4443</v>
      </c>
      <c r="D729" s="66">
        <v>3</v>
      </c>
      <c r="E729" s="67"/>
      <c r="F729" s="68">
        <v>40</v>
      </c>
      <c r="G729" s="65"/>
      <c r="H729" s="69"/>
      <c r="I729" s="70"/>
      <c r="J729" s="70"/>
      <c r="K729" s="34" t="s">
        <v>65</v>
      </c>
      <c r="L729" s="77">
        <v>729</v>
      </c>
      <c r="M729" s="77"/>
      <c r="N729" s="72"/>
      <c r="O729" s="79" t="s">
        <v>610</v>
      </c>
      <c r="P729" s="79">
        <v>1</v>
      </c>
      <c r="Q729" s="78" t="str">
        <f>REPLACE(INDEX(GroupVertices[Group],MATCH(Edges[[#This Row],[Vertex 1]],GroupVertices[Vertex],0)),1,1,"")</f>
        <v>ourAlberta</v>
      </c>
      <c r="R729" s="78" t="str">
        <f>REPLACE(INDEX(GroupVertices[Group],MATCH(Edges[[#This Row],[Vertex 2]],GroupVertices[Vertex],0)),1,1,"")</f>
        <v>ourAlberta</v>
      </c>
    </row>
    <row r="730" spans="1:18" ht="15">
      <c r="A730" s="64" t="s">
        <v>234</v>
      </c>
      <c r="B730" s="64" t="s">
        <v>516</v>
      </c>
      <c r="C730" s="65" t="s">
        <v>4443</v>
      </c>
      <c r="D730" s="66">
        <v>3</v>
      </c>
      <c r="E730" s="67"/>
      <c r="F730" s="68">
        <v>40</v>
      </c>
      <c r="G730" s="65"/>
      <c r="H730" s="69"/>
      <c r="I730" s="70"/>
      <c r="J730" s="70"/>
      <c r="K730" s="34" t="s">
        <v>65</v>
      </c>
      <c r="L730" s="77">
        <v>730</v>
      </c>
      <c r="M730" s="77"/>
      <c r="N730" s="72"/>
      <c r="O730" s="79" t="s">
        <v>610</v>
      </c>
      <c r="P730" s="79">
        <v>1</v>
      </c>
      <c r="Q730" s="78" t="str">
        <f>REPLACE(INDEX(GroupVertices[Group],MATCH(Edges[[#This Row],[Vertex 1]],GroupVertices[Vertex],0)),1,1,"")</f>
        <v>ourAlberta</v>
      </c>
      <c r="R730" s="78" t="str">
        <f>REPLACE(INDEX(GroupVertices[Group],MATCH(Edges[[#This Row],[Vertex 2]],GroupVertices[Vertex],0)),1,1,"")</f>
        <v>ourAlberta</v>
      </c>
    </row>
    <row r="731" spans="1:18" ht="15">
      <c r="A731" s="64" t="s">
        <v>234</v>
      </c>
      <c r="B731" s="64" t="s">
        <v>517</v>
      </c>
      <c r="C731" s="65" t="s">
        <v>4443</v>
      </c>
      <c r="D731" s="66">
        <v>3</v>
      </c>
      <c r="E731" s="67"/>
      <c r="F731" s="68">
        <v>40</v>
      </c>
      <c r="G731" s="65"/>
      <c r="H731" s="69"/>
      <c r="I731" s="70"/>
      <c r="J731" s="70"/>
      <c r="K731" s="34" t="s">
        <v>65</v>
      </c>
      <c r="L731" s="77">
        <v>731</v>
      </c>
      <c r="M731" s="77"/>
      <c r="N731" s="72"/>
      <c r="O731" s="79" t="s">
        <v>610</v>
      </c>
      <c r="P731" s="79">
        <v>1</v>
      </c>
      <c r="Q731" s="78" t="str">
        <f>REPLACE(INDEX(GroupVertices[Group],MATCH(Edges[[#This Row],[Vertex 1]],GroupVertices[Vertex],0)),1,1,"")</f>
        <v>ourAlberta</v>
      </c>
      <c r="R731" s="78" t="str">
        <f>REPLACE(INDEX(GroupVertices[Group],MATCH(Edges[[#This Row],[Vertex 2]],GroupVertices[Vertex],0)),1,1,"")</f>
        <v>ourAlberta</v>
      </c>
    </row>
    <row r="732" spans="1:18" ht="15">
      <c r="A732" s="64" t="s">
        <v>234</v>
      </c>
      <c r="B732" s="64" t="s">
        <v>518</v>
      </c>
      <c r="C732" s="65" t="s">
        <v>4443</v>
      </c>
      <c r="D732" s="66">
        <v>3</v>
      </c>
      <c r="E732" s="67"/>
      <c r="F732" s="68">
        <v>40</v>
      </c>
      <c r="G732" s="65"/>
      <c r="H732" s="69"/>
      <c r="I732" s="70"/>
      <c r="J732" s="70"/>
      <c r="K732" s="34" t="s">
        <v>65</v>
      </c>
      <c r="L732" s="77">
        <v>732</v>
      </c>
      <c r="M732" s="77"/>
      <c r="N732" s="72"/>
      <c r="O732" s="79" t="s">
        <v>610</v>
      </c>
      <c r="P732" s="79">
        <v>1</v>
      </c>
      <c r="Q732" s="78" t="str">
        <f>REPLACE(INDEX(GroupVertices[Group],MATCH(Edges[[#This Row],[Vertex 1]],GroupVertices[Vertex],0)),1,1,"")</f>
        <v>ourAlberta</v>
      </c>
      <c r="R732" s="78" t="str">
        <f>REPLACE(INDEX(GroupVertices[Group],MATCH(Edges[[#This Row],[Vertex 2]],GroupVertices[Vertex],0)),1,1,"")</f>
        <v>ourAlberta</v>
      </c>
    </row>
    <row r="733" spans="1:18" ht="15">
      <c r="A733" s="64" t="s">
        <v>234</v>
      </c>
      <c r="B733" s="64" t="s">
        <v>521</v>
      </c>
      <c r="C733" s="65" t="s">
        <v>4443</v>
      </c>
      <c r="D733" s="66">
        <v>3</v>
      </c>
      <c r="E733" s="67"/>
      <c r="F733" s="68">
        <v>40</v>
      </c>
      <c r="G733" s="65"/>
      <c r="H733" s="69"/>
      <c r="I733" s="70"/>
      <c r="J733" s="70"/>
      <c r="K733" s="34" t="s">
        <v>65</v>
      </c>
      <c r="L733" s="77">
        <v>733</v>
      </c>
      <c r="M733" s="77"/>
      <c r="N733" s="72"/>
      <c r="O733" s="79" t="s">
        <v>610</v>
      </c>
      <c r="P733" s="79">
        <v>1</v>
      </c>
      <c r="Q733" s="78" t="str">
        <f>REPLACE(INDEX(GroupVertices[Group],MATCH(Edges[[#This Row],[Vertex 1]],GroupVertices[Vertex],0)),1,1,"")</f>
        <v>ourAlberta</v>
      </c>
      <c r="R733" s="78" t="str">
        <f>REPLACE(INDEX(GroupVertices[Group],MATCH(Edges[[#This Row],[Vertex 2]],GroupVertices[Vertex],0)),1,1,"")</f>
        <v>ourAlberta</v>
      </c>
    </row>
    <row r="734" spans="1:18" ht="15">
      <c r="A734" s="64" t="s">
        <v>234</v>
      </c>
      <c r="B734" s="64" t="s">
        <v>520</v>
      </c>
      <c r="C734" s="65" t="s">
        <v>4443</v>
      </c>
      <c r="D734" s="66">
        <v>3</v>
      </c>
      <c r="E734" s="67"/>
      <c r="F734" s="68">
        <v>40</v>
      </c>
      <c r="G734" s="65"/>
      <c r="H734" s="69"/>
      <c r="I734" s="70"/>
      <c r="J734" s="70"/>
      <c r="K734" s="34" t="s">
        <v>65</v>
      </c>
      <c r="L734" s="77">
        <v>734</v>
      </c>
      <c r="M734" s="77"/>
      <c r="N734" s="72"/>
      <c r="O734" s="79" t="s">
        <v>610</v>
      </c>
      <c r="P734" s="79">
        <v>1</v>
      </c>
      <c r="Q734" s="78" t="str">
        <f>REPLACE(INDEX(GroupVertices[Group],MATCH(Edges[[#This Row],[Vertex 1]],GroupVertices[Vertex],0)),1,1,"")</f>
        <v>ourAlberta</v>
      </c>
      <c r="R734" s="78" t="str">
        <f>REPLACE(INDEX(GroupVertices[Group],MATCH(Edges[[#This Row],[Vertex 2]],GroupVertices[Vertex],0)),1,1,"")</f>
        <v>ourAlberta</v>
      </c>
    </row>
    <row r="735" spans="1:18" ht="15">
      <c r="A735" s="64" t="s">
        <v>234</v>
      </c>
      <c r="B735" s="64" t="s">
        <v>523</v>
      </c>
      <c r="C735" s="65" t="s">
        <v>4443</v>
      </c>
      <c r="D735" s="66">
        <v>3</v>
      </c>
      <c r="E735" s="67"/>
      <c r="F735" s="68">
        <v>40</v>
      </c>
      <c r="G735" s="65"/>
      <c r="H735" s="69"/>
      <c r="I735" s="70"/>
      <c r="J735" s="70"/>
      <c r="K735" s="34" t="s">
        <v>65</v>
      </c>
      <c r="L735" s="77">
        <v>735</v>
      </c>
      <c r="M735" s="77"/>
      <c r="N735" s="72"/>
      <c r="O735" s="79" t="s">
        <v>610</v>
      </c>
      <c r="P735" s="79">
        <v>1</v>
      </c>
      <c r="Q735" s="78" t="str">
        <f>REPLACE(INDEX(GroupVertices[Group],MATCH(Edges[[#This Row],[Vertex 1]],GroupVertices[Vertex],0)),1,1,"")</f>
        <v>ourAlberta</v>
      </c>
      <c r="R735" s="78" t="str">
        <f>REPLACE(INDEX(GroupVertices[Group],MATCH(Edges[[#This Row],[Vertex 2]],GroupVertices[Vertex],0)),1,1,"")</f>
        <v>ourAlberta</v>
      </c>
    </row>
    <row r="736" spans="1:18" ht="15">
      <c r="A736" s="64" t="s">
        <v>234</v>
      </c>
      <c r="B736" s="64" t="s">
        <v>2358</v>
      </c>
      <c r="C736" s="65" t="s">
        <v>4443</v>
      </c>
      <c r="D736" s="66">
        <v>3</v>
      </c>
      <c r="E736" s="67"/>
      <c r="F736" s="68">
        <v>40</v>
      </c>
      <c r="G736" s="65"/>
      <c r="H736" s="69"/>
      <c r="I736" s="70"/>
      <c r="J736" s="70"/>
      <c r="K736" s="34" t="s">
        <v>65</v>
      </c>
      <c r="L736" s="77">
        <v>736</v>
      </c>
      <c r="M736" s="77"/>
      <c r="N736" s="72"/>
      <c r="O736" s="79" t="s">
        <v>610</v>
      </c>
      <c r="P736" s="79">
        <v>1</v>
      </c>
      <c r="Q736" s="78" t="str">
        <f>REPLACE(INDEX(GroupVertices[Group],MATCH(Edges[[#This Row],[Vertex 1]],GroupVertices[Vertex],0)),1,1,"")</f>
        <v>ourAlberta</v>
      </c>
      <c r="R736" s="78" t="str">
        <f>REPLACE(INDEX(GroupVertices[Group],MATCH(Edges[[#This Row],[Vertex 2]],GroupVertices[Vertex],0)),1,1,"")</f>
        <v>ourAlberta</v>
      </c>
    </row>
    <row r="737" spans="1:18" ht="15">
      <c r="A737" s="64" t="s">
        <v>234</v>
      </c>
      <c r="B737" s="64" t="s">
        <v>519</v>
      </c>
      <c r="C737" s="65" t="s">
        <v>4443</v>
      </c>
      <c r="D737" s="66">
        <v>3</v>
      </c>
      <c r="E737" s="67"/>
      <c r="F737" s="68">
        <v>40</v>
      </c>
      <c r="G737" s="65"/>
      <c r="H737" s="69"/>
      <c r="I737" s="70"/>
      <c r="J737" s="70"/>
      <c r="K737" s="34" t="s">
        <v>65</v>
      </c>
      <c r="L737" s="77">
        <v>737</v>
      </c>
      <c r="M737" s="77"/>
      <c r="N737" s="72"/>
      <c r="O737" s="79" t="s">
        <v>610</v>
      </c>
      <c r="P737" s="79">
        <v>1</v>
      </c>
      <c r="Q737" s="78" t="str">
        <f>REPLACE(INDEX(GroupVertices[Group],MATCH(Edges[[#This Row],[Vertex 1]],GroupVertices[Vertex],0)),1,1,"")</f>
        <v>ourAlberta</v>
      </c>
      <c r="R737" s="78" t="str">
        <f>REPLACE(INDEX(GroupVertices[Group],MATCH(Edges[[#This Row],[Vertex 2]],GroupVertices[Vertex],0)),1,1,"")</f>
        <v>ourAlberta</v>
      </c>
    </row>
    <row r="738" spans="1:18" ht="15">
      <c r="A738" s="64" t="s">
        <v>234</v>
      </c>
      <c r="B738" s="64" t="s">
        <v>522</v>
      </c>
      <c r="C738" s="65" t="s">
        <v>4443</v>
      </c>
      <c r="D738" s="66">
        <v>3</v>
      </c>
      <c r="E738" s="67"/>
      <c r="F738" s="68">
        <v>40</v>
      </c>
      <c r="G738" s="65"/>
      <c r="H738" s="69"/>
      <c r="I738" s="70"/>
      <c r="J738" s="70"/>
      <c r="K738" s="34" t="s">
        <v>65</v>
      </c>
      <c r="L738" s="77">
        <v>738</v>
      </c>
      <c r="M738" s="77"/>
      <c r="N738" s="72"/>
      <c r="O738" s="79" t="s">
        <v>610</v>
      </c>
      <c r="P738" s="79">
        <v>1</v>
      </c>
      <c r="Q738" s="78" t="str">
        <f>REPLACE(INDEX(GroupVertices[Group],MATCH(Edges[[#This Row],[Vertex 1]],GroupVertices[Vertex],0)),1,1,"")</f>
        <v>ourAlberta</v>
      </c>
      <c r="R738" s="78" t="str">
        <f>REPLACE(INDEX(GroupVertices[Group],MATCH(Edges[[#This Row],[Vertex 2]],GroupVertices[Vertex],0)),1,1,"")</f>
        <v>amSoft Inc.</v>
      </c>
    </row>
    <row r="739" spans="1:18" ht="15">
      <c r="A739" s="64" t="s">
        <v>234</v>
      </c>
      <c r="B739" s="64" t="s">
        <v>501</v>
      </c>
      <c r="C739" s="65" t="s">
        <v>4443</v>
      </c>
      <c r="D739" s="66">
        <v>3</v>
      </c>
      <c r="E739" s="67"/>
      <c r="F739" s="68">
        <v>40</v>
      </c>
      <c r="G739" s="65"/>
      <c r="H739" s="69"/>
      <c r="I739" s="70"/>
      <c r="J739" s="70"/>
      <c r="K739" s="34" t="s">
        <v>65</v>
      </c>
      <c r="L739" s="77">
        <v>739</v>
      </c>
      <c r="M739" s="77"/>
      <c r="N739" s="72"/>
      <c r="O739" s="79" t="s">
        <v>610</v>
      </c>
      <c r="P739" s="79">
        <v>1</v>
      </c>
      <c r="Q739" s="78" t="str">
        <f>REPLACE(INDEX(GroupVertices[Group],MATCH(Edges[[#This Row],[Vertex 1]],GroupVertices[Vertex],0)),1,1,"")</f>
        <v>ourAlberta</v>
      </c>
      <c r="R739" s="78" t="str">
        <f>REPLACE(INDEX(GroupVertices[Group],MATCH(Edges[[#This Row],[Vertex 2]],GroupVertices[Vertex],0)),1,1,"")</f>
        <v>ourAlberta</v>
      </c>
    </row>
    <row r="740" spans="1:18" ht="15">
      <c r="A740" s="64" t="s">
        <v>234</v>
      </c>
      <c r="B740" s="64" t="s">
        <v>524</v>
      </c>
      <c r="C740" s="65" t="s">
        <v>4443</v>
      </c>
      <c r="D740" s="66">
        <v>3</v>
      </c>
      <c r="E740" s="67"/>
      <c r="F740" s="68">
        <v>40</v>
      </c>
      <c r="G740" s="65"/>
      <c r="H740" s="69"/>
      <c r="I740" s="70"/>
      <c r="J740" s="70"/>
      <c r="K740" s="34" t="s">
        <v>65</v>
      </c>
      <c r="L740" s="77">
        <v>740</v>
      </c>
      <c r="M740" s="77"/>
      <c r="N740" s="72"/>
      <c r="O740" s="79" t="s">
        <v>610</v>
      </c>
      <c r="P740" s="79">
        <v>1</v>
      </c>
      <c r="Q740" s="78" t="str">
        <f>REPLACE(INDEX(GroupVertices[Group],MATCH(Edges[[#This Row],[Vertex 1]],GroupVertices[Vertex],0)),1,1,"")</f>
        <v>ourAlberta</v>
      </c>
      <c r="R740" s="78" t="str">
        <f>REPLACE(INDEX(GroupVertices[Group],MATCH(Edges[[#This Row],[Vertex 2]],GroupVertices[Vertex],0)),1,1,"")</f>
        <v>ourAlberta</v>
      </c>
    </row>
    <row r="741" spans="1:18" ht="15">
      <c r="A741" s="64" t="s">
        <v>234</v>
      </c>
      <c r="B741" s="64" t="s">
        <v>525</v>
      </c>
      <c r="C741" s="65" t="s">
        <v>4443</v>
      </c>
      <c r="D741" s="66">
        <v>3</v>
      </c>
      <c r="E741" s="67"/>
      <c r="F741" s="68">
        <v>40</v>
      </c>
      <c r="G741" s="65"/>
      <c r="H741" s="69"/>
      <c r="I741" s="70"/>
      <c r="J741" s="70"/>
      <c r="K741" s="34" t="s">
        <v>65</v>
      </c>
      <c r="L741" s="77">
        <v>741</v>
      </c>
      <c r="M741" s="77"/>
      <c r="N741" s="72"/>
      <c r="O741" s="79" t="s">
        <v>610</v>
      </c>
      <c r="P741" s="79">
        <v>1</v>
      </c>
      <c r="Q741" s="78" t="str">
        <f>REPLACE(INDEX(GroupVertices[Group],MATCH(Edges[[#This Row],[Vertex 1]],GroupVertices[Vertex],0)),1,1,"")</f>
        <v>ourAlberta</v>
      </c>
      <c r="R741" s="78" t="str">
        <f>REPLACE(INDEX(GroupVertices[Group],MATCH(Edges[[#This Row],[Vertex 2]],GroupVertices[Vertex],0)),1,1,"")</f>
        <v>ourAlberta</v>
      </c>
    </row>
    <row r="742" spans="1:18" ht="15">
      <c r="A742" s="64" t="s">
        <v>234</v>
      </c>
      <c r="B742" s="64" t="s">
        <v>526</v>
      </c>
      <c r="C742" s="65" t="s">
        <v>4443</v>
      </c>
      <c r="D742" s="66">
        <v>3</v>
      </c>
      <c r="E742" s="67"/>
      <c r="F742" s="68">
        <v>40</v>
      </c>
      <c r="G742" s="65"/>
      <c r="H742" s="69"/>
      <c r="I742" s="70"/>
      <c r="J742" s="70"/>
      <c r="K742" s="34" t="s">
        <v>65</v>
      </c>
      <c r="L742" s="77">
        <v>742</v>
      </c>
      <c r="M742" s="77"/>
      <c r="N742" s="72"/>
      <c r="O742" s="79" t="s">
        <v>610</v>
      </c>
      <c r="P742" s="79">
        <v>1</v>
      </c>
      <c r="Q742" s="78" t="str">
        <f>REPLACE(INDEX(GroupVertices[Group],MATCH(Edges[[#This Row],[Vertex 1]],GroupVertices[Vertex],0)),1,1,"")</f>
        <v>ourAlberta</v>
      </c>
      <c r="R742" s="78" t="str">
        <f>REPLACE(INDEX(GroupVertices[Group],MATCH(Edges[[#This Row],[Vertex 2]],GroupVertices[Vertex],0)),1,1,"")</f>
        <v>ourAlberta</v>
      </c>
    </row>
    <row r="743" spans="1:18" ht="15">
      <c r="A743" s="64" t="s">
        <v>234</v>
      </c>
      <c r="B743" s="64" t="s">
        <v>527</v>
      </c>
      <c r="C743" s="65" t="s">
        <v>4443</v>
      </c>
      <c r="D743" s="66">
        <v>3</v>
      </c>
      <c r="E743" s="67"/>
      <c r="F743" s="68">
        <v>40</v>
      </c>
      <c r="G743" s="65"/>
      <c r="H743" s="69"/>
      <c r="I743" s="70"/>
      <c r="J743" s="70"/>
      <c r="K743" s="34" t="s">
        <v>65</v>
      </c>
      <c r="L743" s="77">
        <v>743</v>
      </c>
      <c r="M743" s="77"/>
      <c r="N743" s="72"/>
      <c r="O743" s="79" t="s">
        <v>610</v>
      </c>
      <c r="P743" s="79">
        <v>1</v>
      </c>
      <c r="Q743" s="78" t="str">
        <f>REPLACE(INDEX(GroupVertices[Group],MATCH(Edges[[#This Row],[Vertex 1]],GroupVertices[Vertex],0)),1,1,"")</f>
        <v>ourAlberta</v>
      </c>
      <c r="R743" s="78" t="str">
        <f>REPLACE(INDEX(GroupVertices[Group],MATCH(Edges[[#This Row],[Vertex 2]],GroupVertices[Vertex],0)),1,1,"")</f>
        <v>enchmark Human Services</v>
      </c>
    </row>
    <row r="744" spans="1:18" ht="15">
      <c r="A744" s="64" t="s">
        <v>234</v>
      </c>
      <c r="B744" s="64" t="s">
        <v>528</v>
      </c>
      <c r="C744" s="65" t="s">
        <v>4443</v>
      </c>
      <c r="D744" s="66">
        <v>3</v>
      </c>
      <c r="E744" s="67"/>
      <c r="F744" s="68">
        <v>40</v>
      </c>
      <c r="G744" s="65"/>
      <c r="H744" s="69"/>
      <c r="I744" s="70"/>
      <c r="J744" s="70"/>
      <c r="K744" s="34" t="s">
        <v>65</v>
      </c>
      <c r="L744" s="77">
        <v>744</v>
      </c>
      <c r="M744" s="77"/>
      <c r="N744" s="72"/>
      <c r="O744" s="79" t="s">
        <v>610</v>
      </c>
      <c r="P744" s="79">
        <v>1</v>
      </c>
      <c r="Q744" s="78" t="str">
        <f>REPLACE(INDEX(GroupVertices[Group],MATCH(Edges[[#This Row],[Vertex 1]],GroupVertices[Vertex],0)),1,1,"")</f>
        <v>ourAlberta</v>
      </c>
      <c r="R744" s="78" t="str">
        <f>REPLACE(INDEX(GroupVertices[Group],MATCH(Edges[[#This Row],[Vertex 2]],GroupVertices[Vertex],0)),1,1,"")</f>
        <v>ourAlberta</v>
      </c>
    </row>
    <row r="745" spans="1:18" ht="15">
      <c r="A745" s="64" t="s">
        <v>231</v>
      </c>
      <c r="B745" s="64" t="s">
        <v>458</v>
      </c>
      <c r="C745" s="65" t="s">
        <v>4443</v>
      </c>
      <c r="D745" s="66">
        <v>3</v>
      </c>
      <c r="E745" s="67"/>
      <c r="F745" s="68">
        <v>40</v>
      </c>
      <c r="G745" s="65"/>
      <c r="H745" s="69"/>
      <c r="I745" s="70"/>
      <c r="J745" s="70"/>
      <c r="K745" s="34" t="s">
        <v>65</v>
      </c>
      <c r="L745" s="77">
        <v>745</v>
      </c>
      <c r="M745" s="77"/>
      <c r="N745" s="72"/>
      <c r="O745" s="79" t="s">
        <v>610</v>
      </c>
      <c r="P745" s="79">
        <v>1</v>
      </c>
      <c r="Q745" s="78" t="str">
        <f>REPLACE(INDEX(GroupVertices[Group],MATCH(Edges[[#This Row],[Vertex 1]],GroupVertices[Vertex],0)),1,1,"")</f>
        <v>sych and Chill</v>
      </c>
      <c r="R745" s="78" t="str">
        <f>REPLACE(INDEX(GroupVertices[Group],MATCH(Edges[[#This Row],[Vertex 2]],GroupVertices[Vertex],0)),1,1,"")</f>
        <v>atie Brooks</v>
      </c>
    </row>
    <row r="746" spans="1:18" ht="15">
      <c r="A746" s="64" t="s">
        <v>231</v>
      </c>
      <c r="B746" s="64" t="s">
        <v>459</v>
      </c>
      <c r="C746" s="65" t="s">
        <v>4443</v>
      </c>
      <c r="D746" s="66">
        <v>3</v>
      </c>
      <c r="E746" s="67"/>
      <c r="F746" s="68">
        <v>40</v>
      </c>
      <c r="G746" s="65"/>
      <c r="H746" s="69"/>
      <c r="I746" s="70"/>
      <c r="J746" s="70"/>
      <c r="K746" s="34" t="s">
        <v>65</v>
      </c>
      <c r="L746" s="77">
        <v>746</v>
      </c>
      <c r="M746" s="77"/>
      <c r="N746" s="72"/>
      <c r="O746" s="79" t="s">
        <v>610</v>
      </c>
      <c r="P746" s="79">
        <v>1</v>
      </c>
      <c r="Q746" s="78" t="str">
        <f>REPLACE(INDEX(GroupVertices[Group],MATCH(Edges[[#This Row],[Vertex 1]],GroupVertices[Vertex],0)),1,1,"")</f>
        <v>sych and Chill</v>
      </c>
      <c r="R746" s="78" t="str">
        <f>REPLACE(INDEX(GroupVertices[Group],MATCH(Edges[[#This Row],[Vertex 2]],GroupVertices[Vertex],0)),1,1,"")</f>
        <v>nwen Middleton</v>
      </c>
    </row>
    <row r="747" spans="1:18" ht="15">
      <c r="A747" s="64" t="s">
        <v>231</v>
      </c>
      <c r="B747" s="64" t="s">
        <v>460</v>
      </c>
      <c r="C747" s="65" t="s">
        <v>4443</v>
      </c>
      <c r="D747" s="66">
        <v>3</v>
      </c>
      <c r="E747" s="67"/>
      <c r="F747" s="68">
        <v>40</v>
      </c>
      <c r="G747" s="65"/>
      <c r="H747" s="69"/>
      <c r="I747" s="70"/>
      <c r="J747" s="70"/>
      <c r="K747" s="34" t="s">
        <v>65</v>
      </c>
      <c r="L747" s="77">
        <v>747</v>
      </c>
      <c r="M747" s="77"/>
      <c r="N747" s="72"/>
      <c r="O747" s="79" t="s">
        <v>610</v>
      </c>
      <c r="P747" s="79">
        <v>1</v>
      </c>
      <c r="Q747" s="78" t="str">
        <f>REPLACE(INDEX(GroupVertices[Group],MATCH(Edges[[#This Row],[Vertex 1]],GroupVertices[Vertex],0)),1,1,"")</f>
        <v>sych and Chill</v>
      </c>
      <c r="R747" s="78" t="str">
        <f>REPLACE(INDEX(GroupVertices[Group],MATCH(Edges[[#This Row],[Vertex 2]],GroupVertices[Vertex],0)),1,1,"")</f>
        <v>ivenita</v>
      </c>
    </row>
    <row r="748" spans="1:18" ht="15">
      <c r="A748" s="64" t="s">
        <v>231</v>
      </c>
      <c r="B748" s="64" t="s">
        <v>457</v>
      </c>
      <c r="C748" s="65" t="s">
        <v>4443</v>
      </c>
      <c r="D748" s="66">
        <v>3</v>
      </c>
      <c r="E748" s="67"/>
      <c r="F748" s="68">
        <v>40</v>
      </c>
      <c r="G748" s="65"/>
      <c r="H748" s="69"/>
      <c r="I748" s="70"/>
      <c r="J748" s="70"/>
      <c r="K748" s="34" t="s">
        <v>65</v>
      </c>
      <c r="L748" s="77">
        <v>748</v>
      </c>
      <c r="M748" s="77"/>
      <c r="N748" s="72"/>
      <c r="O748" s="79" t="s">
        <v>610</v>
      </c>
      <c r="P748" s="79">
        <v>1</v>
      </c>
      <c r="Q748" s="78" t="str">
        <f>REPLACE(INDEX(GroupVertices[Group],MATCH(Edges[[#This Row],[Vertex 1]],GroupVertices[Vertex],0)),1,1,"")</f>
        <v>sych and Chill</v>
      </c>
      <c r="R748" s="78" t="str">
        <f>REPLACE(INDEX(GroupVertices[Group],MATCH(Edges[[#This Row],[Vertex 2]],GroupVertices[Vertex],0)),1,1,"")</f>
        <v>oe Tayler</v>
      </c>
    </row>
    <row r="749" spans="1:18" ht="15">
      <c r="A749" s="64" t="s">
        <v>231</v>
      </c>
      <c r="B749" s="64" t="s">
        <v>461</v>
      </c>
      <c r="C749" s="65" t="s">
        <v>4443</v>
      </c>
      <c r="D749" s="66">
        <v>3</v>
      </c>
      <c r="E749" s="67"/>
      <c r="F749" s="68">
        <v>40</v>
      </c>
      <c r="G749" s="65"/>
      <c r="H749" s="69"/>
      <c r="I749" s="70"/>
      <c r="J749" s="70"/>
      <c r="K749" s="34" t="s">
        <v>65</v>
      </c>
      <c r="L749" s="77">
        <v>749</v>
      </c>
      <c r="M749" s="77"/>
      <c r="N749" s="72"/>
      <c r="O749" s="79" t="s">
        <v>610</v>
      </c>
      <c r="P749" s="79">
        <v>1</v>
      </c>
      <c r="Q749" s="78" t="str">
        <f>REPLACE(INDEX(GroupVertices[Group],MATCH(Edges[[#This Row],[Vertex 1]],GroupVertices[Vertex],0)),1,1,"")</f>
        <v>sych and Chill</v>
      </c>
      <c r="R749" s="78" t="str">
        <f>REPLACE(INDEX(GroupVertices[Group],MATCH(Edges[[#This Row],[Vertex 2]],GroupVertices[Vertex],0)),1,1,"")</f>
        <v>ara gomez</v>
      </c>
    </row>
    <row r="750" spans="1:18" ht="15">
      <c r="A750" s="64" t="s">
        <v>231</v>
      </c>
      <c r="B750" s="64" t="s">
        <v>462</v>
      </c>
      <c r="C750" s="65" t="s">
        <v>4443</v>
      </c>
      <c r="D750" s="66">
        <v>3</v>
      </c>
      <c r="E750" s="67"/>
      <c r="F750" s="68">
        <v>40</v>
      </c>
      <c r="G750" s="65"/>
      <c r="H750" s="69"/>
      <c r="I750" s="70"/>
      <c r="J750" s="70"/>
      <c r="K750" s="34" t="s">
        <v>65</v>
      </c>
      <c r="L750" s="77">
        <v>750</v>
      </c>
      <c r="M750" s="77"/>
      <c r="N750" s="72"/>
      <c r="O750" s="79" t="s">
        <v>610</v>
      </c>
      <c r="P750" s="79">
        <v>1</v>
      </c>
      <c r="Q750" s="78" t="str">
        <f>REPLACE(INDEX(GroupVertices[Group],MATCH(Edges[[#This Row],[Vertex 1]],GroupVertices[Vertex],0)),1,1,"")</f>
        <v>sych and Chill</v>
      </c>
      <c r="R750" s="78" t="str">
        <f>REPLACE(INDEX(GroupVertices[Group],MATCH(Edges[[#This Row],[Vertex 2]],GroupVertices[Vertex],0)),1,1,"")</f>
        <v>lmy Bonafita</v>
      </c>
    </row>
    <row r="751" spans="1:18" ht="15">
      <c r="A751" s="64" t="s">
        <v>231</v>
      </c>
      <c r="B751" s="64" t="s">
        <v>465</v>
      </c>
      <c r="C751" s="65" t="s">
        <v>4443</v>
      </c>
      <c r="D751" s="66">
        <v>3</v>
      </c>
      <c r="E751" s="67"/>
      <c r="F751" s="68">
        <v>40</v>
      </c>
      <c r="G751" s="65"/>
      <c r="H751" s="69"/>
      <c r="I751" s="70"/>
      <c r="J751" s="70"/>
      <c r="K751" s="34" t="s">
        <v>65</v>
      </c>
      <c r="L751" s="77">
        <v>751</v>
      </c>
      <c r="M751" s="77"/>
      <c r="N751" s="72"/>
      <c r="O751" s="79" t="s">
        <v>610</v>
      </c>
      <c r="P751" s="79">
        <v>1</v>
      </c>
      <c r="Q751" s="78" t="str">
        <f>REPLACE(INDEX(GroupVertices[Group],MATCH(Edges[[#This Row],[Vertex 1]],GroupVertices[Vertex],0)),1,1,"")</f>
        <v>sych and Chill</v>
      </c>
      <c r="R751" s="78" t="str">
        <f>REPLACE(INDEX(GroupVertices[Group],MATCH(Edges[[#This Row],[Vertex 2]],GroupVertices[Vertex],0)),1,1,"")</f>
        <v>lmy Bonafita</v>
      </c>
    </row>
    <row r="752" spans="1:18" ht="15">
      <c r="A752" s="64" t="s">
        <v>231</v>
      </c>
      <c r="B752" s="64" t="s">
        <v>464</v>
      </c>
      <c r="C752" s="65" t="s">
        <v>4443</v>
      </c>
      <c r="D752" s="66">
        <v>3</v>
      </c>
      <c r="E752" s="67"/>
      <c r="F752" s="68">
        <v>40</v>
      </c>
      <c r="G752" s="65"/>
      <c r="H752" s="69"/>
      <c r="I752" s="70"/>
      <c r="J752" s="70"/>
      <c r="K752" s="34" t="s">
        <v>65</v>
      </c>
      <c r="L752" s="77">
        <v>752</v>
      </c>
      <c r="M752" s="77"/>
      <c r="N752" s="72"/>
      <c r="O752" s="79" t="s">
        <v>610</v>
      </c>
      <c r="P752" s="79">
        <v>1</v>
      </c>
      <c r="Q752" s="78" t="str">
        <f>REPLACE(INDEX(GroupVertices[Group],MATCH(Edges[[#This Row],[Vertex 1]],GroupVertices[Vertex],0)),1,1,"")</f>
        <v>sych and Chill</v>
      </c>
      <c r="R752" s="78" t="str">
        <f>REPLACE(INDEX(GroupVertices[Group],MATCH(Edges[[#This Row],[Vertex 2]],GroupVertices[Vertex],0)),1,1,"")</f>
        <v>sikologi BINUS</v>
      </c>
    </row>
    <row r="753" spans="1:18" ht="15">
      <c r="A753" s="64" t="s">
        <v>231</v>
      </c>
      <c r="B753" s="64" t="s">
        <v>463</v>
      </c>
      <c r="C753" s="65" t="s">
        <v>4443</v>
      </c>
      <c r="D753" s="66">
        <v>3</v>
      </c>
      <c r="E753" s="67"/>
      <c r="F753" s="68">
        <v>40</v>
      </c>
      <c r="G753" s="65"/>
      <c r="H753" s="69"/>
      <c r="I753" s="70"/>
      <c r="J753" s="70"/>
      <c r="K753" s="34" t="s">
        <v>65</v>
      </c>
      <c r="L753" s="77">
        <v>753</v>
      </c>
      <c r="M753" s="77"/>
      <c r="N753" s="72"/>
      <c r="O753" s="79" t="s">
        <v>610</v>
      </c>
      <c r="P753" s="79">
        <v>1</v>
      </c>
      <c r="Q753" s="78" t="str">
        <f>REPLACE(INDEX(GroupVertices[Group],MATCH(Edges[[#This Row],[Vertex 1]],GroupVertices[Vertex],0)),1,1,"")</f>
        <v>sych and Chill</v>
      </c>
      <c r="R753" s="78" t="str">
        <f>REPLACE(INDEX(GroupVertices[Group],MATCH(Edges[[#This Row],[Vertex 2]],GroupVertices[Vertex],0)),1,1,"")</f>
        <v>amrbo1</v>
      </c>
    </row>
    <row r="754" spans="1:18" ht="15">
      <c r="A754" s="64" t="s">
        <v>231</v>
      </c>
      <c r="B754" s="64" t="s">
        <v>466</v>
      </c>
      <c r="C754" s="65" t="s">
        <v>4443</v>
      </c>
      <c r="D754" s="66">
        <v>3</v>
      </c>
      <c r="E754" s="67"/>
      <c r="F754" s="68">
        <v>40</v>
      </c>
      <c r="G754" s="65"/>
      <c r="H754" s="69"/>
      <c r="I754" s="70"/>
      <c r="J754" s="70"/>
      <c r="K754" s="34" t="s">
        <v>65</v>
      </c>
      <c r="L754" s="77">
        <v>754</v>
      </c>
      <c r="M754" s="77"/>
      <c r="N754" s="72"/>
      <c r="O754" s="79" t="s">
        <v>610</v>
      </c>
      <c r="P754" s="79">
        <v>1</v>
      </c>
      <c r="Q754" s="78" t="str">
        <f>REPLACE(INDEX(GroupVertices[Group],MATCH(Edges[[#This Row],[Vertex 1]],GroupVertices[Vertex],0)),1,1,"")</f>
        <v>sych and Chill</v>
      </c>
      <c r="R754" s="78" t="str">
        <f>REPLACE(INDEX(GroupVertices[Group],MATCH(Edges[[#This Row],[Vertex 2]],GroupVertices[Vertex],0)),1,1,"")</f>
        <v>sikologi BINUS</v>
      </c>
    </row>
    <row r="755" spans="1:18" ht="15">
      <c r="A755" s="64" t="s">
        <v>231</v>
      </c>
      <c r="B755" s="64" t="s">
        <v>467</v>
      </c>
      <c r="C755" s="65" t="s">
        <v>4443</v>
      </c>
      <c r="D755" s="66">
        <v>3</v>
      </c>
      <c r="E755" s="67"/>
      <c r="F755" s="68">
        <v>40</v>
      </c>
      <c r="G755" s="65"/>
      <c r="H755" s="69"/>
      <c r="I755" s="70"/>
      <c r="J755" s="70"/>
      <c r="K755" s="34" t="s">
        <v>65</v>
      </c>
      <c r="L755" s="77">
        <v>755</v>
      </c>
      <c r="M755" s="77"/>
      <c r="N755" s="72"/>
      <c r="O755" s="79" t="s">
        <v>610</v>
      </c>
      <c r="P755" s="79">
        <v>1</v>
      </c>
      <c r="Q755" s="78" t="str">
        <f>REPLACE(INDEX(GroupVertices[Group],MATCH(Edges[[#This Row],[Vertex 1]],GroupVertices[Vertex],0)),1,1,"")</f>
        <v>sych and Chill</v>
      </c>
      <c r="R755" s="78" t="str">
        <f>REPLACE(INDEX(GroupVertices[Group],MATCH(Edges[[#This Row],[Vertex 2]],GroupVertices[Vertex],0)),1,1,"")</f>
        <v>sych and Chill</v>
      </c>
    </row>
    <row r="756" spans="1:18" ht="15">
      <c r="A756" s="64" t="s">
        <v>231</v>
      </c>
      <c r="B756" s="64" t="s">
        <v>468</v>
      </c>
      <c r="C756" s="65" t="s">
        <v>4443</v>
      </c>
      <c r="D756" s="66">
        <v>3</v>
      </c>
      <c r="E756" s="67"/>
      <c r="F756" s="68">
        <v>40</v>
      </c>
      <c r="G756" s="65"/>
      <c r="H756" s="69"/>
      <c r="I756" s="70"/>
      <c r="J756" s="70"/>
      <c r="K756" s="34" t="s">
        <v>65</v>
      </c>
      <c r="L756" s="77">
        <v>756</v>
      </c>
      <c r="M756" s="77"/>
      <c r="N756" s="72"/>
      <c r="O756" s="79" t="s">
        <v>610</v>
      </c>
      <c r="P756" s="79">
        <v>1</v>
      </c>
      <c r="Q756" s="78" t="str">
        <f>REPLACE(INDEX(GroupVertices[Group],MATCH(Edges[[#This Row],[Vertex 1]],GroupVertices[Vertex],0)),1,1,"")</f>
        <v>sych and Chill</v>
      </c>
      <c r="R756" s="78" t="str">
        <f>REPLACE(INDEX(GroupVertices[Group],MATCH(Edges[[#This Row],[Vertex 2]],GroupVertices[Vertex],0)),1,1,"")</f>
        <v>sych and Chill</v>
      </c>
    </row>
    <row r="757" spans="1:18" ht="15">
      <c r="A757" s="64" t="s">
        <v>246</v>
      </c>
      <c r="B757" s="64" t="s">
        <v>2543</v>
      </c>
      <c r="C757" s="65" t="s">
        <v>4443</v>
      </c>
      <c r="D757" s="66">
        <v>3</v>
      </c>
      <c r="E757" s="67"/>
      <c r="F757" s="68">
        <v>40</v>
      </c>
      <c r="G757" s="65"/>
      <c r="H757" s="69"/>
      <c r="I757" s="70"/>
      <c r="J757" s="70"/>
      <c r="K757" s="34" t="s">
        <v>65</v>
      </c>
      <c r="L757" s="77">
        <v>757</v>
      </c>
      <c r="M757" s="77"/>
      <c r="N757" s="72"/>
      <c r="O757" s="79" t="s">
        <v>610</v>
      </c>
      <c r="P757" s="79">
        <v>1</v>
      </c>
      <c r="Q757" s="78" t="str">
        <f>REPLACE(INDEX(GroupVertices[Group],MATCH(Edges[[#This Row],[Vertex 1]],GroupVertices[Vertex],0)),1,1,"")</f>
        <v>mpireum</v>
      </c>
      <c r="R757" s="78" t="str">
        <f>REPLACE(INDEX(GroupVertices[Group],MATCH(Edges[[#This Row],[Vertex 2]],GroupVertices[Vertex],0)),1,1,"")</f>
        <v>oshua D. Wyner, PhD, LMFT</v>
      </c>
    </row>
    <row r="758" spans="1:18" ht="15">
      <c r="A758" s="64" t="s">
        <v>246</v>
      </c>
      <c r="B758" s="64" t="s">
        <v>2544</v>
      </c>
      <c r="C758" s="65" t="s">
        <v>4443</v>
      </c>
      <c r="D758" s="66">
        <v>3</v>
      </c>
      <c r="E758" s="67"/>
      <c r="F758" s="68">
        <v>40</v>
      </c>
      <c r="G758" s="65"/>
      <c r="H758" s="69"/>
      <c r="I758" s="70"/>
      <c r="J758" s="70"/>
      <c r="K758" s="34" t="s">
        <v>65</v>
      </c>
      <c r="L758" s="77">
        <v>758</v>
      </c>
      <c r="M758" s="77"/>
      <c r="N758" s="72"/>
      <c r="O758" s="79" t="s">
        <v>610</v>
      </c>
      <c r="P758" s="79">
        <v>1</v>
      </c>
      <c r="Q758" s="78" t="str">
        <f>REPLACE(INDEX(GroupVertices[Group],MATCH(Edges[[#This Row],[Vertex 1]],GroupVertices[Vertex],0)),1,1,"")</f>
        <v>mpireum</v>
      </c>
      <c r="R758" s="78" t="str">
        <f>REPLACE(INDEX(GroupVertices[Group],MATCH(Edges[[#This Row],[Vertex 2]],GroupVertices[Vertex],0)),1,1,"")</f>
        <v>sychology Made Easy</v>
      </c>
    </row>
    <row r="759" spans="1:18" ht="15">
      <c r="A759" s="64" t="s">
        <v>246</v>
      </c>
      <c r="B759" s="64" t="s">
        <v>2545</v>
      </c>
      <c r="C759" s="65" t="s">
        <v>4443</v>
      </c>
      <c r="D759" s="66">
        <v>3</v>
      </c>
      <c r="E759" s="67"/>
      <c r="F759" s="68">
        <v>40</v>
      </c>
      <c r="G759" s="65"/>
      <c r="H759" s="69"/>
      <c r="I759" s="70"/>
      <c r="J759" s="70"/>
      <c r="K759" s="34" t="s">
        <v>65</v>
      </c>
      <c r="L759" s="77">
        <v>759</v>
      </c>
      <c r="M759" s="77"/>
      <c r="N759" s="72"/>
      <c r="O759" s="79" t="s">
        <v>610</v>
      </c>
      <c r="P759" s="79">
        <v>1</v>
      </c>
      <c r="Q759" s="78" t="str">
        <f>REPLACE(INDEX(GroupVertices[Group],MATCH(Edges[[#This Row],[Vertex 1]],GroupVertices[Vertex],0)),1,1,"")</f>
        <v>mpireum</v>
      </c>
      <c r="R759" s="78" t="str">
        <f>REPLACE(INDEX(GroupVertices[Group],MATCH(Edges[[#This Row],[Vertex 2]],GroupVertices[Vertex],0)),1,1,"")</f>
        <v>oviAcademy</v>
      </c>
    </row>
    <row r="760" spans="1:18" ht="15">
      <c r="A760" s="64" t="s">
        <v>246</v>
      </c>
      <c r="B760" s="64" t="s">
        <v>2546</v>
      </c>
      <c r="C760" s="65" t="s">
        <v>4443</v>
      </c>
      <c r="D760" s="66">
        <v>3</v>
      </c>
      <c r="E760" s="67"/>
      <c r="F760" s="68">
        <v>40</v>
      </c>
      <c r="G760" s="65"/>
      <c r="H760" s="69"/>
      <c r="I760" s="70"/>
      <c r="J760" s="70"/>
      <c r="K760" s="34" t="s">
        <v>65</v>
      </c>
      <c r="L760" s="77">
        <v>760</v>
      </c>
      <c r="M760" s="77"/>
      <c r="N760" s="72"/>
      <c r="O760" s="79" t="s">
        <v>610</v>
      </c>
      <c r="P760" s="79">
        <v>1</v>
      </c>
      <c r="Q760" s="78" t="str">
        <f>REPLACE(INDEX(GroupVertices[Group],MATCH(Edges[[#This Row],[Vertex 1]],GroupVertices[Vertex],0)),1,1,"")</f>
        <v>mpireum</v>
      </c>
      <c r="R760" s="78" t="str">
        <f>REPLACE(INDEX(GroupVertices[Group],MATCH(Edges[[#This Row],[Vertex 2]],GroupVertices[Vertex],0)),1,1,"")</f>
        <v>frican Food Recipe</v>
      </c>
    </row>
    <row r="761" spans="1:18" ht="15">
      <c r="A761" s="64" t="s">
        <v>246</v>
      </c>
      <c r="B761" s="64" t="s">
        <v>2547</v>
      </c>
      <c r="C761" s="65" t="s">
        <v>4443</v>
      </c>
      <c r="D761" s="66">
        <v>3</v>
      </c>
      <c r="E761" s="67"/>
      <c r="F761" s="68">
        <v>40</v>
      </c>
      <c r="G761" s="65"/>
      <c r="H761" s="69"/>
      <c r="I761" s="70"/>
      <c r="J761" s="70"/>
      <c r="K761" s="34" t="s">
        <v>65</v>
      </c>
      <c r="L761" s="77">
        <v>761</v>
      </c>
      <c r="M761" s="77"/>
      <c r="N761" s="72"/>
      <c r="O761" s="79" t="s">
        <v>610</v>
      </c>
      <c r="P761" s="79">
        <v>1</v>
      </c>
      <c r="Q761" s="78" t="str">
        <f>REPLACE(INDEX(GroupVertices[Group],MATCH(Edges[[#This Row],[Vertex 1]],GroupVertices[Vertex],0)),1,1,"")</f>
        <v>mpireum</v>
      </c>
      <c r="R761" s="78" t="str">
        <f>REPLACE(INDEX(GroupVertices[Group],MATCH(Edges[[#This Row],[Vertex 2]],GroupVertices[Vertex],0)),1,1,"")</f>
        <v>oviAcademy</v>
      </c>
    </row>
    <row r="762" spans="1:18" ht="15">
      <c r="A762" s="64" t="s">
        <v>246</v>
      </c>
      <c r="B762" s="64" t="s">
        <v>2548</v>
      </c>
      <c r="C762" s="65" t="s">
        <v>4443</v>
      </c>
      <c r="D762" s="66">
        <v>3</v>
      </c>
      <c r="E762" s="67"/>
      <c r="F762" s="68">
        <v>40</v>
      </c>
      <c r="G762" s="65"/>
      <c r="H762" s="69"/>
      <c r="I762" s="70"/>
      <c r="J762" s="70"/>
      <c r="K762" s="34" t="s">
        <v>65</v>
      </c>
      <c r="L762" s="77">
        <v>762</v>
      </c>
      <c r="M762" s="77"/>
      <c r="N762" s="72"/>
      <c r="O762" s="79" t="s">
        <v>610</v>
      </c>
      <c r="P762" s="79">
        <v>1</v>
      </c>
      <c r="Q762" s="78" t="str">
        <f>REPLACE(INDEX(GroupVertices[Group],MATCH(Edges[[#This Row],[Vertex 1]],GroupVertices[Vertex],0)),1,1,"")</f>
        <v>mpireum</v>
      </c>
      <c r="R762" s="78" t="str">
        <f>REPLACE(INDEX(GroupVertices[Group],MATCH(Edges[[#This Row],[Vertex 2]],GroupVertices[Vertex],0)),1,1,"")</f>
        <v>. Amiri</v>
      </c>
    </row>
    <row r="763" spans="1:18" ht="15">
      <c r="A763" s="64" t="s">
        <v>246</v>
      </c>
      <c r="B763" s="64" t="s">
        <v>2549</v>
      </c>
      <c r="C763" s="65" t="s">
        <v>4443</v>
      </c>
      <c r="D763" s="66">
        <v>3</v>
      </c>
      <c r="E763" s="67"/>
      <c r="F763" s="68">
        <v>40</v>
      </c>
      <c r="G763" s="65"/>
      <c r="H763" s="69"/>
      <c r="I763" s="70"/>
      <c r="J763" s="70"/>
      <c r="K763" s="34" t="s">
        <v>65</v>
      </c>
      <c r="L763" s="77">
        <v>763</v>
      </c>
      <c r="M763" s="77"/>
      <c r="N763" s="72"/>
      <c r="O763" s="79" t="s">
        <v>610</v>
      </c>
      <c r="P763" s="79">
        <v>1</v>
      </c>
      <c r="Q763" s="78" t="str">
        <f>REPLACE(INDEX(GroupVertices[Group],MATCH(Edges[[#This Row],[Vertex 1]],GroupVertices[Vertex],0)),1,1,"")</f>
        <v>mpireum</v>
      </c>
      <c r="R763" s="78" t="str">
        <f>REPLACE(INDEX(GroupVertices[Group],MATCH(Edges[[#This Row],[Vertex 2]],GroupVertices[Vertex],0)),1,1,"")</f>
        <v>arketing Department</v>
      </c>
    </row>
    <row r="764" spans="1:18" ht="15">
      <c r="A764" s="64" t="s">
        <v>246</v>
      </c>
      <c r="B764" s="64" t="s">
        <v>2550</v>
      </c>
      <c r="C764" s="65" t="s">
        <v>4443</v>
      </c>
      <c r="D764" s="66">
        <v>3</v>
      </c>
      <c r="E764" s="67"/>
      <c r="F764" s="68">
        <v>40</v>
      </c>
      <c r="G764" s="65"/>
      <c r="H764" s="69"/>
      <c r="I764" s="70"/>
      <c r="J764" s="70"/>
      <c r="K764" s="34" t="s">
        <v>65</v>
      </c>
      <c r="L764" s="77">
        <v>764</v>
      </c>
      <c r="M764" s="77"/>
      <c r="N764" s="72"/>
      <c r="O764" s="79" t="s">
        <v>610</v>
      </c>
      <c r="P764" s="79">
        <v>1</v>
      </c>
      <c r="Q764" s="78" t="str">
        <f>REPLACE(INDEX(GroupVertices[Group],MATCH(Edges[[#This Row],[Vertex 1]],GroupVertices[Vertex],0)),1,1,"")</f>
        <v>mpireum</v>
      </c>
      <c r="R764" s="78" t="str">
        <f>REPLACE(INDEX(GroupVertices[Group],MATCH(Edges[[#This Row],[Vertex 2]],GroupVertices[Vertex],0)),1,1,"")</f>
        <v>arketing Department</v>
      </c>
    </row>
    <row r="765" spans="1:18" ht="15">
      <c r="A765" s="64" t="s">
        <v>246</v>
      </c>
      <c r="B765" s="64" t="s">
        <v>2551</v>
      </c>
      <c r="C765" s="65" t="s">
        <v>4443</v>
      </c>
      <c r="D765" s="66">
        <v>3</v>
      </c>
      <c r="E765" s="67"/>
      <c r="F765" s="68">
        <v>40</v>
      </c>
      <c r="G765" s="65"/>
      <c r="H765" s="69"/>
      <c r="I765" s="70"/>
      <c r="J765" s="70"/>
      <c r="K765" s="34" t="s">
        <v>65</v>
      </c>
      <c r="L765" s="77">
        <v>765</v>
      </c>
      <c r="M765" s="77"/>
      <c r="N765" s="72"/>
      <c r="O765" s="79" t="s">
        <v>610</v>
      </c>
      <c r="P765" s="79">
        <v>1</v>
      </c>
      <c r="Q765" s="78" t="str">
        <f>REPLACE(INDEX(GroupVertices[Group],MATCH(Edges[[#This Row],[Vertex 1]],GroupVertices[Vertex],0)),1,1,"")</f>
        <v>mpireum</v>
      </c>
      <c r="R765" s="78" t="str">
        <f>REPLACE(INDEX(GroupVertices[Group],MATCH(Edges[[#This Row],[Vertex 2]],GroupVertices[Vertex],0)),1,1,"")</f>
        <v>on Jones</v>
      </c>
    </row>
    <row r="766" spans="1:18" ht="15">
      <c r="A766" s="64" t="s">
        <v>246</v>
      </c>
      <c r="B766" s="64" t="s">
        <v>2552</v>
      </c>
      <c r="C766" s="65" t="s">
        <v>4443</v>
      </c>
      <c r="D766" s="66">
        <v>3</v>
      </c>
      <c r="E766" s="67"/>
      <c r="F766" s="68">
        <v>40</v>
      </c>
      <c r="G766" s="65"/>
      <c r="H766" s="69"/>
      <c r="I766" s="70"/>
      <c r="J766" s="70"/>
      <c r="K766" s="34" t="s">
        <v>65</v>
      </c>
      <c r="L766" s="77">
        <v>766</v>
      </c>
      <c r="M766" s="77"/>
      <c r="N766" s="72"/>
      <c r="O766" s="79" t="s">
        <v>610</v>
      </c>
      <c r="P766" s="79">
        <v>1</v>
      </c>
      <c r="Q766" s="78" t="str">
        <f>REPLACE(INDEX(GroupVertices[Group],MATCH(Edges[[#This Row],[Vertex 1]],GroupVertices[Vertex],0)),1,1,"")</f>
        <v>mpireum</v>
      </c>
      <c r="R766" s="78" t="str">
        <f>REPLACE(INDEX(GroupVertices[Group],MATCH(Edges[[#This Row],[Vertex 2]],GroupVertices[Vertex],0)),1,1,"")</f>
        <v>unction First Coaching Inc.</v>
      </c>
    </row>
    <row r="767" spans="1:18" ht="15">
      <c r="A767" s="64" t="s">
        <v>246</v>
      </c>
      <c r="B767" s="64" t="s">
        <v>2553</v>
      </c>
      <c r="C767" s="65" t="s">
        <v>4443</v>
      </c>
      <c r="D767" s="66">
        <v>3</v>
      </c>
      <c r="E767" s="67"/>
      <c r="F767" s="68">
        <v>40</v>
      </c>
      <c r="G767" s="65"/>
      <c r="H767" s="69"/>
      <c r="I767" s="70"/>
      <c r="J767" s="70"/>
      <c r="K767" s="34" t="s">
        <v>65</v>
      </c>
      <c r="L767" s="77">
        <v>767</v>
      </c>
      <c r="M767" s="77"/>
      <c r="N767" s="72"/>
      <c r="O767" s="79" t="s">
        <v>610</v>
      </c>
      <c r="P767" s="79">
        <v>1</v>
      </c>
      <c r="Q767" s="78" t="str">
        <f>REPLACE(INDEX(GroupVertices[Group],MATCH(Edges[[#This Row],[Vertex 1]],GroupVertices[Vertex],0)),1,1,"")</f>
        <v>mpireum</v>
      </c>
      <c r="R767" s="78" t="str">
        <f>REPLACE(INDEX(GroupVertices[Group],MATCH(Edges[[#This Row],[Vertex 2]],GroupVertices[Vertex],0)),1,1,"")</f>
        <v>TUDY.PSYCHOLOGY</v>
      </c>
    </row>
    <row r="768" spans="1:18" ht="15">
      <c r="A768" s="64" t="s">
        <v>246</v>
      </c>
      <c r="B768" s="64" t="s">
        <v>2554</v>
      </c>
      <c r="C768" s="65" t="s">
        <v>4443</v>
      </c>
      <c r="D768" s="66">
        <v>3</v>
      </c>
      <c r="E768" s="67"/>
      <c r="F768" s="68">
        <v>40</v>
      </c>
      <c r="G768" s="65"/>
      <c r="H768" s="69"/>
      <c r="I768" s="70"/>
      <c r="J768" s="70"/>
      <c r="K768" s="34" t="s">
        <v>65</v>
      </c>
      <c r="L768" s="77">
        <v>768</v>
      </c>
      <c r="M768" s="77"/>
      <c r="N768" s="72"/>
      <c r="O768" s="79" t="s">
        <v>610</v>
      </c>
      <c r="P768" s="79">
        <v>1</v>
      </c>
      <c r="Q768" s="78" t="str">
        <f>REPLACE(INDEX(GroupVertices[Group],MATCH(Edges[[#This Row],[Vertex 1]],GroupVertices[Vertex],0)),1,1,"")</f>
        <v>mpireum</v>
      </c>
      <c r="R768" s="78" t="str">
        <f>REPLACE(INDEX(GroupVertices[Group],MATCH(Edges[[#This Row],[Vertex 2]],GroupVertices[Vertex],0)),1,1,"")</f>
        <v>egence Utah</v>
      </c>
    </row>
    <row r="769" spans="1:18" ht="15">
      <c r="A769" s="64" t="s">
        <v>246</v>
      </c>
      <c r="B769" s="64" t="s">
        <v>2555</v>
      </c>
      <c r="C769" s="65" t="s">
        <v>4443</v>
      </c>
      <c r="D769" s="66">
        <v>3</v>
      </c>
      <c r="E769" s="67"/>
      <c r="F769" s="68">
        <v>40</v>
      </c>
      <c r="G769" s="65"/>
      <c r="H769" s="69"/>
      <c r="I769" s="70"/>
      <c r="J769" s="70"/>
      <c r="K769" s="34" t="s">
        <v>65</v>
      </c>
      <c r="L769" s="77">
        <v>769</v>
      </c>
      <c r="M769" s="77"/>
      <c r="N769" s="72"/>
      <c r="O769" s="79" t="s">
        <v>610</v>
      </c>
      <c r="P769" s="79">
        <v>1</v>
      </c>
      <c r="Q769" s="78" t="str">
        <f>REPLACE(INDEX(GroupVertices[Group],MATCH(Edges[[#This Row],[Vertex 1]],GroupVertices[Vertex],0)),1,1,"")</f>
        <v>mpireum</v>
      </c>
      <c r="R769" s="78" t="str">
        <f>REPLACE(INDEX(GroupVertices[Group],MATCH(Edges[[#This Row],[Vertex 2]],GroupVertices[Vertex],0)),1,1,"")</f>
        <v>ounseling Minus the Bull</v>
      </c>
    </row>
    <row r="770" spans="1:18" ht="15">
      <c r="A770" s="64" t="s">
        <v>246</v>
      </c>
      <c r="B770" s="64" t="s">
        <v>2556</v>
      </c>
      <c r="C770" s="65" t="s">
        <v>4443</v>
      </c>
      <c r="D770" s="66">
        <v>3</v>
      </c>
      <c r="E770" s="67"/>
      <c r="F770" s="68">
        <v>40</v>
      </c>
      <c r="G770" s="65"/>
      <c r="H770" s="69"/>
      <c r="I770" s="70"/>
      <c r="J770" s="70"/>
      <c r="K770" s="34" t="s">
        <v>65</v>
      </c>
      <c r="L770" s="77">
        <v>770</v>
      </c>
      <c r="M770" s="77"/>
      <c r="N770" s="72"/>
      <c r="O770" s="79" t="s">
        <v>610</v>
      </c>
      <c r="P770" s="79">
        <v>1</v>
      </c>
      <c r="Q770" s="78" t="str">
        <f>REPLACE(INDEX(GroupVertices[Group],MATCH(Edges[[#This Row],[Vertex 1]],GroupVertices[Vertex],0)),1,1,"")</f>
        <v>mpireum</v>
      </c>
      <c r="R770" s="78" t="str">
        <f>REPLACE(INDEX(GroupVertices[Group],MATCH(Edges[[#This Row],[Vertex 2]],GroupVertices[Vertex],0)),1,1,"")</f>
        <v>oshua D. Wyner, PhD, LMFT</v>
      </c>
    </row>
    <row r="771" spans="1:18" ht="15">
      <c r="A771" s="64" t="s">
        <v>246</v>
      </c>
      <c r="B771" s="64" t="s">
        <v>2557</v>
      </c>
      <c r="C771" s="65" t="s">
        <v>4443</v>
      </c>
      <c r="D771" s="66">
        <v>3</v>
      </c>
      <c r="E771" s="67"/>
      <c r="F771" s="68">
        <v>40</v>
      </c>
      <c r="G771" s="65"/>
      <c r="H771" s="69"/>
      <c r="I771" s="70"/>
      <c r="J771" s="70"/>
      <c r="K771" s="34" t="s">
        <v>65</v>
      </c>
      <c r="L771" s="77">
        <v>771</v>
      </c>
      <c r="M771" s="77"/>
      <c r="N771" s="72"/>
      <c r="O771" s="79" t="s">
        <v>610</v>
      </c>
      <c r="P771" s="79">
        <v>1</v>
      </c>
      <c r="Q771" s="78" t="str">
        <f>REPLACE(INDEX(GroupVertices[Group],MATCH(Edges[[#This Row],[Vertex 1]],GroupVertices[Vertex],0)),1,1,"")</f>
        <v>mpireum</v>
      </c>
      <c r="R771" s="78" t="str">
        <f>REPLACE(INDEX(GroupVertices[Group],MATCH(Edges[[#This Row],[Vertex 2]],GroupVertices[Vertex],0)),1,1,"")</f>
        <v>mpireum</v>
      </c>
    </row>
    <row r="772" spans="1:18" ht="15">
      <c r="A772" s="64" t="s">
        <v>246</v>
      </c>
      <c r="B772" s="64" t="s">
        <v>604</v>
      </c>
      <c r="C772" s="65" t="s">
        <v>4443</v>
      </c>
      <c r="D772" s="66">
        <v>3</v>
      </c>
      <c r="E772" s="67"/>
      <c r="F772" s="68">
        <v>40</v>
      </c>
      <c r="G772" s="65"/>
      <c r="H772" s="69"/>
      <c r="I772" s="70"/>
      <c r="J772" s="70"/>
      <c r="K772" s="34" t="s">
        <v>65</v>
      </c>
      <c r="L772" s="77">
        <v>772</v>
      </c>
      <c r="M772" s="77"/>
      <c r="N772" s="72"/>
      <c r="O772" s="79" t="s">
        <v>610</v>
      </c>
      <c r="P772" s="79">
        <v>1</v>
      </c>
      <c r="Q772" s="78" t="str">
        <f>REPLACE(INDEX(GroupVertices[Group],MATCH(Edges[[#This Row],[Vertex 1]],GroupVertices[Vertex],0)),1,1,"")</f>
        <v>mpireum</v>
      </c>
      <c r="R772" s="78" t="str">
        <f>REPLACE(INDEX(GroupVertices[Group],MATCH(Edges[[#This Row],[Vertex 2]],GroupVertices[Vertex],0)),1,1,"")</f>
        <v>mpireum</v>
      </c>
    </row>
    <row r="773" spans="1:18" ht="15">
      <c r="A773" s="64" t="s">
        <v>246</v>
      </c>
      <c r="B773" s="64" t="s">
        <v>606</v>
      </c>
      <c r="C773" s="65" t="s">
        <v>4443</v>
      </c>
      <c r="D773" s="66">
        <v>3</v>
      </c>
      <c r="E773" s="67"/>
      <c r="F773" s="68">
        <v>40</v>
      </c>
      <c r="G773" s="65"/>
      <c r="H773" s="69"/>
      <c r="I773" s="70"/>
      <c r="J773" s="70"/>
      <c r="K773" s="34" t="s">
        <v>65</v>
      </c>
      <c r="L773" s="77">
        <v>773</v>
      </c>
      <c r="M773" s="77"/>
      <c r="N773" s="72"/>
      <c r="O773" s="79" t="s">
        <v>610</v>
      </c>
      <c r="P773" s="79">
        <v>1</v>
      </c>
      <c r="Q773" s="78" t="str">
        <f>REPLACE(INDEX(GroupVertices[Group],MATCH(Edges[[#This Row],[Vertex 1]],GroupVertices[Vertex],0)),1,1,"")</f>
        <v>mpireum</v>
      </c>
      <c r="R773" s="78" t="str">
        <f>REPLACE(INDEX(GroupVertices[Group],MATCH(Edges[[#This Row],[Vertex 2]],GroupVertices[Vertex],0)),1,1,"")</f>
        <v>mpireum</v>
      </c>
    </row>
    <row r="774" spans="1:18" ht="15">
      <c r="A774" s="64" t="s">
        <v>246</v>
      </c>
      <c r="B774" s="64" t="s">
        <v>605</v>
      </c>
      <c r="C774" s="65" t="s">
        <v>4443</v>
      </c>
      <c r="D774" s="66">
        <v>3</v>
      </c>
      <c r="E774" s="67"/>
      <c r="F774" s="68">
        <v>40</v>
      </c>
      <c r="G774" s="65"/>
      <c r="H774" s="69"/>
      <c r="I774" s="70"/>
      <c r="J774" s="70"/>
      <c r="K774" s="34" t="s">
        <v>65</v>
      </c>
      <c r="L774" s="77">
        <v>774</v>
      </c>
      <c r="M774" s="77"/>
      <c r="N774" s="72"/>
      <c r="O774" s="79" t="s">
        <v>610</v>
      </c>
      <c r="P774" s="79">
        <v>1</v>
      </c>
      <c r="Q774" s="78" t="str">
        <f>REPLACE(INDEX(GroupVertices[Group],MATCH(Edges[[#This Row],[Vertex 1]],GroupVertices[Vertex],0)),1,1,"")</f>
        <v>mpireum</v>
      </c>
      <c r="R774" s="78" t="str">
        <f>REPLACE(INDEX(GroupVertices[Group],MATCH(Edges[[#This Row],[Vertex 2]],GroupVertices[Vertex],0)),1,1,"")</f>
        <v>mpireum</v>
      </c>
    </row>
    <row r="775" spans="1:18" ht="15">
      <c r="A775" s="64" t="s">
        <v>246</v>
      </c>
      <c r="B775" s="64" t="s">
        <v>243</v>
      </c>
      <c r="C775" s="65" t="s">
        <v>4443</v>
      </c>
      <c r="D775" s="66">
        <v>3</v>
      </c>
      <c r="E775" s="67"/>
      <c r="F775" s="68">
        <v>40</v>
      </c>
      <c r="G775" s="65"/>
      <c r="H775" s="69"/>
      <c r="I775" s="70"/>
      <c r="J775" s="70"/>
      <c r="K775" s="34" t="s">
        <v>65</v>
      </c>
      <c r="L775" s="77">
        <v>775</v>
      </c>
      <c r="M775" s="77"/>
      <c r="N775" s="72"/>
      <c r="O775" s="79" t="s">
        <v>610</v>
      </c>
      <c r="P775" s="79">
        <v>1</v>
      </c>
      <c r="Q775" s="78" t="str">
        <f>REPLACE(INDEX(GroupVertices[Group],MATCH(Edges[[#This Row],[Vertex 1]],GroupVertices[Vertex],0)),1,1,"")</f>
        <v>mpireum</v>
      </c>
      <c r="R775" s="78" t="str">
        <f>REPLACE(INDEX(GroupVertices[Group],MATCH(Edges[[#This Row],[Vertex 2]],GroupVertices[Vertex],0)),1,1,"")</f>
        <v>emorable Psychiatry and Neurology</v>
      </c>
    </row>
    <row r="776" spans="1:18" ht="15">
      <c r="A776" s="64" t="s">
        <v>246</v>
      </c>
      <c r="B776" s="64" t="s">
        <v>245</v>
      </c>
      <c r="C776" s="65" t="s">
        <v>4443</v>
      </c>
      <c r="D776" s="66">
        <v>3</v>
      </c>
      <c r="E776" s="67"/>
      <c r="F776" s="68">
        <v>40</v>
      </c>
      <c r="G776" s="65"/>
      <c r="H776" s="69"/>
      <c r="I776" s="70"/>
      <c r="J776" s="70"/>
      <c r="K776" s="34" t="s">
        <v>65</v>
      </c>
      <c r="L776" s="77">
        <v>776</v>
      </c>
      <c r="M776" s="77"/>
      <c r="N776" s="72"/>
      <c r="O776" s="79" t="s">
        <v>610</v>
      </c>
      <c r="P776" s="79">
        <v>1</v>
      </c>
      <c r="Q776" s="78" t="str">
        <f>REPLACE(INDEX(GroupVertices[Group],MATCH(Edges[[#This Row],[Vertex 1]],GroupVertices[Vertex],0)),1,1,"")</f>
        <v>mpireum</v>
      </c>
      <c r="R776" s="78" t="str">
        <f>REPLACE(INDEX(GroupVertices[Group],MATCH(Edges[[#This Row],[Vertex 2]],GroupVertices[Vertex],0)),1,1,"")</f>
        <v>emystifying Medicine McMaster</v>
      </c>
    </row>
    <row r="777" spans="1:18" ht="15">
      <c r="A777" s="64" t="s">
        <v>245</v>
      </c>
      <c r="B777" s="64" t="s">
        <v>2514</v>
      </c>
      <c r="C777" s="65" t="s">
        <v>4443</v>
      </c>
      <c r="D777" s="66">
        <v>3</v>
      </c>
      <c r="E777" s="67"/>
      <c r="F777" s="68">
        <v>40</v>
      </c>
      <c r="G777" s="65"/>
      <c r="H777" s="69"/>
      <c r="I777" s="70"/>
      <c r="J777" s="70"/>
      <c r="K777" s="34" t="s">
        <v>65</v>
      </c>
      <c r="L777" s="77">
        <v>777</v>
      </c>
      <c r="M777" s="77"/>
      <c r="N777" s="72"/>
      <c r="O777" s="79" t="s">
        <v>610</v>
      </c>
      <c r="P777" s="79">
        <v>1</v>
      </c>
      <c r="Q777" s="78" t="str">
        <f>REPLACE(INDEX(GroupVertices[Group],MATCH(Edges[[#This Row],[Vertex 1]],GroupVertices[Vertex],0)),1,1,"")</f>
        <v>emystifying Medicine McMaster</v>
      </c>
      <c r="R777" s="78" t="str">
        <f>REPLACE(INDEX(GroupVertices[Group],MATCH(Edges[[#This Row],[Vertex 2]],GroupVertices[Vertex],0)),1,1,"")</f>
        <v>ylie Nelson-Marois</v>
      </c>
    </row>
    <row r="778" spans="1:18" ht="15">
      <c r="A778" s="64" t="s">
        <v>245</v>
      </c>
      <c r="B778" s="64" t="s">
        <v>2515</v>
      </c>
      <c r="C778" s="65" t="s">
        <v>4443</v>
      </c>
      <c r="D778" s="66">
        <v>3</v>
      </c>
      <c r="E778" s="67"/>
      <c r="F778" s="68">
        <v>40</v>
      </c>
      <c r="G778" s="65"/>
      <c r="H778" s="69"/>
      <c r="I778" s="70"/>
      <c r="J778" s="70"/>
      <c r="K778" s="34" t="s">
        <v>65</v>
      </c>
      <c r="L778" s="77">
        <v>778</v>
      </c>
      <c r="M778" s="77"/>
      <c r="N778" s="72"/>
      <c r="O778" s="79" t="s">
        <v>610</v>
      </c>
      <c r="P778" s="79">
        <v>1</v>
      </c>
      <c r="Q778" s="78" t="str">
        <f>REPLACE(INDEX(GroupVertices[Group],MATCH(Edges[[#This Row],[Vertex 1]],GroupVertices[Vertex],0)),1,1,"")</f>
        <v>emystifying Medicine McMaster</v>
      </c>
      <c r="R778" s="78" t="str">
        <f>REPLACE(INDEX(GroupVertices[Group],MATCH(Edges[[#This Row],[Vertex 2]],GroupVertices[Vertex],0)),1,1,"")</f>
        <v>ndigenous Health</v>
      </c>
    </row>
    <row r="779" spans="1:18" ht="15">
      <c r="A779" s="64" t="s">
        <v>245</v>
      </c>
      <c r="B779" s="64" t="s">
        <v>2516</v>
      </c>
      <c r="C779" s="65" t="s">
        <v>4443</v>
      </c>
      <c r="D779" s="66">
        <v>3</v>
      </c>
      <c r="E779" s="67"/>
      <c r="F779" s="68">
        <v>40</v>
      </c>
      <c r="G779" s="65"/>
      <c r="H779" s="69"/>
      <c r="I779" s="70"/>
      <c r="J779" s="70"/>
      <c r="K779" s="34" t="s">
        <v>65</v>
      </c>
      <c r="L779" s="77">
        <v>779</v>
      </c>
      <c r="M779" s="77"/>
      <c r="N779" s="72"/>
      <c r="O779" s="79" t="s">
        <v>610</v>
      </c>
      <c r="P779" s="79">
        <v>1</v>
      </c>
      <c r="Q779" s="78" t="str">
        <f>REPLACE(INDEX(GroupVertices[Group],MATCH(Edges[[#This Row],[Vertex 1]],GroupVertices[Vertex],0)),1,1,"")</f>
        <v>emystifying Medicine McMaster</v>
      </c>
      <c r="R779" s="78" t="str">
        <f>REPLACE(INDEX(GroupVertices[Group],MATCH(Edges[[#This Row],[Vertex 2]],GroupVertices[Vertex],0)),1,1,"")</f>
        <v>TchannelYT</v>
      </c>
    </row>
    <row r="780" spans="1:18" ht="15">
      <c r="A780" s="64" t="s">
        <v>245</v>
      </c>
      <c r="B780" s="64" t="s">
        <v>2517</v>
      </c>
      <c r="C780" s="65" t="s">
        <v>4443</v>
      </c>
      <c r="D780" s="66">
        <v>3</v>
      </c>
      <c r="E780" s="67"/>
      <c r="F780" s="68">
        <v>40</v>
      </c>
      <c r="G780" s="65"/>
      <c r="H780" s="69"/>
      <c r="I780" s="70"/>
      <c r="J780" s="70"/>
      <c r="K780" s="34" t="s">
        <v>65</v>
      </c>
      <c r="L780" s="77">
        <v>780</v>
      </c>
      <c r="M780" s="77"/>
      <c r="N780" s="72"/>
      <c r="O780" s="79" t="s">
        <v>610</v>
      </c>
      <c r="P780" s="79">
        <v>1</v>
      </c>
      <c r="Q780" s="78" t="str">
        <f>REPLACE(INDEX(GroupVertices[Group],MATCH(Edges[[#This Row],[Vertex 1]],GroupVertices[Vertex],0)),1,1,"")</f>
        <v>emystifying Medicine McMaster</v>
      </c>
      <c r="R780" s="78" t="str">
        <f>REPLACE(INDEX(GroupVertices[Group],MATCH(Edges[[#This Row],[Vertex 2]],GroupVertices[Vertex],0)),1,1,"")</f>
        <v>ughes' Views</v>
      </c>
    </row>
    <row r="781" spans="1:18" ht="15">
      <c r="A781" s="64" t="s">
        <v>245</v>
      </c>
      <c r="B781" s="64" t="s">
        <v>2518</v>
      </c>
      <c r="C781" s="65" t="s">
        <v>4443</v>
      </c>
      <c r="D781" s="66">
        <v>3</v>
      </c>
      <c r="E781" s="67"/>
      <c r="F781" s="68">
        <v>40</v>
      </c>
      <c r="G781" s="65"/>
      <c r="H781" s="69"/>
      <c r="I781" s="70"/>
      <c r="J781" s="70"/>
      <c r="K781" s="34" t="s">
        <v>65</v>
      </c>
      <c r="L781" s="77">
        <v>781</v>
      </c>
      <c r="M781" s="77"/>
      <c r="N781" s="72"/>
      <c r="O781" s="79" t="s">
        <v>610</v>
      </c>
      <c r="P781" s="79">
        <v>1</v>
      </c>
      <c r="Q781" s="78" t="str">
        <f>REPLACE(INDEX(GroupVertices[Group],MATCH(Edges[[#This Row],[Vertex 1]],GroupVertices[Vertex],0)),1,1,"")</f>
        <v>emystifying Medicine McMaster</v>
      </c>
      <c r="R781" s="78" t="str">
        <f>REPLACE(INDEX(GroupVertices[Group],MATCH(Edges[[#This Row],[Vertex 2]],GroupVertices[Vertex],0)),1,1,"")</f>
        <v>nri Marini</v>
      </c>
    </row>
    <row r="782" spans="1:18" ht="15">
      <c r="A782" s="64" t="s">
        <v>245</v>
      </c>
      <c r="B782" s="64" t="s">
        <v>2519</v>
      </c>
      <c r="C782" s="65" t="s">
        <v>4443</v>
      </c>
      <c r="D782" s="66">
        <v>3</v>
      </c>
      <c r="E782" s="67"/>
      <c r="F782" s="68">
        <v>40</v>
      </c>
      <c r="G782" s="65"/>
      <c r="H782" s="69"/>
      <c r="I782" s="70"/>
      <c r="J782" s="70"/>
      <c r="K782" s="34" t="s">
        <v>65</v>
      </c>
      <c r="L782" s="77">
        <v>782</v>
      </c>
      <c r="M782" s="77"/>
      <c r="N782" s="72"/>
      <c r="O782" s="79" t="s">
        <v>610</v>
      </c>
      <c r="P782" s="79">
        <v>1</v>
      </c>
      <c r="Q782" s="78" t="str">
        <f>REPLACE(INDEX(GroupVertices[Group],MATCH(Edges[[#This Row],[Vertex 1]],GroupVertices[Vertex],0)),1,1,"")</f>
        <v>emystifying Medicine McMaster</v>
      </c>
      <c r="R782" s="78" t="str">
        <f>REPLACE(INDEX(GroupVertices[Group],MATCH(Edges[[#This Row],[Vertex 2]],GroupVertices[Vertex],0)),1,1,"")</f>
        <v>iME - This is My Earth</v>
      </c>
    </row>
    <row r="783" spans="1:18" ht="15">
      <c r="A783" s="64" t="s">
        <v>245</v>
      </c>
      <c r="B783" s="64" t="s">
        <v>2520</v>
      </c>
      <c r="C783" s="65" t="s">
        <v>4443</v>
      </c>
      <c r="D783" s="66">
        <v>3</v>
      </c>
      <c r="E783" s="67"/>
      <c r="F783" s="68">
        <v>40</v>
      </c>
      <c r="G783" s="65"/>
      <c r="H783" s="69"/>
      <c r="I783" s="70"/>
      <c r="J783" s="70"/>
      <c r="K783" s="34" t="s">
        <v>65</v>
      </c>
      <c r="L783" s="77">
        <v>783</v>
      </c>
      <c r="M783" s="77"/>
      <c r="N783" s="72"/>
      <c r="O783" s="79" t="s">
        <v>610</v>
      </c>
      <c r="P783" s="79">
        <v>1</v>
      </c>
      <c r="Q783" s="78" t="str">
        <f>REPLACE(INDEX(GroupVertices[Group],MATCH(Edges[[#This Row],[Vertex 1]],GroupVertices[Vertex],0)),1,1,"")</f>
        <v>emystifying Medicine McMaster</v>
      </c>
      <c r="R783" s="78" t="str">
        <f>REPLACE(INDEX(GroupVertices[Group],MATCH(Edges[[#This Row],[Vertex 2]],GroupVertices[Vertex],0)),1,1,"")</f>
        <v>HP: Mental Health Peace</v>
      </c>
    </row>
    <row r="784" spans="1:18" ht="15">
      <c r="A784" s="64" t="s">
        <v>245</v>
      </c>
      <c r="B784" s="64" t="s">
        <v>2521</v>
      </c>
      <c r="C784" s="65" t="s">
        <v>4443</v>
      </c>
      <c r="D784" s="66">
        <v>3</v>
      </c>
      <c r="E784" s="67"/>
      <c r="F784" s="68">
        <v>40</v>
      </c>
      <c r="G784" s="65"/>
      <c r="H784" s="69"/>
      <c r="I784" s="70"/>
      <c r="J784" s="70"/>
      <c r="K784" s="34" t="s">
        <v>65</v>
      </c>
      <c r="L784" s="77">
        <v>784</v>
      </c>
      <c r="M784" s="77"/>
      <c r="N784" s="72"/>
      <c r="O784" s="79" t="s">
        <v>610</v>
      </c>
      <c r="P784" s="79">
        <v>1</v>
      </c>
      <c r="Q784" s="78" t="str">
        <f>REPLACE(INDEX(GroupVertices[Group],MATCH(Edges[[#This Row],[Vertex 1]],GroupVertices[Vertex],0)),1,1,"")</f>
        <v>emystifying Medicine McMaster</v>
      </c>
      <c r="R784" s="78" t="str">
        <f>REPLACE(INDEX(GroupVertices[Group],MATCH(Edges[[#This Row],[Vertex 2]],GroupVertices[Vertex],0)),1,1,"")</f>
        <v>erri Bowser</v>
      </c>
    </row>
    <row r="785" spans="1:18" ht="15">
      <c r="A785" s="64" t="s">
        <v>245</v>
      </c>
      <c r="B785" s="64" t="s">
        <v>2522</v>
      </c>
      <c r="C785" s="65" t="s">
        <v>4443</v>
      </c>
      <c r="D785" s="66">
        <v>3</v>
      </c>
      <c r="E785" s="67"/>
      <c r="F785" s="68">
        <v>40</v>
      </c>
      <c r="G785" s="65"/>
      <c r="H785" s="69"/>
      <c r="I785" s="70"/>
      <c r="J785" s="70"/>
      <c r="K785" s="34" t="s">
        <v>65</v>
      </c>
      <c r="L785" s="77">
        <v>785</v>
      </c>
      <c r="M785" s="77"/>
      <c r="N785" s="72"/>
      <c r="O785" s="79" t="s">
        <v>610</v>
      </c>
      <c r="P785" s="79">
        <v>1</v>
      </c>
      <c r="Q785" s="78" t="str">
        <f>REPLACE(INDEX(GroupVertices[Group],MATCH(Edges[[#This Row],[Vertex 1]],GroupVertices[Vertex],0)),1,1,"")</f>
        <v>emystifying Medicine McMaster</v>
      </c>
      <c r="R785" s="78" t="str">
        <f>REPLACE(INDEX(GroupVertices[Group],MATCH(Edges[[#This Row],[Vertex 2]],GroupVertices[Vertex],0)),1,1,"")</f>
        <v>ising Phoenix Mental Health</v>
      </c>
    </row>
    <row r="786" spans="1:18" ht="15">
      <c r="A786" s="64" t="s">
        <v>245</v>
      </c>
      <c r="B786" s="64" t="s">
        <v>2523</v>
      </c>
      <c r="C786" s="65" t="s">
        <v>4443</v>
      </c>
      <c r="D786" s="66">
        <v>3</v>
      </c>
      <c r="E786" s="67"/>
      <c r="F786" s="68">
        <v>40</v>
      </c>
      <c r="G786" s="65"/>
      <c r="H786" s="69"/>
      <c r="I786" s="70"/>
      <c r="J786" s="70"/>
      <c r="K786" s="34" t="s">
        <v>65</v>
      </c>
      <c r="L786" s="77">
        <v>786</v>
      </c>
      <c r="M786" s="77"/>
      <c r="N786" s="72"/>
      <c r="O786" s="79" t="s">
        <v>610</v>
      </c>
      <c r="P786" s="79">
        <v>1</v>
      </c>
      <c r="Q786" s="78" t="str">
        <f>REPLACE(INDEX(GroupVertices[Group],MATCH(Edges[[#This Row],[Vertex 1]],GroupVertices[Vertex],0)),1,1,"")</f>
        <v>emystifying Medicine McMaster</v>
      </c>
      <c r="R786" s="78" t="str">
        <f>REPLACE(INDEX(GroupVertices[Group],MATCH(Edges[[#This Row],[Vertex 2]],GroupVertices[Vertex],0)),1,1,"")</f>
        <v>TN NIGERIA</v>
      </c>
    </row>
    <row r="787" spans="1:18" ht="15">
      <c r="A787" s="64" t="s">
        <v>245</v>
      </c>
      <c r="B787" s="64" t="s">
        <v>2524</v>
      </c>
      <c r="C787" s="65" t="s">
        <v>4443</v>
      </c>
      <c r="D787" s="66">
        <v>3</v>
      </c>
      <c r="E787" s="67"/>
      <c r="F787" s="68">
        <v>40</v>
      </c>
      <c r="G787" s="65"/>
      <c r="H787" s="69"/>
      <c r="I787" s="70"/>
      <c r="J787" s="70"/>
      <c r="K787" s="34" t="s">
        <v>65</v>
      </c>
      <c r="L787" s="77">
        <v>787</v>
      </c>
      <c r="M787" s="77"/>
      <c r="N787" s="72"/>
      <c r="O787" s="79" t="s">
        <v>610</v>
      </c>
      <c r="P787" s="79">
        <v>1</v>
      </c>
      <c r="Q787" s="78" t="str">
        <f>REPLACE(INDEX(GroupVertices[Group],MATCH(Edges[[#This Row],[Vertex 1]],GroupVertices[Vertex],0)),1,1,"")</f>
        <v>emystifying Medicine McMaster</v>
      </c>
      <c r="R787" s="78" t="str">
        <f>REPLACE(INDEX(GroupVertices[Group],MATCH(Edges[[#This Row],[Vertex 2]],GroupVertices[Vertex],0)),1,1,"")</f>
        <v>ewswise Live Events</v>
      </c>
    </row>
    <row r="788" spans="1:18" ht="15">
      <c r="A788" s="64" t="s">
        <v>245</v>
      </c>
      <c r="B788" s="64" t="s">
        <v>2525</v>
      </c>
      <c r="C788" s="65" t="s">
        <v>4443</v>
      </c>
      <c r="D788" s="66">
        <v>3</v>
      </c>
      <c r="E788" s="67"/>
      <c r="F788" s="68">
        <v>40</v>
      </c>
      <c r="G788" s="65"/>
      <c r="H788" s="69"/>
      <c r="I788" s="70"/>
      <c r="J788" s="70"/>
      <c r="K788" s="34" t="s">
        <v>65</v>
      </c>
      <c r="L788" s="77">
        <v>788</v>
      </c>
      <c r="M788" s="77"/>
      <c r="N788" s="72"/>
      <c r="O788" s="79" t="s">
        <v>610</v>
      </c>
      <c r="P788" s="79">
        <v>1</v>
      </c>
      <c r="Q788" s="78" t="str">
        <f>REPLACE(INDEX(GroupVertices[Group],MATCH(Edges[[#This Row],[Vertex 1]],GroupVertices[Vertex],0)),1,1,"")</f>
        <v>emystifying Medicine McMaster</v>
      </c>
      <c r="R788" s="78" t="str">
        <f>REPLACE(INDEX(GroupVertices[Group],MATCH(Edges[[#This Row],[Vertex 2]],GroupVertices[Vertex],0)),1,1,"")</f>
        <v>ISE</v>
      </c>
    </row>
    <row r="789" spans="1:18" ht="15">
      <c r="A789" s="64" t="s">
        <v>245</v>
      </c>
      <c r="B789" s="64" t="s">
        <v>2526</v>
      </c>
      <c r="C789" s="65" t="s">
        <v>4443</v>
      </c>
      <c r="D789" s="66">
        <v>3</v>
      </c>
      <c r="E789" s="67"/>
      <c r="F789" s="68">
        <v>40</v>
      </c>
      <c r="G789" s="65"/>
      <c r="H789" s="69"/>
      <c r="I789" s="70"/>
      <c r="J789" s="70"/>
      <c r="K789" s="34" t="s">
        <v>65</v>
      </c>
      <c r="L789" s="77">
        <v>789</v>
      </c>
      <c r="M789" s="77"/>
      <c r="N789" s="72"/>
      <c r="O789" s="79" t="s">
        <v>610</v>
      </c>
      <c r="P789" s="79">
        <v>1</v>
      </c>
      <c r="Q789" s="78" t="str">
        <f>REPLACE(INDEX(GroupVertices[Group],MATCH(Edges[[#This Row],[Vertex 1]],GroupVertices[Vertex],0)),1,1,"")</f>
        <v>emystifying Medicine McMaster</v>
      </c>
      <c r="R789" s="78" t="str">
        <f>REPLACE(INDEX(GroupVertices[Group],MATCH(Edges[[#This Row],[Vertex 2]],GroupVertices[Vertex],0)),1,1,"")</f>
        <v>ruscan Diagnostics</v>
      </c>
    </row>
    <row r="790" spans="1:18" ht="15">
      <c r="A790" s="64" t="s">
        <v>245</v>
      </c>
      <c r="B790" s="64" t="s">
        <v>2527</v>
      </c>
      <c r="C790" s="65" t="s">
        <v>4443</v>
      </c>
      <c r="D790" s="66">
        <v>3</v>
      </c>
      <c r="E790" s="67"/>
      <c r="F790" s="68">
        <v>40</v>
      </c>
      <c r="G790" s="65"/>
      <c r="H790" s="69"/>
      <c r="I790" s="70"/>
      <c r="J790" s="70"/>
      <c r="K790" s="34" t="s">
        <v>65</v>
      </c>
      <c r="L790" s="77">
        <v>790</v>
      </c>
      <c r="M790" s="77"/>
      <c r="N790" s="72"/>
      <c r="O790" s="79" t="s">
        <v>610</v>
      </c>
      <c r="P790" s="79">
        <v>1</v>
      </c>
      <c r="Q790" s="78" t="str">
        <f>REPLACE(INDEX(GroupVertices[Group],MATCH(Edges[[#This Row],[Vertex 1]],GroupVertices[Vertex],0)),1,1,"")</f>
        <v>emystifying Medicine McMaster</v>
      </c>
      <c r="R790" s="78" t="str">
        <f>REPLACE(INDEX(GroupVertices[Group],MATCH(Edges[[#This Row],[Vertex 2]],GroupVertices[Vertex],0)),1,1,"")</f>
        <v>CCORDS Research</v>
      </c>
    </row>
    <row r="791" spans="1:18" ht="15">
      <c r="A791" s="64" t="s">
        <v>245</v>
      </c>
      <c r="B791" s="64" t="s">
        <v>2528</v>
      </c>
      <c r="C791" s="65" t="s">
        <v>4443</v>
      </c>
      <c r="D791" s="66">
        <v>3</v>
      </c>
      <c r="E791" s="67"/>
      <c r="F791" s="68">
        <v>40</v>
      </c>
      <c r="G791" s="65"/>
      <c r="H791" s="69"/>
      <c r="I791" s="70"/>
      <c r="J791" s="70"/>
      <c r="K791" s="34" t="s">
        <v>65</v>
      </c>
      <c r="L791" s="77">
        <v>791</v>
      </c>
      <c r="M791" s="77"/>
      <c r="N791" s="72"/>
      <c r="O791" s="79" t="s">
        <v>610</v>
      </c>
      <c r="P791" s="79">
        <v>1</v>
      </c>
      <c r="Q791" s="78" t="str">
        <f>REPLACE(INDEX(GroupVertices[Group],MATCH(Edges[[#This Row],[Vertex 1]],GroupVertices[Vertex],0)),1,1,"")</f>
        <v>emystifying Medicine McMaster</v>
      </c>
      <c r="R791" s="78" t="str">
        <f>REPLACE(INDEX(GroupVertices[Group],MATCH(Edges[[#This Row],[Vertex 2]],GroupVertices[Vertex],0)),1,1,"")</f>
        <v>DforLives</v>
      </c>
    </row>
    <row r="792" spans="1:18" ht="15">
      <c r="A792" s="64" t="s">
        <v>245</v>
      </c>
      <c r="B792" s="64" t="s">
        <v>2529</v>
      </c>
      <c r="C792" s="65" t="s">
        <v>4443</v>
      </c>
      <c r="D792" s="66">
        <v>3</v>
      </c>
      <c r="E792" s="67"/>
      <c r="F792" s="68">
        <v>40</v>
      </c>
      <c r="G792" s="65"/>
      <c r="H792" s="69"/>
      <c r="I792" s="70"/>
      <c r="J792" s="70"/>
      <c r="K792" s="34" t="s">
        <v>65</v>
      </c>
      <c r="L792" s="77">
        <v>792</v>
      </c>
      <c r="M792" s="77"/>
      <c r="N792" s="72"/>
      <c r="O792" s="79" t="s">
        <v>610</v>
      </c>
      <c r="P792" s="79">
        <v>1</v>
      </c>
      <c r="Q792" s="78" t="str">
        <f>REPLACE(INDEX(GroupVertices[Group],MATCH(Edges[[#This Row],[Vertex 1]],GroupVertices[Vertex],0)),1,1,"")</f>
        <v>emystifying Medicine McMaster</v>
      </c>
      <c r="R792" s="78" t="str">
        <f>REPLACE(INDEX(GroupVertices[Group],MATCH(Edges[[#This Row],[Vertex 2]],GroupVertices[Vertex],0)),1,1,"")</f>
        <v>emystifying Medicine McMaster</v>
      </c>
    </row>
    <row r="793" spans="1:18" ht="15">
      <c r="A793" s="64" t="s">
        <v>245</v>
      </c>
      <c r="B793" s="64" t="s">
        <v>2530</v>
      </c>
      <c r="C793" s="65" t="s">
        <v>4443</v>
      </c>
      <c r="D793" s="66">
        <v>3</v>
      </c>
      <c r="E793" s="67"/>
      <c r="F793" s="68">
        <v>40</v>
      </c>
      <c r="G793" s="65"/>
      <c r="H793" s="69"/>
      <c r="I793" s="70"/>
      <c r="J793" s="70"/>
      <c r="K793" s="34" t="s">
        <v>65</v>
      </c>
      <c r="L793" s="77">
        <v>793</v>
      </c>
      <c r="M793" s="77"/>
      <c r="N793" s="72"/>
      <c r="O793" s="79" t="s">
        <v>610</v>
      </c>
      <c r="P793" s="79">
        <v>1</v>
      </c>
      <c r="Q793" s="78" t="str">
        <f>REPLACE(INDEX(GroupVertices[Group],MATCH(Edges[[#This Row],[Vertex 1]],GroupVertices[Vertex],0)),1,1,"")</f>
        <v>emystifying Medicine McMaster</v>
      </c>
      <c r="R793" s="78" t="str">
        <f>REPLACE(INDEX(GroupVertices[Group],MATCH(Edges[[#This Row],[Vertex 2]],GroupVertices[Vertex],0)),1,1,"")</f>
        <v>usan Paolin</v>
      </c>
    </row>
    <row r="794" spans="1:18" ht="15">
      <c r="A794" s="64" t="s">
        <v>245</v>
      </c>
      <c r="B794" s="64" t="s">
        <v>2531</v>
      </c>
      <c r="C794" s="65" t="s">
        <v>4443</v>
      </c>
      <c r="D794" s="66">
        <v>3</v>
      </c>
      <c r="E794" s="67"/>
      <c r="F794" s="68">
        <v>40</v>
      </c>
      <c r="G794" s="65"/>
      <c r="H794" s="69"/>
      <c r="I794" s="70"/>
      <c r="J794" s="70"/>
      <c r="K794" s="34" t="s">
        <v>65</v>
      </c>
      <c r="L794" s="77">
        <v>794</v>
      </c>
      <c r="M794" s="77"/>
      <c r="N794" s="72"/>
      <c r="O794" s="79" t="s">
        <v>610</v>
      </c>
      <c r="P794" s="79">
        <v>1</v>
      </c>
      <c r="Q794" s="78" t="str">
        <f>REPLACE(INDEX(GroupVertices[Group],MATCH(Edges[[#This Row],[Vertex 1]],GroupVertices[Vertex],0)),1,1,"")</f>
        <v>emystifying Medicine McMaster</v>
      </c>
      <c r="R794" s="78" t="str">
        <f>REPLACE(INDEX(GroupVertices[Group],MATCH(Edges[[#This Row],[Vertex 2]],GroupVertices[Vertex],0)),1,1,"")</f>
        <v>emystifying Medicine McMaster</v>
      </c>
    </row>
    <row r="795" spans="1:18" ht="15">
      <c r="A795" s="64" t="s">
        <v>245</v>
      </c>
      <c r="B795" s="64" t="s">
        <v>2532</v>
      </c>
      <c r="C795" s="65" t="s">
        <v>4443</v>
      </c>
      <c r="D795" s="66">
        <v>3</v>
      </c>
      <c r="E795" s="67"/>
      <c r="F795" s="68">
        <v>40</v>
      </c>
      <c r="G795" s="65"/>
      <c r="H795" s="69"/>
      <c r="I795" s="70"/>
      <c r="J795" s="70"/>
      <c r="K795" s="34" t="s">
        <v>65</v>
      </c>
      <c r="L795" s="77">
        <v>795</v>
      </c>
      <c r="M795" s="77"/>
      <c r="N795" s="72"/>
      <c r="O795" s="79" t="s">
        <v>610</v>
      </c>
      <c r="P795" s="79">
        <v>1</v>
      </c>
      <c r="Q795" s="78" t="str">
        <f>REPLACE(INDEX(GroupVertices[Group],MATCH(Edges[[#This Row],[Vertex 1]],GroupVertices[Vertex],0)),1,1,"")</f>
        <v>emystifying Medicine McMaster</v>
      </c>
      <c r="R795" s="78" t="str">
        <f>REPLACE(INDEX(GroupVertices[Group],MATCH(Edges[[#This Row],[Vertex 2]],GroupVertices[Vertex],0)),1,1,"")</f>
        <v>emystifying Medicine McMaster</v>
      </c>
    </row>
    <row r="796" spans="1:18" ht="15">
      <c r="A796" s="64" t="s">
        <v>245</v>
      </c>
      <c r="B796" s="64" t="s">
        <v>2533</v>
      </c>
      <c r="C796" s="65" t="s">
        <v>4443</v>
      </c>
      <c r="D796" s="66">
        <v>3</v>
      </c>
      <c r="E796" s="67"/>
      <c r="F796" s="68">
        <v>40</v>
      </c>
      <c r="G796" s="65"/>
      <c r="H796" s="69"/>
      <c r="I796" s="70"/>
      <c r="J796" s="70"/>
      <c r="K796" s="34" t="s">
        <v>65</v>
      </c>
      <c r="L796" s="77">
        <v>796</v>
      </c>
      <c r="M796" s="77"/>
      <c r="N796" s="72"/>
      <c r="O796" s="79" t="s">
        <v>610</v>
      </c>
      <c r="P796" s="79">
        <v>1</v>
      </c>
      <c r="Q796" s="78" t="str">
        <f>REPLACE(INDEX(GroupVertices[Group],MATCH(Edges[[#This Row],[Vertex 1]],GroupVertices[Vertex],0)),1,1,"")</f>
        <v>emystifying Medicine McMaster</v>
      </c>
      <c r="R796" s="78" t="str">
        <f>REPLACE(INDEX(GroupVertices[Group],MATCH(Edges[[#This Row],[Vertex 2]],GroupVertices[Vertex],0)),1,1,"")</f>
        <v>emystifying Medicine McMaster</v>
      </c>
    </row>
    <row r="797" spans="1:18" ht="15">
      <c r="A797" s="64" t="s">
        <v>245</v>
      </c>
      <c r="B797" s="64" t="s">
        <v>2534</v>
      </c>
      <c r="C797" s="65" t="s">
        <v>4443</v>
      </c>
      <c r="D797" s="66">
        <v>3</v>
      </c>
      <c r="E797" s="67"/>
      <c r="F797" s="68">
        <v>40</v>
      </c>
      <c r="G797" s="65"/>
      <c r="H797" s="69"/>
      <c r="I797" s="70"/>
      <c r="J797" s="70"/>
      <c r="K797" s="34" t="s">
        <v>65</v>
      </c>
      <c r="L797" s="77">
        <v>797</v>
      </c>
      <c r="M797" s="77"/>
      <c r="N797" s="72"/>
      <c r="O797" s="79" t="s">
        <v>610</v>
      </c>
      <c r="P797" s="79">
        <v>1</v>
      </c>
      <c r="Q797" s="78" t="str">
        <f>REPLACE(INDEX(GroupVertices[Group],MATCH(Edges[[#This Row],[Vertex 1]],GroupVertices[Vertex],0)),1,1,"")</f>
        <v>emystifying Medicine McMaster</v>
      </c>
      <c r="R797" s="78" t="str">
        <f>REPLACE(INDEX(GroupVertices[Group],MATCH(Edges[[#This Row],[Vertex 2]],GroupVertices[Vertex],0)),1,1,"")</f>
        <v>emystifying Medicine McMaster</v>
      </c>
    </row>
    <row r="798" spans="1:18" ht="15">
      <c r="A798" s="64" t="s">
        <v>245</v>
      </c>
      <c r="B798" s="64" t="s">
        <v>2535</v>
      </c>
      <c r="C798" s="65" t="s">
        <v>4443</v>
      </c>
      <c r="D798" s="66">
        <v>3</v>
      </c>
      <c r="E798" s="67"/>
      <c r="F798" s="68">
        <v>40</v>
      </c>
      <c r="G798" s="65"/>
      <c r="H798" s="69"/>
      <c r="I798" s="70"/>
      <c r="J798" s="70"/>
      <c r="K798" s="34" t="s">
        <v>65</v>
      </c>
      <c r="L798" s="77">
        <v>798</v>
      </c>
      <c r="M798" s="77"/>
      <c r="N798" s="72"/>
      <c r="O798" s="79" t="s">
        <v>610</v>
      </c>
      <c r="P798" s="79">
        <v>1</v>
      </c>
      <c r="Q798" s="78" t="str">
        <f>REPLACE(INDEX(GroupVertices[Group],MATCH(Edges[[#This Row],[Vertex 1]],GroupVertices[Vertex],0)),1,1,"")</f>
        <v>emystifying Medicine McMaster</v>
      </c>
      <c r="R798" s="78" t="str">
        <f>REPLACE(INDEX(GroupVertices[Group],MATCH(Edges[[#This Row],[Vertex 2]],GroupVertices[Vertex],0)),1,1,"")</f>
        <v>emystifying Medicine McMaster</v>
      </c>
    </row>
    <row r="799" spans="1:18" ht="15">
      <c r="A799" s="64" t="s">
        <v>245</v>
      </c>
      <c r="B799" s="64" t="s">
        <v>360</v>
      </c>
      <c r="C799" s="65" t="s">
        <v>4443</v>
      </c>
      <c r="D799" s="66">
        <v>3</v>
      </c>
      <c r="E799" s="67"/>
      <c r="F799" s="68">
        <v>40</v>
      </c>
      <c r="G799" s="65"/>
      <c r="H799" s="69"/>
      <c r="I799" s="70"/>
      <c r="J799" s="70"/>
      <c r="K799" s="34" t="s">
        <v>65</v>
      </c>
      <c r="L799" s="77">
        <v>799</v>
      </c>
      <c r="M799" s="77"/>
      <c r="N799" s="72"/>
      <c r="O799" s="79" t="s">
        <v>610</v>
      </c>
      <c r="P799" s="79">
        <v>1</v>
      </c>
      <c r="Q799" s="78" t="str">
        <f>REPLACE(INDEX(GroupVertices[Group],MATCH(Edges[[#This Row],[Vertex 1]],GroupVertices[Vertex],0)),1,1,"")</f>
        <v>emystifying Medicine McMaster</v>
      </c>
      <c r="R799" s="78" t="str">
        <f>REPLACE(INDEX(GroupVertices[Group],MATCH(Edges[[#This Row],[Vertex 2]],GroupVertices[Vertex],0)),1,1,"")</f>
        <v>r. Todd Grande</v>
      </c>
    </row>
    <row r="800" spans="1:18" ht="15">
      <c r="A800" s="64" t="s">
        <v>245</v>
      </c>
      <c r="B800" s="64" t="s">
        <v>362</v>
      </c>
      <c r="C800" s="65" t="s">
        <v>4443</v>
      </c>
      <c r="D800" s="66">
        <v>3</v>
      </c>
      <c r="E800" s="67"/>
      <c r="F800" s="68">
        <v>40</v>
      </c>
      <c r="G800" s="65"/>
      <c r="H800" s="69"/>
      <c r="I800" s="70"/>
      <c r="J800" s="70"/>
      <c r="K800" s="34" t="s">
        <v>65</v>
      </c>
      <c r="L800" s="77">
        <v>800</v>
      </c>
      <c r="M800" s="77"/>
      <c r="N800" s="72"/>
      <c r="O800" s="79" t="s">
        <v>610</v>
      </c>
      <c r="P800" s="79">
        <v>1</v>
      </c>
      <c r="Q800" s="78" t="str">
        <f>REPLACE(INDEX(GroupVertices[Group],MATCH(Edges[[#This Row],[Vertex 1]],GroupVertices[Vertex],0)),1,1,"")</f>
        <v>emystifying Medicine McMaster</v>
      </c>
      <c r="R800" s="78" t="str">
        <f>REPLACE(INDEX(GroupVertices[Group],MATCH(Edges[[#This Row],[Vertex 2]],GroupVertices[Vertex],0)),1,1,"")</f>
        <v>earning in 10</v>
      </c>
    </row>
    <row r="801" spans="1:18" ht="15">
      <c r="A801" s="64" t="s">
        <v>245</v>
      </c>
      <c r="B801" s="64" t="s">
        <v>2536</v>
      </c>
      <c r="C801" s="65" t="s">
        <v>4443</v>
      </c>
      <c r="D801" s="66">
        <v>3</v>
      </c>
      <c r="E801" s="67"/>
      <c r="F801" s="68">
        <v>40</v>
      </c>
      <c r="G801" s="65"/>
      <c r="H801" s="69"/>
      <c r="I801" s="70"/>
      <c r="J801" s="70"/>
      <c r="K801" s="34" t="s">
        <v>65</v>
      </c>
      <c r="L801" s="77">
        <v>801</v>
      </c>
      <c r="M801" s="77"/>
      <c r="N801" s="72"/>
      <c r="O801" s="79" t="s">
        <v>610</v>
      </c>
      <c r="P801" s="79">
        <v>1</v>
      </c>
      <c r="Q801" s="78" t="str">
        <f>REPLACE(INDEX(GroupVertices[Group],MATCH(Edges[[#This Row],[Vertex 1]],GroupVertices[Vertex],0)),1,1,"")</f>
        <v>emystifying Medicine McMaster</v>
      </c>
      <c r="R801" s="78" t="str">
        <f>REPLACE(INDEX(GroupVertices[Group],MATCH(Edges[[#This Row],[Vertex 2]],GroupVertices[Vertex],0)),1,1,"")</f>
        <v>emystifying Medicine McMaster</v>
      </c>
    </row>
    <row r="802" spans="1:18" ht="15">
      <c r="A802" s="64" t="s">
        <v>245</v>
      </c>
      <c r="B802" s="64" t="s">
        <v>2537</v>
      </c>
      <c r="C802" s="65" t="s">
        <v>4443</v>
      </c>
      <c r="D802" s="66">
        <v>3</v>
      </c>
      <c r="E802" s="67"/>
      <c r="F802" s="68">
        <v>40</v>
      </c>
      <c r="G802" s="65"/>
      <c r="H802" s="69"/>
      <c r="I802" s="70"/>
      <c r="J802" s="70"/>
      <c r="K802" s="34" t="s">
        <v>65</v>
      </c>
      <c r="L802" s="77">
        <v>802</v>
      </c>
      <c r="M802" s="77"/>
      <c r="N802" s="72"/>
      <c r="O802" s="79" t="s">
        <v>610</v>
      </c>
      <c r="P802" s="79">
        <v>1</v>
      </c>
      <c r="Q802" s="78" t="str">
        <f>REPLACE(INDEX(GroupVertices[Group],MATCH(Edges[[#This Row],[Vertex 1]],GroupVertices[Vertex],0)),1,1,"")</f>
        <v>emystifying Medicine McMaster</v>
      </c>
      <c r="R802" s="78" t="str">
        <f>REPLACE(INDEX(GroupVertices[Group],MATCH(Edges[[#This Row],[Vertex 2]],GroupVertices[Vertex],0)),1,1,"")</f>
        <v>emystifying Medicine McMaster</v>
      </c>
    </row>
    <row r="803" spans="1:18" ht="15">
      <c r="A803" s="64" t="s">
        <v>245</v>
      </c>
      <c r="B803" s="64" t="s">
        <v>2538</v>
      </c>
      <c r="C803" s="65" t="s">
        <v>4443</v>
      </c>
      <c r="D803" s="66">
        <v>3</v>
      </c>
      <c r="E803" s="67"/>
      <c r="F803" s="68">
        <v>40</v>
      </c>
      <c r="G803" s="65"/>
      <c r="H803" s="69"/>
      <c r="I803" s="70"/>
      <c r="J803" s="70"/>
      <c r="K803" s="34" t="s">
        <v>65</v>
      </c>
      <c r="L803" s="77">
        <v>803</v>
      </c>
      <c r="M803" s="77"/>
      <c r="N803" s="72"/>
      <c r="O803" s="79" t="s">
        <v>610</v>
      </c>
      <c r="P803" s="79">
        <v>1</v>
      </c>
      <c r="Q803" s="78" t="str">
        <f>REPLACE(INDEX(GroupVertices[Group],MATCH(Edges[[#This Row],[Vertex 1]],GroupVertices[Vertex],0)),1,1,"")</f>
        <v>emystifying Medicine McMaster</v>
      </c>
      <c r="R803" s="78" t="str">
        <f>REPLACE(INDEX(GroupVertices[Group],MATCH(Edges[[#This Row],[Vertex 2]],GroupVertices[Vertex],0)),1,1,"")</f>
        <v>emystifying Medicine McMaster</v>
      </c>
    </row>
    <row r="804" spans="1:18" ht="15">
      <c r="A804" s="64" t="s">
        <v>245</v>
      </c>
      <c r="B804" s="64" t="s">
        <v>2539</v>
      </c>
      <c r="C804" s="65" t="s">
        <v>4443</v>
      </c>
      <c r="D804" s="66">
        <v>3</v>
      </c>
      <c r="E804" s="67"/>
      <c r="F804" s="68">
        <v>40</v>
      </c>
      <c r="G804" s="65"/>
      <c r="H804" s="69"/>
      <c r="I804" s="70"/>
      <c r="J804" s="70"/>
      <c r="K804" s="34" t="s">
        <v>65</v>
      </c>
      <c r="L804" s="77">
        <v>804</v>
      </c>
      <c r="M804" s="77"/>
      <c r="N804" s="72"/>
      <c r="O804" s="79" t="s">
        <v>610</v>
      </c>
      <c r="P804" s="79">
        <v>1</v>
      </c>
      <c r="Q804" s="78" t="str">
        <f>REPLACE(INDEX(GroupVertices[Group],MATCH(Edges[[#This Row],[Vertex 1]],GroupVertices[Vertex],0)),1,1,"")</f>
        <v>emystifying Medicine McMaster</v>
      </c>
      <c r="R804" s="78" t="str">
        <f>REPLACE(INDEX(GroupVertices[Group],MATCH(Edges[[#This Row],[Vertex 2]],GroupVertices[Vertex],0)),1,1,"")</f>
        <v>emystifying Medicine McMaster</v>
      </c>
    </row>
    <row r="805" spans="1:18" ht="15">
      <c r="A805" s="64" t="s">
        <v>245</v>
      </c>
      <c r="B805" s="64" t="s">
        <v>597</v>
      </c>
      <c r="C805" s="65" t="s">
        <v>4443</v>
      </c>
      <c r="D805" s="66">
        <v>3</v>
      </c>
      <c r="E805" s="67"/>
      <c r="F805" s="68">
        <v>40</v>
      </c>
      <c r="G805" s="65"/>
      <c r="H805" s="69"/>
      <c r="I805" s="70"/>
      <c r="J805" s="70"/>
      <c r="K805" s="34" t="s">
        <v>65</v>
      </c>
      <c r="L805" s="77">
        <v>805</v>
      </c>
      <c r="M805" s="77"/>
      <c r="N805" s="72"/>
      <c r="O805" s="79" t="s">
        <v>610</v>
      </c>
      <c r="P805" s="79">
        <v>1</v>
      </c>
      <c r="Q805" s="78" t="str">
        <f>REPLACE(INDEX(GroupVertices[Group],MATCH(Edges[[#This Row],[Vertex 1]],GroupVertices[Vertex],0)),1,1,"")</f>
        <v>emystifying Medicine McMaster</v>
      </c>
      <c r="R805" s="78" t="str">
        <f>REPLACE(INDEX(GroupVertices[Group],MATCH(Edges[[#This Row],[Vertex 2]],GroupVertices[Vertex],0)),1,1,"")</f>
        <v>emorable Psychiatry and Neurology</v>
      </c>
    </row>
    <row r="806" spans="1:18" ht="15">
      <c r="A806" s="64" t="s">
        <v>245</v>
      </c>
      <c r="B806" s="64" t="s">
        <v>596</v>
      </c>
      <c r="C806" s="65" t="s">
        <v>4443</v>
      </c>
      <c r="D806" s="66">
        <v>3</v>
      </c>
      <c r="E806" s="67"/>
      <c r="F806" s="68">
        <v>40</v>
      </c>
      <c r="G806" s="65"/>
      <c r="H806" s="69"/>
      <c r="I806" s="70"/>
      <c r="J806" s="70"/>
      <c r="K806" s="34" t="s">
        <v>65</v>
      </c>
      <c r="L806" s="77">
        <v>806</v>
      </c>
      <c r="M806" s="77"/>
      <c r="N806" s="72"/>
      <c r="O806" s="79" t="s">
        <v>610</v>
      </c>
      <c r="P806" s="79">
        <v>1</v>
      </c>
      <c r="Q806" s="78" t="str">
        <f>REPLACE(INDEX(GroupVertices[Group],MATCH(Edges[[#This Row],[Vertex 1]],GroupVertices[Vertex],0)),1,1,"")</f>
        <v>emystifying Medicine McMaster</v>
      </c>
      <c r="R806" s="78" t="str">
        <f>REPLACE(INDEX(GroupVertices[Group],MATCH(Edges[[#This Row],[Vertex 2]],GroupVertices[Vertex],0)),1,1,"")</f>
        <v>emystifying Medicine McMaster</v>
      </c>
    </row>
    <row r="807" spans="1:18" ht="15">
      <c r="A807" s="64" t="s">
        <v>245</v>
      </c>
      <c r="B807" s="64" t="s">
        <v>600</v>
      </c>
      <c r="C807" s="65" t="s">
        <v>4443</v>
      </c>
      <c r="D807" s="66">
        <v>3</v>
      </c>
      <c r="E807" s="67"/>
      <c r="F807" s="68">
        <v>40</v>
      </c>
      <c r="G807" s="65"/>
      <c r="H807" s="69"/>
      <c r="I807" s="70"/>
      <c r="J807" s="70"/>
      <c r="K807" s="34" t="s">
        <v>65</v>
      </c>
      <c r="L807" s="77">
        <v>807</v>
      </c>
      <c r="M807" s="77"/>
      <c r="N807" s="72"/>
      <c r="O807" s="79" t="s">
        <v>610</v>
      </c>
      <c r="P807" s="79">
        <v>1</v>
      </c>
      <c r="Q807" s="78" t="str">
        <f>REPLACE(INDEX(GroupVertices[Group],MATCH(Edges[[#This Row],[Vertex 1]],GroupVertices[Vertex],0)),1,1,"")</f>
        <v>emystifying Medicine McMaster</v>
      </c>
      <c r="R807" s="78" t="str">
        <f>REPLACE(INDEX(GroupVertices[Group],MATCH(Edges[[#This Row],[Vertex 2]],GroupVertices[Vertex],0)),1,1,"")</f>
        <v>emystifying Medicine McMaster</v>
      </c>
    </row>
    <row r="808" spans="1:18" ht="15">
      <c r="A808" s="64" t="s">
        <v>245</v>
      </c>
      <c r="B808" s="64" t="s">
        <v>2540</v>
      </c>
      <c r="C808" s="65" t="s">
        <v>4443</v>
      </c>
      <c r="D808" s="66">
        <v>3</v>
      </c>
      <c r="E808" s="67"/>
      <c r="F808" s="68">
        <v>40</v>
      </c>
      <c r="G808" s="65"/>
      <c r="H808" s="69"/>
      <c r="I808" s="70"/>
      <c r="J808" s="70"/>
      <c r="K808" s="34" t="s">
        <v>65</v>
      </c>
      <c r="L808" s="77">
        <v>808</v>
      </c>
      <c r="M808" s="77"/>
      <c r="N808" s="72"/>
      <c r="O808" s="79" t="s">
        <v>610</v>
      </c>
      <c r="P808" s="79">
        <v>1</v>
      </c>
      <c r="Q808" s="78" t="str">
        <f>REPLACE(INDEX(GroupVertices[Group],MATCH(Edges[[#This Row],[Vertex 1]],GroupVertices[Vertex],0)),1,1,"")</f>
        <v>emystifying Medicine McMaster</v>
      </c>
      <c r="R808" s="78" t="str">
        <f>REPLACE(INDEX(GroupVertices[Group],MATCH(Edges[[#This Row],[Vertex 2]],GroupVertices[Vertex],0)),1,1,"")</f>
        <v>emystifying Medicine McMaster</v>
      </c>
    </row>
    <row r="809" spans="1:18" ht="15">
      <c r="A809" s="64" t="s">
        <v>245</v>
      </c>
      <c r="B809" s="64" t="s">
        <v>2541</v>
      </c>
      <c r="C809" s="65" t="s">
        <v>4443</v>
      </c>
      <c r="D809" s="66">
        <v>3</v>
      </c>
      <c r="E809" s="67"/>
      <c r="F809" s="68">
        <v>40</v>
      </c>
      <c r="G809" s="65"/>
      <c r="H809" s="69"/>
      <c r="I809" s="70"/>
      <c r="J809" s="70"/>
      <c r="K809" s="34" t="s">
        <v>65</v>
      </c>
      <c r="L809" s="77">
        <v>809</v>
      </c>
      <c r="M809" s="77"/>
      <c r="N809" s="72"/>
      <c r="O809" s="79" t="s">
        <v>610</v>
      </c>
      <c r="P809" s="79">
        <v>1</v>
      </c>
      <c r="Q809" s="78" t="str">
        <f>REPLACE(INDEX(GroupVertices[Group],MATCH(Edges[[#This Row],[Vertex 1]],GroupVertices[Vertex],0)),1,1,"")</f>
        <v>emystifying Medicine McMaster</v>
      </c>
      <c r="R809" s="78" t="str">
        <f>REPLACE(INDEX(GroupVertices[Group],MATCH(Edges[[#This Row],[Vertex 2]],GroupVertices[Vertex],0)),1,1,"")</f>
        <v>emystifying Medicine McMaster</v>
      </c>
    </row>
    <row r="810" spans="1:18" ht="15">
      <c r="A810" s="64" t="s">
        <v>245</v>
      </c>
      <c r="B810" s="64" t="s">
        <v>2542</v>
      </c>
      <c r="C810" s="65" t="s">
        <v>4443</v>
      </c>
      <c r="D810" s="66">
        <v>3</v>
      </c>
      <c r="E810" s="67"/>
      <c r="F810" s="68">
        <v>40</v>
      </c>
      <c r="G810" s="65"/>
      <c r="H810" s="69"/>
      <c r="I810" s="70"/>
      <c r="J810" s="70"/>
      <c r="K810" s="34" t="s">
        <v>65</v>
      </c>
      <c r="L810" s="77">
        <v>810</v>
      </c>
      <c r="M810" s="77"/>
      <c r="N810" s="72"/>
      <c r="O810" s="79" t="s">
        <v>610</v>
      </c>
      <c r="P810" s="79">
        <v>1</v>
      </c>
      <c r="Q810" s="78" t="str">
        <f>REPLACE(INDEX(GroupVertices[Group],MATCH(Edges[[#This Row],[Vertex 1]],GroupVertices[Vertex],0)),1,1,"")</f>
        <v>emystifying Medicine McMaster</v>
      </c>
      <c r="R810" s="78" t="str">
        <f>REPLACE(INDEX(GroupVertices[Group],MATCH(Edges[[#This Row],[Vertex 2]],GroupVertices[Vertex],0)),1,1,"")</f>
        <v>emystifying Medicine McMaster</v>
      </c>
    </row>
    <row r="811" spans="1:18" ht="15">
      <c r="A811" s="64" t="s">
        <v>245</v>
      </c>
      <c r="B811" s="64" t="s">
        <v>197</v>
      </c>
      <c r="C811" s="65" t="s">
        <v>4443</v>
      </c>
      <c r="D811" s="66">
        <v>3</v>
      </c>
      <c r="E811" s="67"/>
      <c r="F811" s="68">
        <v>40</v>
      </c>
      <c r="G811" s="65"/>
      <c r="H811" s="69"/>
      <c r="I811" s="70"/>
      <c r="J811" s="70"/>
      <c r="K811" s="34" t="s">
        <v>65</v>
      </c>
      <c r="L811" s="77">
        <v>811</v>
      </c>
      <c r="M811" s="77"/>
      <c r="N811" s="72"/>
      <c r="O811" s="79" t="s">
        <v>610</v>
      </c>
      <c r="P811" s="79">
        <v>1</v>
      </c>
      <c r="Q811" s="78" t="str">
        <f>REPLACE(INDEX(GroupVertices[Group],MATCH(Edges[[#This Row],[Vertex 1]],GroupVertices[Vertex],0)),1,1,"")</f>
        <v>emystifying Medicine McMaster</v>
      </c>
      <c r="R811" s="78" t="str">
        <f>REPLACE(INDEX(GroupVertices[Group],MATCH(Edges[[#This Row],[Vertex 2]],GroupVertices[Vertex],0)),1,1,"")</f>
        <v>adMedicine</v>
      </c>
    </row>
    <row r="812" spans="1:18" ht="15">
      <c r="A812" s="64" t="s">
        <v>245</v>
      </c>
      <c r="B812" s="64" t="s">
        <v>601</v>
      </c>
      <c r="C812" s="65" t="s">
        <v>4443</v>
      </c>
      <c r="D812" s="66">
        <v>3</v>
      </c>
      <c r="E812" s="67"/>
      <c r="F812" s="68">
        <v>40</v>
      </c>
      <c r="G812" s="65"/>
      <c r="H812" s="69"/>
      <c r="I812" s="70"/>
      <c r="J812" s="70"/>
      <c r="K812" s="34" t="s">
        <v>65</v>
      </c>
      <c r="L812" s="77">
        <v>812</v>
      </c>
      <c r="M812" s="77"/>
      <c r="N812" s="72"/>
      <c r="O812" s="79" t="s">
        <v>610</v>
      </c>
      <c r="P812" s="79">
        <v>1</v>
      </c>
      <c r="Q812" s="78" t="str">
        <f>REPLACE(INDEX(GroupVertices[Group],MATCH(Edges[[#This Row],[Vertex 1]],GroupVertices[Vertex],0)),1,1,"")</f>
        <v>emystifying Medicine McMaster</v>
      </c>
      <c r="R812" s="78" t="str">
        <f>REPLACE(INDEX(GroupVertices[Group],MATCH(Edges[[#This Row],[Vertex 2]],GroupVertices[Vertex],0)),1,1,"")</f>
        <v>emystifying Medicine McMaster</v>
      </c>
    </row>
    <row r="813" spans="1:18" ht="15">
      <c r="A813" s="64" t="s">
        <v>245</v>
      </c>
      <c r="B813" s="64" t="s">
        <v>603</v>
      </c>
      <c r="C813" s="65" t="s">
        <v>4443</v>
      </c>
      <c r="D813" s="66">
        <v>3</v>
      </c>
      <c r="E813" s="67"/>
      <c r="F813" s="68">
        <v>40</v>
      </c>
      <c r="G813" s="65"/>
      <c r="H813" s="69"/>
      <c r="I813" s="70"/>
      <c r="J813" s="70"/>
      <c r="K813" s="34" t="s">
        <v>65</v>
      </c>
      <c r="L813" s="77">
        <v>813</v>
      </c>
      <c r="M813" s="77"/>
      <c r="N813" s="72"/>
      <c r="O813" s="79" t="s">
        <v>610</v>
      </c>
      <c r="P813" s="79">
        <v>1</v>
      </c>
      <c r="Q813" s="78" t="str">
        <f>REPLACE(INDEX(GroupVertices[Group],MATCH(Edges[[#This Row],[Vertex 1]],GroupVertices[Vertex],0)),1,1,"")</f>
        <v>emystifying Medicine McMaster</v>
      </c>
      <c r="R813" s="78" t="str">
        <f>REPLACE(INDEX(GroupVertices[Group],MATCH(Edges[[#This Row],[Vertex 2]],GroupVertices[Vertex],0)),1,1,"")</f>
        <v>emystifying Medicine McMaster</v>
      </c>
    </row>
    <row r="814" spans="1:18" ht="15">
      <c r="A814" s="64" t="s">
        <v>245</v>
      </c>
      <c r="B814" s="64" t="s">
        <v>599</v>
      </c>
      <c r="C814" s="65" t="s">
        <v>4443</v>
      </c>
      <c r="D814" s="66">
        <v>3</v>
      </c>
      <c r="E814" s="67"/>
      <c r="F814" s="68">
        <v>40</v>
      </c>
      <c r="G814" s="65"/>
      <c r="H814" s="69"/>
      <c r="I814" s="70"/>
      <c r="J814" s="70"/>
      <c r="K814" s="34" t="s">
        <v>65</v>
      </c>
      <c r="L814" s="77">
        <v>814</v>
      </c>
      <c r="M814" s="77"/>
      <c r="N814" s="72"/>
      <c r="O814" s="79" t="s">
        <v>610</v>
      </c>
      <c r="P814" s="79">
        <v>1</v>
      </c>
      <c r="Q814" s="78" t="str">
        <f>REPLACE(INDEX(GroupVertices[Group],MATCH(Edges[[#This Row],[Vertex 1]],GroupVertices[Vertex],0)),1,1,"")</f>
        <v>emystifying Medicine McMaster</v>
      </c>
      <c r="R814" s="78" t="str">
        <f>REPLACE(INDEX(GroupVertices[Group],MATCH(Edges[[#This Row],[Vertex 2]],GroupVertices[Vertex],0)),1,1,"")</f>
        <v>emystifying Medicine McMaster</v>
      </c>
    </row>
    <row r="815" spans="1:18" ht="15">
      <c r="A815" s="64" t="s">
        <v>245</v>
      </c>
      <c r="B815" s="64" t="s">
        <v>598</v>
      </c>
      <c r="C815" s="65" t="s">
        <v>4443</v>
      </c>
      <c r="D815" s="66">
        <v>3</v>
      </c>
      <c r="E815" s="67"/>
      <c r="F815" s="68">
        <v>40</v>
      </c>
      <c r="G815" s="65"/>
      <c r="H815" s="69"/>
      <c r="I815" s="70"/>
      <c r="J815" s="70"/>
      <c r="K815" s="34" t="s">
        <v>65</v>
      </c>
      <c r="L815" s="77">
        <v>815</v>
      </c>
      <c r="M815" s="77"/>
      <c r="N815" s="72"/>
      <c r="O815" s="79" t="s">
        <v>610</v>
      </c>
      <c r="P815" s="79">
        <v>1</v>
      </c>
      <c r="Q815" s="78" t="str">
        <f>REPLACE(INDEX(GroupVertices[Group],MATCH(Edges[[#This Row],[Vertex 1]],GroupVertices[Vertex],0)),1,1,"")</f>
        <v>emystifying Medicine McMaster</v>
      </c>
      <c r="R815" s="78" t="str">
        <f>REPLACE(INDEX(GroupVertices[Group],MATCH(Edges[[#This Row],[Vertex 2]],GroupVertices[Vertex],0)),1,1,"")</f>
        <v>emystifying Medicine McMaster</v>
      </c>
    </row>
    <row r="816" spans="1:18" ht="15">
      <c r="A816" s="64" t="s">
        <v>245</v>
      </c>
      <c r="B816" s="64" t="s">
        <v>343</v>
      </c>
      <c r="C816" s="65" t="s">
        <v>4443</v>
      </c>
      <c r="D816" s="66">
        <v>3</v>
      </c>
      <c r="E816" s="67"/>
      <c r="F816" s="68">
        <v>40</v>
      </c>
      <c r="G816" s="65"/>
      <c r="H816" s="69"/>
      <c r="I816" s="70"/>
      <c r="J816" s="70"/>
      <c r="K816" s="34" t="s">
        <v>65</v>
      </c>
      <c r="L816" s="77">
        <v>816</v>
      </c>
      <c r="M816" s="77"/>
      <c r="N816" s="72"/>
      <c r="O816" s="79" t="s">
        <v>610</v>
      </c>
      <c r="P816" s="79">
        <v>1</v>
      </c>
      <c r="Q816" s="78" t="str">
        <f>REPLACE(INDEX(GroupVertices[Group],MATCH(Edges[[#This Row],[Vertex 1]],GroupVertices[Vertex],0)),1,1,"")</f>
        <v>emystifying Medicine McMaster</v>
      </c>
      <c r="R816" s="78" t="str">
        <f>REPLACE(INDEX(GroupVertices[Group],MATCH(Edges[[#This Row],[Vertex 2]],GroupVertices[Vertex],0)),1,1,"")</f>
        <v>لمعلم النفسي Psychiatric Teacher</v>
      </c>
    </row>
    <row r="817" spans="1:18" ht="15">
      <c r="A817" s="64" t="s">
        <v>245</v>
      </c>
      <c r="B817" s="64" t="s">
        <v>209</v>
      </c>
      <c r="C817" s="65" t="s">
        <v>4444</v>
      </c>
      <c r="D817" s="66">
        <v>3</v>
      </c>
      <c r="E817" s="67"/>
      <c r="F817" s="68">
        <v>40</v>
      </c>
      <c r="G817" s="65"/>
      <c r="H817" s="69"/>
      <c r="I817" s="70"/>
      <c r="J817" s="70"/>
      <c r="K817" s="34" t="s">
        <v>66</v>
      </c>
      <c r="L817" s="77">
        <v>817</v>
      </c>
      <c r="M817" s="77"/>
      <c r="N817" s="72"/>
      <c r="O817" s="79" t="s">
        <v>610</v>
      </c>
      <c r="P817" s="79">
        <v>1</v>
      </c>
      <c r="Q817" s="78" t="str">
        <f>REPLACE(INDEX(GroupVertices[Group],MATCH(Edges[[#This Row],[Vertex 1]],GroupVertices[Vertex],0)),1,1,"")</f>
        <v>emystifying Medicine McMaster</v>
      </c>
      <c r="R817" s="78" t="str">
        <f>REPLACE(INDEX(GroupVertices[Group],MATCH(Edges[[#This Row],[Vertex 2]],GroupVertices[Vertex],0)),1,1,"")</f>
        <v>owcast</v>
      </c>
    </row>
    <row r="818" spans="1:18" ht="15">
      <c r="A818" s="64" t="s">
        <v>245</v>
      </c>
      <c r="B818" s="64" t="s">
        <v>609</v>
      </c>
      <c r="C818" s="65" t="s">
        <v>4443</v>
      </c>
      <c r="D818" s="66">
        <v>3</v>
      </c>
      <c r="E818" s="67"/>
      <c r="F818" s="68">
        <v>40</v>
      </c>
      <c r="G818" s="65"/>
      <c r="H818" s="69"/>
      <c r="I818" s="70"/>
      <c r="J818" s="70"/>
      <c r="K818" s="34" t="s">
        <v>65</v>
      </c>
      <c r="L818" s="77">
        <v>818</v>
      </c>
      <c r="M818" s="77"/>
      <c r="N818" s="72"/>
      <c r="O818" s="79" t="s">
        <v>610</v>
      </c>
      <c r="P818" s="79">
        <v>1</v>
      </c>
      <c r="Q818" s="78" t="str">
        <f>REPLACE(INDEX(GroupVertices[Group],MATCH(Edges[[#This Row],[Vertex 1]],GroupVertices[Vertex],0)),1,1,"")</f>
        <v>emystifying Medicine McMaster</v>
      </c>
      <c r="R818" s="78" t="str">
        <f>REPLACE(INDEX(GroupVertices[Group],MATCH(Edges[[#This Row],[Vertex 2]],GroupVertices[Vertex],0)),1,1,"")</f>
        <v>HADIS</v>
      </c>
    </row>
    <row r="819" spans="1:18" ht="15">
      <c r="A819" s="64" t="s">
        <v>245</v>
      </c>
      <c r="B819" s="64" t="s">
        <v>282</v>
      </c>
      <c r="C819" s="65" t="s">
        <v>4443</v>
      </c>
      <c r="D819" s="66">
        <v>3</v>
      </c>
      <c r="E819" s="67"/>
      <c r="F819" s="68">
        <v>40</v>
      </c>
      <c r="G819" s="65"/>
      <c r="H819" s="69"/>
      <c r="I819" s="70"/>
      <c r="J819" s="70"/>
      <c r="K819" s="34" t="s">
        <v>65</v>
      </c>
      <c r="L819" s="77">
        <v>819</v>
      </c>
      <c r="M819" s="77"/>
      <c r="N819" s="72"/>
      <c r="O819" s="79" t="s">
        <v>610</v>
      </c>
      <c r="P819" s="79">
        <v>1</v>
      </c>
      <c r="Q819" s="78" t="str">
        <f>REPLACE(INDEX(GroupVertices[Group],MATCH(Edges[[#This Row],[Vertex 1]],GroupVertices[Vertex],0)),1,1,"")</f>
        <v>emystifying Medicine McMaster</v>
      </c>
      <c r="R819" s="78" t="str">
        <f>REPLACE(INDEX(GroupVertices[Group],MATCH(Edges[[#This Row],[Vertex 2]],GroupVertices[Vertex],0)),1,1,"")</f>
        <v>ractical Behaviour Solutions</v>
      </c>
    </row>
    <row r="820" spans="1:18" ht="15">
      <c r="A820" s="64" t="s">
        <v>245</v>
      </c>
      <c r="B820" s="64" t="s">
        <v>284</v>
      </c>
      <c r="C820" s="65" t="s">
        <v>4443</v>
      </c>
      <c r="D820" s="66">
        <v>3</v>
      </c>
      <c r="E820" s="67"/>
      <c r="F820" s="68">
        <v>40</v>
      </c>
      <c r="G820" s="65"/>
      <c r="H820" s="69"/>
      <c r="I820" s="70"/>
      <c r="J820" s="70"/>
      <c r="K820" s="34" t="s">
        <v>65</v>
      </c>
      <c r="L820" s="77">
        <v>820</v>
      </c>
      <c r="M820" s="77"/>
      <c r="N820" s="72"/>
      <c r="O820" s="79" t="s">
        <v>610</v>
      </c>
      <c r="P820" s="79">
        <v>1</v>
      </c>
      <c r="Q820" s="78" t="str">
        <f>REPLACE(INDEX(GroupVertices[Group],MATCH(Edges[[#This Row],[Vertex 1]],GroupVertices[Vertex],0)),1,1,"")</f>
        <v>emystifying Medicine McMaster</v>
      </c>
      <c r="R820" s="78" t="str">
        <f>REPLACE(INDEX(GroupVertices[Group],MATCH(Edges[[#This Row],[Vertex 2]],GroupVertices[Vertex],0)),1,1,"")</f>
        <v>EDx Talks</v>
      </c>
    </row>
    <row r="821" spans="1:18" ht="15">
      <c r="A821" s="64" t="s">
        <v>245</v>
      </c>
      <c r="B821" s="64" t="s">
        <v>207</v>
      </c>
      <c r="C821" s="65" t="s">
        <v>4443</v>
      </c>
      <c r="D821" s="66">
        <v>3</v>
      </c>
      <c r="E821" s="67"/>
      <c r="F821" s="68">
        <v>40</v>
      </c>
      <c r="G821" s="65"/>
      <c r="H821" s="69"/>
      <c r="I821" s="70"/>
      <c r="J821" s="70"/>
      <c r="K821" s="34" t="s">
        <v>65</v>
      </c>
      <c r="L821" s="77">
        <v>821</v>
      </c>
      <c r="M821" s="77"/>
      <c r="N821" s="72"/>
      <c r="O821" s="79" t="s">
        <v>610</v>
      </c>
      <c r="P821" s="79">
        <v>1</v>
      </c>
      <c r="Q821" s="78" t="str">
        <f>REPLACE(INDEX(GroupVertices[Group],MATCH(Edges[[#This Row],[Vertex 1]],GroupVertices[Vertex],0)),1,1,"")</f>
        <v>emystifying Medicine McMaster</v>
      </c>
      <c r="R821" s="78" t="str">
        <f>REPLACE(INDEX(GroupVertices[Group],MATCH(Edges[[#This Row],[Vertex 2]],GroupVertices[Vertex],0)),1,1,"")</f>
        <v>oc Snipes</v>
      </c>
    </row>
    <row r="822" spans="1:18" ht="15">
      <c r="A822" s="64" t="s">
        <v>245</v>
      </c>
      <c r="B822" s="64" t="s">
        <v>243</v>
      </c>
      <c r="C822" s="65" t="s">
        <v>4443</v>
      </c>
      <c r="D822" s="66">
        <v>3</v>
      </c>
      <c r="E822" s="67"/>
      <c r="F822" s="68">
        <v>40</v>
      </c>
      <c r="G822" s="65"/>
      <c r="H822" s="69"/>
      <c r="I822" s="70"/>
      <c r="J822" s="70"/>
      <c r="K822" s="34" t="s">
        <v>65</v>
      </c>
      <c r="L822" s="77">
        <v>822</v>
      </c>
      <c r="M822" s="77"/>
      <c r="N822" s="72"/>
      <c r="O822" s="79" t="s">
        <v>610</v>
      </c>
      <c r="P822" s="79">
        <v>1</v>
      </c>
      <c r="Q822" s="78" t="str">
        <f>REPLACE(INDEX(GroupVertices[Group],MATCH(Edges[[#This Row],[Vertex 1]],GroupVertices[Vertex],0)),1,1,"")</f>
        <v>emystifying Medicine McMaster</v>
      </c>
      <c r="R822" s="78" t="str">
        <f>REPLACE(INDEX(GroupVertices[Group],MATCH(Edges[[#This Row],[Vertex 2]],GroupVertices[Vertex],0)),1,1,"")</f>
        <v>emorable Psychiatry and Neurology</v>
      </c>
    </row>
    <row r="823" spans="1:18" ht="15">
      <c r="A823" s="64" t="s">
        <v>245</v>
      </c>
      <c r="B823" s="64" t="s">
        <v>270</v>
      </c>
      <c r="C823" s="65" t="s">
        <v>4443</v>
      </c>
      <c r="D823" s="66">
        <v>3</v>
      </c>
      <c r="E823" s="67"/>
      <c r="F823" s="68">
        <v>40</v>
      </c>
      <c r="G823" s="65"/>
      <c r="H823" s="69"/>
      <c r="I823" s="70"/>
      <c r="J823" s="70"/>
      <c r="K823" s="34" t="s">
        <v>65</v>
      </c>
      <c r="L823" s="77">
        <v>823</v>
      </c>
      <c r="M823" s="77"/>
      <c r="N823" s="72"/>
      <c r="O823" s="79" t="s">
        <v>610</v>
      </c>
      <c r="P823" s="79">
        <v>1</v>
      </c>
      <c r="Q823" s="78" t="str">
        <f>REPLACE(INDEX(GroupVertices[Group],MATCH(Edges[[#This Row],[Vertex 1]],GroupVertices[Vertex],0)),1,1,"")</f>
        <v>emystifying Medicine McMaster</v>
      </c>
      <c r="R823" s="78" t="str">
        <f>REPLACE(INDEX(GroupVertices[Group],MATCH(Edges[[#This Row],[Vertex 2]],GroupVertices[Vertex],0)),1,1,"")</f>
        <v>r. Todd Grande</v>
      </c>
    </row>
    <row r="824" spans="1:18" ht="15">
      <c r="A824" s="64" t="s">
        <v>245</v>
      </c>
      <c r="B824" s="64" t="s">
        <v>247</v>
      </c>
      <c r="C824" s="65" t="s">
        <v>4443</v>
      </c>
      <c r="D824" s="66">
        <v>3</v>
      </c>
      <c r="E824" s="67"/>
      <c r="F824" s="68">
        <v>40</v>
      </c>
      <c r="G824" s="65"/>
      <c r="H824" s="69"/>
      <c r="I824" s="70"/>
      <c r="J824" s="70"/>
      <c r="K824" s="34" t="s">
        <v>65</v>
      </c>
      <c r="L824" s="77">
        <v>824</v>
      </c>
      <c r="M824" s="77"/>
      <c r="N824" s="72"/>
      <c r="O824" s="79" t="s">
        <v>610</v>
      </c>
      <c r="P824" s="79">
        <v>1</v>
      </c>
      <c r="Q824" s="78" t="str">
        <f>REPLACE(INDEX(GroupVertices[Group],MATCH(Edges[[#This Row],[Vertex 1]],GroupVertices[Vertex],0)),1,1,"")</f>
        <v>emystifying Medicine McMaster</v>
      </c>
      <c r="R824" s="78" t="str">
        <f>REPLACE(INDEX(GroupVertices[Group],MATCH(Edges[[#This Row],[Vertex 2]],GroupVertices[Vertex],0)),1,1,"")</f>
        <v>ODAY</v>
      </c>
    </row>
    <row r="825" spans="1:18" ht="15">
      <c r="A825" s="64" t="s">
        <v>245</v>
      </c>
      <c r="B825" s="64" t="s">
        <v>215</v>
      </c>
      <c r="C825" s="65" t="s">
        <v>4444</v>
      </c>
      <c r="D825" s="66">
        <v>3</v>
      </c>
      <c r="E825" s="67"/>
      <c r="F825" s="68">
        <v>40</v>
      </c>
      <c r="G825" s="65"/>
      <c r="H825" s="69"/>
      <c r="I825" s="70"/>
      <c r="J825" s="70"/>
      <c r="K825" s="34" t="s">
        <v>66</v>
      </c>
      <c r="L825" s="77">
        <v>825</v>
      </c>
      <c r="M825" s="77"/>
      <c r="N825" s="72"/>
      <c r="O825" s="79" t="s">
        <v>610</v>
      </c>
      <c r="P825" s="79">
        <v>1</v>
      </c>
      <c r="Q825" s="78" t="str">
        <f>REPLACE(INDEX(GroupVertices[Group],MATCH(Edges[[#This Row],[Vertex 1]],GroupVertices[Vertex],0)),1,1,"")</f>
        <v>emystifying Medicine McMaster</v>
      </c>
      <c r="R825" s="78" t="str">
        <f>REPLACE(INDEX(GroupVertices[Group],MATCH(Edges[[#This Row],[Vertex 2]],GroupVertices[Vertex],0)),1,1,"")</f>
        <v>edical Centric</v>
      </c>
    </row>
    <row r="826" spans="1:18" ht="15">
      <c r="A826" s="64" t="s">
        <v>245</v>
      </c>
      <c r="B826" s="64" t="s">
        <v>244</v>
      </c>
      <c r="C826" s="65" t="s">
        <v>4444</v>
      </c>
      <c r="D826" s="66">
        <v>3</v>
      </c>
      <c r="E826" s="67"/>
      <c r="F826" s="68">
        <v>40</v>
      </c>
      <c r="G826" s="65"/>
      <c r="H826" s="69"/>
      <c r="I826" s="70"/>
      <c r="J826" s="70"/>
      <c r="K826" s="34" t="s">
        <v>66</v>
      </c>
      <c r="L826" s="77">
        <v>826</v>
      </c>
      <c r="M826" s="77"/>
      <c r="N826" s="72"/>
      <c r="O826" s="79" t="s">
        <v>610</v>
      </c>
      <c r="P826" s="79">
        <v>1</v>
      </c>
      <c r="Q826" s="78" t="str">
        <f>REPLACE(INDEX(GroupVertices[Group],MATCH(Edges[[#This Row],[Vertex 1]],GroupVertices[Vertex],0)),1,1,"")</f>
        <v>emystifying Medicine McMaster</v>
      </c>
      <c r="R826" s="78" t="str">
        <f>REPLACE(INDEX(GroupVertices[Group],MATCH(Edges[[#This Row],[Vertex 2]],GroupVertices[Vertex],0)),1,1,"")</f>
        <v>ati Morton</v>
      </c>
    </row>
    <row r="827" spans="1:18" ht="15">
      <c r="A827" s="64" t="s">
        <v>221</v>
      </c>
      <c r="B827" s="64" t="s">
        <v>214</v>
      </c>
      <c r="C827" s="65" t="s">
        <v>4443</v>
      </c>
      <c r="D827" s="66">
        <v>3</v>
      </c>
      <c r="E827" s="67"/>
      <c r="F827" s="68">
        <v>40</v>
      </c>
      <c r="G827" s="65"/>
      <c r="H827" s="69"/>
      <c r="I827" s="70"/>
      <c r="J827" s="70"/>
      <c r="K827" s="34" t="s">
        <v>65</v>
      </c>
      <c r="L827" s="77">
        <v>827</v>
      </c>
      <c r="M827" s="77"/>
      <c r="N827" s="72"/>
      <c r="O827" s="79" t="s">
        <v>610</v>
      </c>
      <c r="P827" s="79">
        <v>1</v>
      </c>
      <c r="Q827" s="78" t="str">
        <f>REPLACE(INDEX(GroupVertices[Group],MATCH(Edges[[#This Row],[Vertex 1]],GroupVertices[Vertex],0)),1,1,"")</f>
        <v>nlineCEUCredit</v>
      </c>
      <c r="R827" s="78" t="str">
        <f>REPLACE(INDEX(GroupVertices[Group],MATCH(Edges[[#This Row],[Vertex 2]],GroupVertices[Vertex],0)),1,1,"")</f>
        <v>nlineCEUCredit</v>
      </c>
    </row>
    <row r="828" spans="1:18" ht="15">
      <c r="A828" s="64" t="s">
        <v>221</v>
      </c>
      <c r="B828" s="64" t="s">
        <v>326</v>
      </c>
      <c r="C828" s="65" t="s">
        <v>4443</v>
      </c>
      <c r="D828" s="66">
        <v>3</v>
      </c>
      <c r="E828" s="67"/>
      <c r="F828" s="68">
        <v>40</v>
      </c>
      <c r="G828" s="65"/>
      <c r="H828" s="69"/>
      <c r="I828" s="70"/>
      <c r="J828" s="70"/>
      <c r="K828" s="34" t="s">
        <v>65</v>
      </c>
      <c r="L828" s="77">
        <v>828</v>
      </c>
      <c r="M828" s="77"/>
      <c r="N828" s="72"/>
      <c r="O828" s="79" t="s">
        <v>610</v>
      </c>
      <c r="P828" s="79">
        <v>1</v>
      </c>
      <c r="Q828" s="78" t="str">
        <f>REPLACE(INDEX(GroupVertices[Group],MATCH(Edges[[#This Row],[Vertex 1]],GroupVertices[Vertex],0)),1,1,"")</f>
        <v>nlineCEUCredit</v>
      </c>
      <c r="R828" s="78" t="str">
        <f>REPLACE(INDEX(GroupVertices[Group],MATCH(Edges[[#This Row],[Vertex 2]],GroupVertices[Vertex],0)),1,1,"")</f>
        <v>eady Study Go</v>
      </c>
    </row>
    <row r="829" spans="1:18" ht="15">
      <c r="A829" s="64" t="s">
        <v>221</v>
      </c>
      <c r="B829" s="64" t="s">
        <v>346</v>
      </c>
      <c r="C829" s="65" t="s">
        <v>4443</v>
      </c>
      <c r="D829" s="66">
        <v>3</v>
      </c>
      <c r="E829" s="67"/>
      <c r="F829" s="68">
        <v>40</v>
      </c>
      <c r="G829" s="65"/>
      <c r="H829" s="69"/>
      <c r="I829" s="70"/>
      <c r="J829" s="70"/>
      <c r="K829" s="34" t="s">
        <v>65</v>
      </c>
      <c r="L829" s="77">
        <v>829</v>
      </c>
      <c r="M829" s="77"/>
      <c r="N829" s="72"/>
      <c r="O829" s="79" t="s">
        <v>610</v>
      </c>
      <c r="P829" s="79">
        <v>1</v>
      </c>
      <c r="Q829" s="78" t="str">
        <f>REPLACE(INDEX(GroupVertices[Group],MATCH(Edges[[#This Row],[Vertex 1]],GroupVertices[Vertex],0)),1,1,"")</f>
        <v>nlineCEUCredit</v>
      </c>
      <c r="R829" s="78" t="str">
        <f>REPLACE(INDEX(GroupVertices[Group],MATCH(Edges[[#This Row],[Vertex 2]],GroupVertices[Vertex],0)),1,1,"")</f>
        <v>nlineCEUCredit</v>
      </c>
    </row>
    <row r="830" spans="1:18" ht="15">
      <c r="A830" s="64" t="s">
        <v>221</v>
      </c>
      <c r="B830" s="64" t="s">
        <v>328</v>
      </c>
      <c r="C830" s="65" t="s">
        <v>4443</v>
      </c>
      <c r="D830" s="66">
        <v>3</v>
      </c>
      <c r="E830" s="67"/>
      <c r="F830" s="68">
        <v>40</v>
      </c>
      <c r="G830" s="65"/>
      <c r="H830" s="69"/>
      <c r="I830" s="70"/>
      <c r="J830" s="70"/>
      <c r="K830" s="34" t="s">
        <v>65</v>
      </c>
      <c r="L830" s="77">
        <v>830</v>
      </c>
      <c r="M830" s="77"/>
      <c r="N830" s="72"/>
      <c r="O830" s="79" t="s">
        <v>610</v>
      </c>
      <c r="P830" s="79">
        <v>1</v>
      </c>
      <c r="Q830" s="78" t="str">
        <f>REPLACE(INDEX(GroupVertices[Group],MATCH(Edges[[#This Row],[Vertex 1]],GroupVertices[Vertex],0)),1,1,"")</f>
        <v>nlineCEUCredit</v>
      </c>
      <c r="R830" s="78" t="str">
        <f>REPLACE(INDEX(GroupVertices[Group],MATCH(Edges[[#This Row],[Vertex 2]],GroupVertices[Vertex],0)),1,1,"")</f>
        <v>nlineCEUCredit</v>
      </c>
    </row>
    <row r="831" spans="1:18" ht="15">
      <c r="A831" s="64" t="s">
        <v>221</v>
      </c>
      <c r="B831" s="64" t="s">
        <v>327</v>
      </c>
      <c r="C831" s="65" t="s">
        <v>4443</v>
      </c>
      <c r="D831" s="66">
        <v>3</v>
      </c>
      <c r="E831" s="67"/>
      <c r="F831" s="68">
        <v>40</v>
      </c>
      <c r="G831" s="65"/>
      <c r="H831" s="69"/>
      <c r="I831" s="70"/>
      <c r="J831" s="70"/>
      <c r="K831" s="34" t="s">
        <v>65</v>
      </c>
      <c r="L831" s="77">
        <v>831</v>
      </c>
      <c r="M831" s="77"/>
      <c r="N831" s="72"/>
      <c r="O831" s="79" t="s">
        <v>610</v>
      </c>
      <c r="P831" s="79">
        <v>1</v>
      </c>
      <c r="Q831" s="78" t="str">
        <f>REPLACE(INDEX(GroupVertices[Group],MATCH(Edges[[#This Row],[Vertex 1]],GroupVertices[Vertex],0)),1,1,"")</f>
        <v>nlineCEUCredit</v>
      </c>
      <c r="R831" s="78" t="str">
        <f>REPLACE(INDEX(GroupVertices[Group],MATCH(Edges[[#This Row],[Vertex 2]],GroupVertices[Vertex],0)),1,1,"")</f>
        <v>nlineCEUCredit</v>
      </c>
    </row>
    <row r="832" spans="1:18" ht="15">
      <c r="A832" s="64" t="s">
        <v>221</v>
      </c>
      <c r="B832" s="64" t="s">
        <v>330</v>
      </c>
      <c r="C832" s="65" t="s">
        <v>4443</v>
      </c>
      <c r="D832" s="66">
        <v>3</v>
      </c>
      <c r="E832" s="67"/>
      <c r="F832" s="68">
        <v>40</v>
      </c>
      <c r="G832" s="65"/>
      <c r="H832" s="69"/>
      <c r="I832" s="70"/>
      <c r="J832" s="70"/>
      <c r="K832" s="34" t="s">
        <v>65</v>
      </c>
      <c r="L832" s="77">
        <v>832</v>
      </c>
      <c r="M832" s="77"/>
      <c r="N832" s="72"/>
      <c r="O832" s="79" t="s">
        <v>610</v>
      </c>
      <c r="P832" s="79">
        <v>1</v>
      </c>
      <c r="Q832" s="78" t="str">
        <f>REPLACE(INDEX(GroupVertices[Group],MATCH(Edges[[#This Row],[Vertex 1]],GroupVertices[Vertex],0)),1,1,"")</f>
        <v>nlineCEUCredit</v>
      </c>
      <c r="R832" s="78" t="str">
        <f>REPLACE(INDEX(GroupVertices[Group],MATCH(Edges[[#This Row],[Vertex 2]],GroupVertices[Vertex],0)),1,1,"")</f>
        <v>nlineCEUCredit</v>
      </c>
    </row>
    <row r="833" spans="1:18" ht="15">
      <c r="A833" s="64" t="s">
        <v>221</v>
      </c>
      <c r="B833" s="64" t="s">
        <v>329</v>
      </c>
      <c r="C833" s="65" t="s">
        <v>4443</v>
      </c>
      <c r="D833" s="66">
        <v>3</v>
      </c>
      <c r="E833" s="67"/>
      <c r="F833" s="68">
        <v>40</v>
      </c>
      <c r="G833" s="65"/>
      <c r="H833" s="69"/>
      <c r="I833" s="70"/>
      <c r="J833" s="70"/>
      <c r="K833" s="34" t="s">
        <v>65</v>
      </c>
      <c r="L833" s="77">
        <v>833</v>
      </c>
      <c r="M833" s="77"/>
      <c r="N833" s="72"/>
      <c r="O833" s="79" t="s">
        <v>610</v>
      </c>
      <c r="P833" s="79">
        <v>1</v>
      </c>
      <c r="Q833" s="78" t="str">
        <f>REPLACE(INDEX(GroupVertices[Group],MATCH(Edges[[#This Row],[Vertex 1]],GroupVertices[Vertex],0)),1,1,"")</f>
        <v>nlineCEUCredit</v>
      </c>
      <c r="R833" s="78" t="str">
        <f>REPLACE(INDEX(GroupVertices[Group],MATCH(Edges[[#This Row],[Vertex 2]],GroupVertices[Vertex],0)),1,1,"")</f>
        <v>nlineCEUCredit</v>
      </c>
    </row>
    <row r="834" spans="1:18" ht="15">
      <c r="A834" s="64" t="s">
        <v>221</v>
      </c>
      <c r="B834" s="64" t="s">
        <v>338</v>
      </c>
      <c r="C834" s="65" t="s">
        <v>4443</v>
      </c>
      <c r="D834" s="66">
        <v>3</v>
      </c>
      <c r="E834" s="67"/>
      <c r="F834" s="68">
        <v>40</v>
      </c>
      <c r="G834" s="65"/>
      <c r="H834" s="69"/>
      <c r="I834" s="70"/>
      <c r="J834" s="70"/>
      <c r="K834" s="34" t="s">
        <v>65</v>
      </c>
      <c r="L834" s="77">
        <v>834</v>
      </c>
      <c r="M834" s="77"/>
      <c r="N834" s="72"/>
      <c r="O834" s="79" t="s">
        <v>610</v>
      </c>
      <c r="P834" s="79">
        <v>1</v>
      </c>
      <c r="Q834" s="78" t="str">
        <f>REPLACE(INDEX(GroupVertices[Group],MATCH(Edges[[#This Row],[Vertex 1]],GroupVertices[Vertex],0)),1,1,"")</f>
        <v>nlineCEUCredit</v>
      </c>
      <c r="R834" s="78" t="str">
        <f>REPLACE(INDEX(GroupVertices[Group],MATCH(Edges[[#This Row],[Vertex 2]],GroupVertices[Vertex],0)),1,1,"")</f>
        <v>nlineCEUCredit</v>
      </c>
    </row>
    <row r="835" spans="1:18" ht="15">
      <c r="A835" s="64" t="s">
        <v>221</v>
      </c>
      <c r="B835" s="64" t="s">
        <v>334</v>
      </c>
      <c r="C835" s="65" t="s">
        <v>4443</v>
      </c>
      <c r="D835" s="66">
        <v>3</v>
      </c>
      <c r="E835" s="67"/>
      <c r="F835" s="68">
        <v>40</v>
      </c>
      <c r="G835" s="65"/>
      <c r="H835" s="69"/>
      <c r="I835" s="70"/>
      <c r="J835" s="70"/>
      <c r="K835" s="34" t="s">
        <v>65</v>
      </c>
      <c r="L835" s="77">
        <v>835</v>
      </c>
      <c r="M835" s="77"/>
      <c r="N835" s="72"/>
      <c r="O835" s="79" t="s">
        <v>610</v>
      </c>
      <c r="P835" s="79">
        <v>1</v>
      </c>
      <c r="Q835" s="78" t="str">
        <f>REPLACE(INDEX(GroupVertices[Group],MATCH(Edges[[#This Row],[Vertex 1]],GroupVertices[Vertex],0)),1,1,"")</f>
        <v>nlineCEUCredit</v>
      </c>
      <c r="R835" s="78" t="str">
        <f>REPLACE(INDEX(GroupVertices[Group],MATCH(Edges[[#This Row],[Vertex 2]],GroupVertices[Vertex],0)),1,1,"")</f>
        <v>nlineCEUCredit</v>
      </c>
    </row>
    <row r="836" spans="1:18" ht="15">
      <c r="A836" s="64" t="s">
        <v>221</v>
      </c>
      <c r="B836" s="64" t="s">
        <v>333</v>
      </c>
      <c r="C836" s="65" t="s">
        <v>4443</v>
      </c>
      <c r="D836" s="66">
        <v>3</v>
      </c>
      <c r="E836" s="67"/>
      <c r="F836" s="68">
        <v>40</v>
      </c>
      <c r="G836" s="65"/>
      <c r="H836" s="69"/>
      <c r="I836" s="70"/>
      <c r="J836" s="70"/>
      <c r="K836" s="34" t="s">
        <v>65</v>
      </c>
      <c r="L836" s="77">
        <v>836</v>
      </c>
      <c r="M836" s="77"/>
      <c r="N836" s="72"/>
      <c r="O836" s="79" t="s">
        <v>610</v>
      </c>
      <c r="P836" s="79">
        <v>1</v>
      </c>
      <c r="Q836" s="78" t="str">
        <f>REPLACE(INDEX(GroupVertices[Group],MATCH(Edges[[#This Row],[Vertex 1]],GroupVertices[Vertex],0)),1,1,"")</f>
        <v>nlineCEUCredit</v>
      </c>
      <c r="R836" s="78" t="str">
        <f>REPLACE(INDEX(GroupVertices[Group],MATCH(Edges[[#This Row],[Vertex 2]],GroupVertices[Vertex],0)),1,1,"")</f>
        <v>nlineCEUCredit</v>
      </c>
    </row>
    <row r="837" spans="1:18" ht="15">
      <c r="A837" s="64" t="s">
        <v>221</v>
      </c>
      <c r="B837" s="64" t="s">
        <v>336</v>
      </c>
      <c r="C837" s="65" t="s">
        <v>4443</v>
      </c>
      <c r="D837" s="66">
        <v>3</v>
      </c>
      <c r="E837" s="67"/>
      <c r="F837" s="68">
        <v>40</v>
      </c>
      <c r="G837" s="65"/>
      <c r="H837" s="69"/>
      <c r="I837" s="70"/>
      <c r="J837" s="70"/>
      <c r="K837" s="34" t="s">
        <v>65</v>
      </c>
      <c r="L837" s="77">
        <v>837</v>
      </c>
      <c r="M837" s="77"/>
      <c r="N837" s="72"/>
      <c r="O837" s="79" t="s">
        <v>610</v>
      </c>
      <c r="P837" s="79">
        <v>1</v>
      </c>
      <c r="Q837" s="78" t="str">
        <f>REPLACE(INDEX(GroupVertices[Group],MATCH(Edges[[#This Row],[Vertex 1]],GroupVertices[Vertex],0)),1,1,"")</f>
        <v>nlineCEUCredit</v>
      </c>
      <c r="R837" s="78" t="str">
        <f>REPLACE(INDEX(GroupVertices[Group],MATCH(Edges[[#This Row],[Vertex 2]],GroupVertices[Vertex],0)),1,1,"")</f>
        <v>nlineCEUCredit</v>
      </c>
    </row>
    <row r="838" spans="1:18" ht="15">
      <c r="A838" s="64" t="s">
        <v>221</v>
      </c>
      <c r="B838" s="64" t="s">
        <v>332</v>
      </c>
      <c r="C838" s="65" t="s">
        <v>4443</v>
      </c>
      <c r="D838" s="66">
        <v>3</v>
      </c>
      <c r="E838" s="67"/>
      <c r="F838" s="68">
        <v>40</v>
      </c>
      <c r="G838" s="65"/>
      <c r="H838" s="69"/>
      <c r="I838" s="70"/>
      <c r="J838" s="70"/>
      <c r="K838" s="34" t="s">
        <v>65</v>
      </c>
      <c r="L838" s="77">
        <v>838</v>
      </c>
      <c r="M838" s="77"/>
      <c r="N838" s="72"/>
      <c r="O838" s="79" t="s">
        <v>610</v>
      </c>
      <c r="P838" s="79">
        <v>1</v>
      </c>
      <c r="Q838" s="78" t="str">
        <f>REPLACE(INDEX(GroupVertices[Group],MATCH(Edges[[#This Row],[Vertex 1]],GroupVertices[Vertex],0)),1,1,"")</f>
        <v>nlineCEUCredit</v>
      </c>
      <c r="R838" s="78" t="str">
        <f>REPLACE(INDEX(GroupVertices[Group],MATCH(Edges[[#This Row],[Vertex 2]],GroupVertices[Vertex],0)),1,1,"")</f>
        <v>nlineCEUCredit</v>
      </c>
    </row>
    <row r="839" spans="1:18" ht="15">
      <c r="A839" s="64" t="s">
        <v>221</v>
      </c>
      <c r="B839" s="64" t="s">
        <v>337</v>
      </c>
      <c r="C839" s="65" t="s">
        <v>4443</v>
      </c>
      <c r="D839" s="66">
        <v>3</v>
      </c>
      <c r="E839" s="67"/>
      <c r="F839" s="68">
        <v>40</v>
      </c>
      <c r="G839" s="65"/>
      <c r="H839" s="69"/>
      <c r="I839" s="70"/>
      <c r="J839" s="70"/>
      <c r="K839" s="34" t="s">
        <v>65</v>
      </c>
      <c r="L839" s="77">
        <v>839</v>
      </c>
      <c r="M839" s="77"/>
      <c r="N839" s="72"/>
      <c r="O839" s="79" t="s">
        <v>610</v>
      </c>
      <c r="P839" s="79">
        <v>1</v>
      </c>
      <c r="Q839" s="78" t="str">
        <f>REPLACE(INDEX(GroupVertices[Group],MATCH(Edges[[#This Row],[Vertex 1]],GroupVertices[Vertex],0)),1,1,"")</f>
        <v>nlineCEUCredit</v>
      </c>
      <c r="R839" s="78" t="str">
        <f>REPLACE(INDEX(GroupVertices[Group],MATCH(Edges[[#This Row],[Vertex 2]],GroupVertices[Vertex],0)),1,1,"")</f>
        <v>nlineCEUCredit</v>
      </c>
    </row>
    <row r="840" spans="1:18" ht="15">
      <c r="A840" s="64" t="s">
        <v>221</v>
      </c>
      <c r="B840" s="64" t="s">
        <v>341</v>
      </c>
      <c r="C840" s="65" t="s">
        <v>4443</v>
      </c>
      <c r="D840" s="66">
        <v>3</v>
      </c>
      <c r="E840" s="67"/>
      <c r="F840" s="68">
        <v>40</v>
      </c>
      <c r="G840" s="65"/>
      <c r="H840" s="69"/>
      <c r="I840" s="70"/>
      <c r="J840" s="70"/>
      <c r="K840" s="34" t="s">
        <v>65</v>
      </c>
      <c r="L840" s="77">
        <v>840</v>
      </c>
      <c r="M840" s="77"/>
      <c r="N840" s="72"/>
      <c r="O840" s="79" t="s">
        <v>610</v>
      </c>
      <c r="P840" s="79">
        <v>1</v>
      </c>
      <c r="Q840" s="78" t="str">
        <f>REPLACE(INDEX(GroupVertices[Group],MATCH(Edges[[#This Row],[Vertex 1]],GroupVertices[Vertex],0)),1,1,"")</f>
        <v>nlineCEUCredit</v>
      </c>
      <c r="R840" s="78" t="str">
        <f>REPLACE(INDEX(GroupVertices[Group],MATCH(Edges[[#This Row],[Vertex 2]],GroupVertices[Vertex],0)),1,1,"")</f>
        <v>nlineCEUCredit</v>
      </c>
    </row>
    <row r="841" spans="1:18" ht="15">
      <c r="A841" s="64" t="s">
        <v>221</v>
      </c>
      <c r="B841" s="64" t="s">
        <v>331</v>
      </c>
      <c r="C841" s="65" t="s">
        <v>4443</v>
      </c>
      <c r="D841" s="66">
        <v>3</v>
      </c>
      <c r="E841" s="67"/>
      <c r="F841" s="68">
        <v>40</v>
      </c>
      <c r="G841" s="65"/>
      <c r="H841" s="69"/>
      <c r="I841" s="70"/>
      <c r="J841" s="70"/>
      <c r="K841" s="34" t="s">
        <v>65</v>
      </c>
      <c r="L841" s="77">
        <v>841</v>
      </c>
      <c r="M841" s="77"/>
      <c r="N841" s="72"/>
      <c r="O841" s="79" t="s">
        <v>610</v>
      </c>
      <c r="P841" s="79">
        <v>1</v>
      </c>
      <c r="Q841" s="78" t="str">
        <f>REPLACE(INDEX(GroupVertices[Group],MATCH(Edges[[#This Row],[Vertex 1]],GroupVertices[Vertex],0)),1,1,"")</f>
        <v>nlineCEUCredit</v>
      </c>
      <c r="R841" s="78" t="str">
        <f>REPLACE(INDEX(GroupVertices[Group],MATCH(Edges[[#This Row],[Vertex 2]],GroupVertices[Vertex],0)),1,1,"")</f>
        <v>nlineCEUCredit</v>
      </c>
    </row>
    <row r="842" spans="1:18" ht="15">
      <c r="A842" s="64" t="s">
        <v>221</v>
      </c>
      <c r="B842" s="64" t="s">
        <v>340</v>
      </c>
      <c r="C842" s="65" t="s">
        <v>4443</v>
      </c>
      <c r="D842" s="66">
        <v>3</v>
      </c>
      <c r="E842" s="67"/>
      <c r="F842" s="68">
        <v>40</v>
      </c>
      <c r="G842" s="65"/>
      <c r="H842" s="69"/>
      <c r="I842" s="70"/>
      <c r="J842" s="70"/>
      <c r="K842" s="34" t="s">
        <v>65</v>
      </c>
      <c r="L842" s="77">
        <v>842</v>
      </c>
      <c r="M842" s="77"/>
      <c r="N842" s="72"/>
      <c r="O842" s="79" t="s">
        <v>610</v>
      </c>
      <c r="P842" s="79">
        <v>1</v>
      </c>
      <c r="Q842" s="78" t="str">
        <f>REPLACE(INDEX(GroupVertices[Group],MATCH(Edges[[#This Row],[Vertex 1]],GroupVertices[Vertex],0)),1,1,"")</f>
        <v>nlineCEUCredit</v>
      </c>
      <c r="R842" s="78" t="str">
        <f>REPLACE(INDEX(GroupVertices[Group],MATCH(Edges[[#This Row],[Vertex 2]],GroupVertices[Vertex],0)),1,1,"")</f>
        <v>nlineCEUCredit</v>
      </c>
    </row>
    <row r="843" spans="1:18" ht="15">
      <c r="A843" s="64" t="s">
        <v>221</v>
      </c>
      <c r="B843" s="64" t="s">
        <v>339</v>
      </c>
      <c r="C843" s="65" t="s">
        <v>4443</v>
      </c>
      <c r="D843" s="66">
        <v>3</v>
      </c>
      <c r="E843" s="67"/>
      <c r="F843" s="68">
        <v>40</v>
      </c>
      <c r="G843" s="65"/>
      <c r="H843" s="69"/>
      <c r="I843" s="70"/>
      <c r="J843" s="70"/>
      <c r="K843" s="34" t="s">
        <v>65</v>
      </c>
      <c r="L843" s="77">
        <v>843</v>
      </c>
      <c r="M843" s="77"/>
      <c r="N843" s="72"/>
      <c r="O843" s="79" t="s">
        <v>610</v>
      </c>
      <c r="P843" s="79">
        <v>1</v>
      </c>
      <c r="Q843" s="78" t="str">
        <f>REPLACE(INDEX(GroupVertices[Group],MATCH(Edges[[#This Row],[Vertex 1]],GroupVertices[Vertex],0)),1,1,"")</f>
        <v>nlineCEUCredit</v>
      </c>
      <c r="R843" s="78" t="str">
        <f>REPLACE(INDEX(GroupVertices[Group],MATCH(Edges[[#This Row],[Vertex 2]],GroupVertices[Vertex],0)),1,1,"")</f>
        <v>nlineCEUCredit</v>
      </c>
    </row>
    <row r="844" spans="1:18" ht="15">
      <c r="A844" s="64" t="s">
        <v>207</v>
      </c>
      <c r="B844" s="64" t="s">
        <v>2246</v>
      </c>
      <c r="C844" s="65" t="s">
        <v>4443</v>
      </c>
      <c r="D844" s="66">
        <v>3</v>
      </c>
      <c r="E844" s="67"/>
      <c r="F844" s="68">
        <v>40</v>
      </c>
      <c r="G844" s="65"/>
      <c r="H844" s="69"/>
      <c r="I844" s="70"/>
      <c r="J844" s="70"/>
      <c r="K844" s="34" t="s">
        <v>65</v>
      </c>
      <c r="L844" s="77">
        <v>844</v>
      </c>
      <c r="M844" s="77"/>
      <c r="N844" s="72"/>
      <c r="O844" s="79" t="s">
        <v>610</v>
      </c>
      <c r="P844" s="79">
        <v>1</v>
      </c>
      <c r="Q844" s="78" t="str">
        <f>REPLACE(INDEX(GroupVertices[Group],MATCH(Edges[[#This Row],[Vertex 1]],GroupVertices[Vertex],0)),1,1,"")</f>
        <v>oc Snipes</v>
      </c>
      <c r="R844" s="78" t="str">
        <f>REPLACE(INDEX(GroupVertices[Group],MATCH(Edges[[#This Row],[Vertex 2]],GroupVertices[Vertex],0)),1,1,"")</f>
        <v>shley Watt</v>
      </c>
    </row>
    <row r="845" spans="1:18" ht="15">
      <c r="A845" s="64" t="s">
        <v>207</v>
      </c>
      <c r="B845" s="64" t="s">
        <v>2247</v>
      </c>
      <c r="C845" s="65" t="s">
        <v>4443</v>
      </c>
      <c r="D845" s="66">
        <v>3</v>
      </c>
      <c r="E845" s="67"/>
      <c r="F845" s="68">
        <v>40</v>
      </c>
      <c r="G845" s="65"/>
      <c r="H845" s="69"/>
      <c r="I845" s="70"/>
      <c r="J845" s="70"/>
      <c r="K845" s="34" t="s">
        <v>65</v>
      </c>
      <c r="L845" s="77">
        <v>845</v>
      </c>
      <c r="M845" s="77"/>
      <c r="N845" s="72"/>
      <c r="O845" s="79" t="s">
        <v>610</v>
      </c>
      <c r="P845" s="79">
        <v>1</v>
      </c>
      <c r="Q845" s="78" t="str">
        <f>REPLACE(INDEX(GroupVertices[Group],MATCH(Edges[[#This Row],[Vertex 1]],GroupVertices[Vertex],0)),1,1,"")</f>
        <v>oc Snipes</v>
      </c>
      <c r="R845" s="78" t="str">
        <f>REPLACE(INDEX(GroupVertices[Group],MATCH(Edges[[#This Row],[Vertex 2]],GroupVertices[Vertex],0)),1,1,"")</f>
        <v>lla Brown</v>
      </c>
    </row>
    <row r="846" spans="1:18" ht="15">
      <c r="A846" s="64" t="s">
        <v>207</v>
      </c>
      <c r="B846" s="64" t="s">
        <v>2248</v>
      </c>
      <c r="C846" s="65" t="s">
        <v>4443</v>
      </c>
      <c r="D846" s="66">
        <v>3</v>
      </c>
      <c r="E846" s="67"/>
      <c r="F846" s="68">
        <v>40</v>
      </c>
      <c r="G846" s="65"/>
      <c r="H846" s="69"/>
      <c r="I846" s="70"/>
      <c r="J846" s="70"/>
      <c r="K846" s="34" t="s">
        <v>65</v>
      </c>
      <c r="L846" s="77">
        <v>846</v>
      </c>
      <c r="M846" s="77"/>
      <c r="N846" s="72"/>
      <c r="O846" s="79" t="s">
        <v>610</v>
      </c>
      <c r="P846" s="79">
        <v>1</v>
      </c>
      <c r="Q846" s="78" t="str">
        <f>REPLACE(INDEX(GroupVertices[Group],MATCH(Edges[[#This Row],[Vertex 1]],GroupVertices[Vertex],0)),1,1,"")</f>
        <v>oc Snipes</v>
      </c>
      <c r="R846" s="78" t="str">
        <f>REPLACE(INDEX(GroupVertices[Group],MATCH(Edges[[#This Row],[Vertex 2]],GroupVertices[Vertex],0)),1,1,"")</f>
        <v>elly Murphy</v>
      </c>
    </row>
    <row r="847" spans="1:18" ht="15">
      <c r="A847" s="64" t="s">
        <v>207</v>
      </c>
      <c r="B847" s="64" t="s">
        <v>2249</v>
      </c>
      <c r="C847" s="65" t="s">
        <v>4443</v>
      </c>
      <c r="D847" s="66">
        <v>3</v>
      </c>
      <c r="E847" s="67"/>
      <c r="F847" s="68">
        <v>40</v>
      </c>
      <c r="G847" s="65"/>
      <c r="H847" s="69"/>
      <c r="I847" s="70"/>
      <c r="J847" s="70"/>
      <c r="K847" s="34" t="s">
        <v>65</v>
      </c>
      <c r="L847" s="77">
        <v>847</v>
      </c>
      <c r="M847" s="77"/>
      <c r="N847" s="72"/>
      <c r="O847" s="79" t="s">
        <v>610</v>
      </c>
      <c r="P847" s="79">
        <v>1</v>
      </c>
      <c r="Q847" s="78" t="str">
        <f>REPLACE(INDEX(GroupVertices[Group],MATCH(Edges[[#This Row],[Vertex 1]],GroupVertices[Vertex],0)),1,1,"")</f>
        <v>oc Snipes</v>
      </c>
      <c r="R847" s="78" t="str">
        <f>REPLACE(INDEX(GroupVertices[Group],MATCH(Edges[[#This Row],[Vertex 2]],GroupVertices[Vertex],0)),1,1,"")</f>
        <v>du Solve</v>
      </c>
    </row>
    <row r="848" spans="1:18" ht="15">
      <c r="A848" s="64" t="s">
        <v>207</v>
      </c>
      <c r="B848" s="64" t="s">
        <v>2250</v>
      </c>
      <c r="C848" s="65" t="s">
        <v>4443</v>
      </c>
      <c r="D848" s="66">
        <v>3</v>
      </c>
      <c r="E848" s="67"/>
      <c r="F848" s="68">
        <v>40</v>
      </c>
      <c r="G848" s="65"/>
      <c r="H848" s="69"/>
      <c r="I848" s="70"/>
      <c r="J848" s="70"/>
      <c r="K848" s="34" t="s">
        <v>65</v>
      </c>
      <c r="L848" s="77">
        <v>848</v>
      </c>
      <c r="M848" s="77"/>
      <c r="N848" s="72"/>
      <c r="O848" s="79" t="s">
        <v>610</v>
      </c>
      <c r="P848" s="79">
        <v>1</v>
      </c>
      <c r="Q848" s="78" t="str">
        <f>REPLACE(INDEX(GroupVertices[Group],MATCH(Edges[[#This Row],[Vertex 1]],GroupVertices[Vertex],0)),1,1,"")</f>
        <v>oc Snipes</v>
      </c>
      <c r="R848" s="78" t="str">
        <f>REPLACE(INDEX(GroupVertices[Group],MATCH(Edges[[#This Row],[Vertex 2]],GroupVertices[Vertex],0)),1,1,"")</f>
        <v>aley Unruh</v>
      </c>
    </row>
    <row r="849" spans="1:18" ht="15">
      <c r="A849" s="64" t="s">
        <v>207</v>
      </c>
      <c r="B849" s="64" t="s">
        <v>2251</v>
      </c>
      <c r="C849" s="65" t="s">
        <v>4443</v>
      </c>
      <c r="D849" s="66">
        <v>3</v>
      </c>
      <c r="E849" s="67"/>
      <c r="F849" s="68">
        <v>40</v>
      </c>
      <c r="G849" s="65"/>
      <c r="H849" s="69"/>
      <c r="I849" s="70"/>
      <c r="J849" s="70"/>
      <c r="K849" s="34" t="s">
        <v>65</v>
      </c>
      <c r="L849" s="77">
        <v>849</v>
      </c>
      <c r="M849" s="77"/>
      <c r="N849" s="72"/>
      <c r="O849" s="79" t="s">
        <v>610</v>
      </c>
      <c r="P849" s="79">
        <v>1</v>
      </c>
      <c r="Q849" s="78" t="str">
        <f>REPLACE(INDEX(GroupVertices[Group],MATCH(Edges[[#This Row],[Vertex 1]],GroupVertices[Vertex],0)),1,1,"")</f>
        <v>oc Snipes</v>
      </c>
      <c r="R849" s="78" t="str">
        <f>REPLACE(INDEX(GroupVertices[Group],MATCH(Edges[[#This Row],[Vertex 2]],GroupVertices[Vertex],0)),1,1,"")</f>
        <v>kyy</v>
      </c>
    </row>
    <row r="850" spans="1:18" ht="15">
      <c r="A850" s="64" t="s">
        <v>207</v>
      </c>
      <c r="B850" s="64" t="s">
        <v>2252</v>
      </c>
      <c r="C850" s="65" t="s">
        <v>4443</v>
      </c>
      <c r="D850" s="66">
        <v>3</v>
      </c>
      <c r="E850" s="67"/>
      <c r="F850" s="68">
        <v>40</v>
      </c>
      <c r="G850" s="65"/>
      <c r="H850" s="69"/>
      <c r="I850" s="70"/>
      <c r="J850" s="70"/>
      <c r="K850" s="34" t="s">
        <v>65</v>
      </c>
      <c r="L850" s="77">
        <v>850</v>
      </c>
      <c r="M850" s="77"/>
      <c r="N850" s="72"/>
      <c r="O850" s="79" t="s">
        <v>610</v>
      </c>
      <c r="P850" s="79">
        <v>1</v>
      </c>
      <c r="Q850" s="78" t="str">
        <f>REPLACE(INDEX(GroupVertices[Group],MATCH(Edges[[#This Row],[Vertex 1]],GroupVertices[Vertex],0)),1,1,"")</f>
        <v>oc Snipes</v>
      </c>
      <c r="R850" s="78" t="str">
        <f>REPLACE(INDEX(GroupVertices[Group],MATCH(Edges[[#This Row],[Vertex 2]],GroupVertices[Vertex],0)),1,1,"")</f>
        <v>hannon Peel</v>
      </c>
    </row>
    <row r="851" spans="1:18" ht="15">
      <c r="A851" s="64" t="s">
        <v>207</v>
      </c>
      <c r="B851" s="64" t="s">
        <v>2253</v>
      </c>
      <c r="C851" s="65" t="s">
        <v>4443</v>
      </c>
      <c r="D851" s="66">
        <v>3</v>
      </c>
      <c r="E851" s="67"/>
      <c r="F851" s="68">
        <v>40</v>
      </c>
      <c r="G851" s="65"/>
      <c r="H851" s="69"/>
      <c r="I851" s="70"/>
      <c r="J851" s="70"/>
      <c r="K851" s="34" t="s">
        <v>65</v>
      </c>
      <c r="L851" s="77">
        <v>851</v>
      </c>
      <c r="M851" s="77"/>
      <c r="N851" s="72"/>
      <c r="O851" s="79" t="s">
        <v>610</v>
      </c>
      <c r="P851" s="79">
        <v>1</v>
      </c>
      <c r="Q851" s="78" t="str">
        <f>REPLACE(INDEX(GroupVertices[Group],MATCH(Edges[[#This Row],[Vertex 1]],GroupVertices[Vertex],0)),1,1,"")</f>
        <v>oc Snipes</v>
      </c>
      <c r="R851" s="78" t="str">
        <f>REPLACE(INDEX(GroupVertices[Group],MATCH(Edges[[#This Row],[Vertex 2]],GroupVertices[Vertex],0)),1,1,"")</f>
        <v>nanta Sharma</v>
      </c>
    </row>
    <row r="852" spans="1:18" ht="15">
      <c r="A852" s="64" t="s">
        <v>207</v>
      </c>
      <c r="B852" s="64" t="s">
        <v>2254</v>
      </c>
      <c r="C852" s="65" t="s">
        <v>4443</v>
      </c>
      <c r="D852" s="66">
        <v>3</v>
      </c>
      <c r="E852" s="67"/>
      <c r="F852" s="68">
        <v>40</v>
      </c>
      <c r="G852" s="65"/>
      <c r="H852" s="69"/>
      <c r="I852" s="70"/>
      <c r="J852" s="70"/>
      <c r="K852" s="34" t="s">
        <v>65</v>
      </c>
      <c r="L852" s="77">
        <v>852</v>
      </c>
      <c r="M852" s="77"/>
      <c r="N852" s="72"/>
      <c r="O852" s="79" t="s">
        <v>610</v>
      </c>
      <c r="P852" s="79">
        <v>1</v>
      </c>
      <c r="Q852" s="78" t="str">
        <f>REPLACE(INDEX(GroupVertices[Group],MATCH(Edges[[#This Row],[Vertex 1]],GroupVertices[Vertex],0)),1,1,"")</f>
        <v>oc Snipes</v>
      </c>
      <c r="R852" s="78" t="str">
        <f>REPLACE(INDEX(GroupVertices[Group],MATCH(Edges[[#This Row],[Vertex 2]],GroupVertices[Vertex],0)),1,1,"")</f>
        <v>olleen Kachmann</v>
      </c>
    </row>
    <row r="853" spans="1:18" ht="15">
      <c r="A853" s="64" t="s">
        <v>207</v>
      </c>
      <c r="B853" s="64" t="s">
        <v>2255</v>
      </c>
      <c r="C853" s="65" t="s">
        <v>4443</v>
      </c>
      <c r="D853" s="66">
        <v>3</v>
      </c>
      <c r="E853" s="67"/>
      <c r="F853" s="68">
        <v>40</v>
      </c>
      <c r="G853" s="65"/>
      <c r="H853" s="69"/>
      <c r="I853" s="70"/>
      <c r="J853" s="70"/>
      <c r="K853" s="34" t="s">
        <v>65</v>
      </c>
      <c r="L853" s="77">
        <v>853</v>
      </c>
      <c r="M853" s="77"/>
      <c r="N853" s="72"/>
      <c r="O853" s="79" t="s">
        <v>610</v>
      </c>
      <c r="P853" s="79">
        <v>1</v>
      </c>
      <c r="Q853" s="78" t="str">
        <f>REPLACE(INDEX(GroupVertices[Group],MATCH(Edges[[#This Row],[Vertex 1]],GroupVertices[Vertex],0)),1,1,"")</f>
        <v>oc Snipes</v>
      </c>
      <c r="R853" s="78" t="str">
        <f>REPLACE(INDEX(GroupVertices[Group],MATCH(Edges[[#This Row],[Vertex 2]],GroupVertices[Vertex],0)),1,1,"")</f>
        <v>anessa Galindo</v>
      </c>
    </row>
    <row r="854" spans="1:18" ht="15">
      <c r="A854" s="64" t="s">
        <v>207</v>
      </c>
      <c r="B854" s="64" t="s">
        <v>2256</v>
      </c>
      <c r="C854" s="65" t="s">
        <v>4443</v>
      </c>
      <c r="D854" s="66">
        <v>3</v>
      </c>
      <c r="E854" s="67"/>
      <c r="F854" s="68">
        <v>40</v>
      </c>
      <c r="G854" s="65"/>
      <c r="H854" s="69"/>
      <c r="I854" s="70"/>
      <c r="J854" s="70"/>
      <c r="K854" s="34" t="s">
        <v>65</v>
      </c>
      <c r="L854" s="77">
        <v>854</v>
      </c>
      <c r="M854" s="77"/>
      <c r="N854" s="72"/>
      <c r="O854" s="79" t="s">
        <v>610</v>
      </c>
      <c r="P854" s="79">
        <v>1</v>
      </c>
      <c r="Q854" s="78" t="str">
        <f>REPLACE(INDEX(GroupVertices[Group],MATCH(Edges[[#This Row],[Vertex 1]],GroupVertices[Vertex],0)),1,1,"")</f>
        <v>oc Snipes</v>
      </c>
      <c r="R854" s="78" t="str">
        <f>REPLACE(INDEX(GroupVertices[Group],MATCH(Edges[[#This Row],[Vertex 2]],GroupVertices[Vertex],0)),1,1,"")</f>
        <v>onnections Counseling PLLC Continuing Education</v>
      </c>
    </row>
    <row r="855" spans="1:18" ht="15">
      <c r="A855" s="64" t="s">
        <v>207</v>
      </c>
      <c r="B855" s="64" t="s">
        <v>2257</v>
      </c>
      <c r="C855" s="65" t="s">
        <v>4443</v>
      </c>
      <c r="D855" s="66">
        <v>3</v>
      </c>
      <c r="E855" s="67"/>
      <c r="F855" s="68">
        <v>40</v>
      </c>
      <c r="G855" s="65"/>
      <c r="H855" s="69"/>
      <c r="I855" s="70"/>
      <c r="J855" s="70"/>
      <c r="K855" s="34" t="s">
        <v>65</v>
      </c>
      <c r="L855" s="77">
        <v>855</v>
      </c>
      <c r="M855" s="77"/>
      <c r="N855" s="72"/>
      <c r="O855" s="79" t="s">
        <v>610</v>
      </c>
      <c r="P855" s="79">
        <v>1</v>
      </c>
      <c r="Q855" s="78" t="str">
        <f>REPLACE(INDEX(GroupVertices[Group],MATCH(Edges[[#This Row],[Vertex 1]],GroupVertices[Vertex],0)),1,1,"")</f>
        <v>oc Snipes</v>
      </c>
      <c r="R855" s="78" t="str">
        <f>REPLACE(INDEX(GroupVertices[Group],MATCH(Edges[[#This Row],[Vertex 2]],GroupVertices[Vertex],0)),1,1,"")</f>
        <v>enjamin Carpenter</v>
      </c>
    </row>
    <row r="856" spans="1:18" ht="15">
      <c r="A856" s="64" t="s">
        <v>207</v>
      </c>
      <c r="B856" s="64" t="s">
        <v>2258</v>
      </c>
      <c r="C856" s="65" t="s">
        <v>4443</v>
      </c>
      <c r="D856" s="66">
        <v>3</v>
      </c>
      <c r="E856" s="67"/>
      <c r="F856" s="68">
        <v>40</v>
      </c>
      <c r="G856" s="65"/>
      <c r="H856" s="69"/>
      <c r="I856" s="70"/>
      <c r="J856" s="70"/>
      <c r="K856" s="34" t="s">
        <v>65</v>
      </c>
      <c r="L856" s="77">
        <v>856</v>
      </c>
      <c r="M856" s="77"/>
      <c r="N856" s="72"/>
      <c r="O856" s="79" t="s">
        <v>610</v>
      </c>
      <c r="P856" s="79">
        <v>1</v>
      </c>
      <c r="Q856" s="78" t="str">
        <f>REPLACE(INDEX(GroupVertices[Group],MATCH(Edges[[#This Row],[Vertex 1]],GroupVertices[Vertex],0)),1,1,"")</f>
        <v>oc Snipes</v>
      </c>
      <c r="R856" s="78" t="str">
        <f>REPLACE(INDEX(GroupVertices[Group],MATCH(Edges[[#This Row],[Vertex 2]],GroupVertices[Vertex],0)),1,1,"")</f>
        <v>onnections Counseling PLLC Continuing Education</v>
      </c>
    </row>
    <row r="857" spans="1:18" ht="15">
      <c r="A857" s="64" t="s">
        <v>207</v>
      </c>
      <c r="B857" s="64" t="s">
        <v>2259</v>
      </c>
      <c r="C857" s="65" t="s">
        <v>4443</v>
      </c>
      <c r="D857" s="66">
        <v>3</v>
      </c>
      <c r="E857" s="67"/>
      <c r="F857" s="68">
        <v>40</v>
      </c>
      <c r="G857" s="65"/>
      <c r="H857" s="69"/>
      <c r="I857" s="70"/>
      <c r="J857" s="70"/>
      <c r="K857" s="34" t="s">
        <v>65</v>
      </c>
      <c r="L857" s="77">
        <v>857</v>
      </c>
      <c r="M857" s="77"/>
      <c r="N857" s="72"/>
      <c r="O857" s="79" t="s">
        <v>610</v>
      </c>
      <c r="P857" s="79">
        <v>1</v>
      </c>
      <c r="Q857" s="78" t="str">
        <f>REPLACE(INDEX(GroupVertices[Group],MATCH(Edges[[#This Row],[Vertex 1]],GroupVertices[Vertex],0)),1,1,"")</f>
        <v>oc Snipes</v>
      </c>
      <c r="R857" s="78" t="str">
        <f>REPLACE(INDEX(GroupVertices[Group],MATCH(Edges[[#This Row],[Vertex 2]],GroupVertices[Vertex],0)),1,1,"")</f>
        <v>egion Five</v>
      </c>
    </row>
    <row r="858" spans="1:18" ht="15">
      <c r="A858" s="64" t="s">
        <v>207</v>
      </c>
      <c r="B858" s="64" t="s">
        <v>2260</v>
      </c>
      <c r="C858" s="65" t="s">
        <v>4443</v>
      </c>
      <c r="D858" s="66">
        <v>3</v>
      </c>
      <c r="E858" s="67"/>
      <c r="F858" s="68">
        <v>40</v>
      </c>
      <c r="G858" s="65"/>
      <c r="H858" s="69"/>
      <c r="I858" s="70"/>
      <c r="J858" s="70"/>
      <c r="K858" s="34" t="s">
        <v>65</v>
      </c>
      <c r="L858" s="77">
        <v>858</v>
      </c>
      <c r="M858" s="77"/>
      <c r="N858" s="72"/>
      <c r="O858" s="79" t="s">
        <v>610</v>
      </c>
      <c r="P858" s="79">
        <v>1</v>
      </c>
      <c r="Q858" s="78" t="str">
        <f>REPLACE(INDEX(GroupVertices[Group],MATCH(Edges[[#This Row],[Vertex 1]],GroupVertices[Vertex],0)),1,1,"")</f>
        <v>oc Snipes</v>
      </c>
      <c r="R858" s="78" t="str">
        <f>REPLACE(INDEX(GroupVertices[Group],MATCH(Edges[[#This Row],[Vertex 2]],GroupVertices[Vertex],0)),1,1,"")</f>
        <v>ayrollCentric Presentations</v>
      </c>
    </row>
    <row r="859" spans="1:18" ht="15">
      <c r="A859" s="64" t="s">
        <v>207</v>
      </c>
      <c r="B859" s="64" t="s">
        <v>2261</v>
      </c>
      <c r="C859" s="65" t="s">
        <v>4443</v>
      </c>
      <c r="D859" s="66">
        <v>3</v>
      </c>
      <c r="E859" s="67"/>
      <c r="F859" s="68">
        <v>40</v>
      </c>
      <c r="G859" s="65"/>
      <c r="H859" s="69"/>
      <c r="I859" s="70"/>
      <c r="J859" s="70"/>
      <c r="K859" s="34" t="s">
        <v>65</v>
      </c>
      <c r="L859" s="77">
        <v>859</v>
      </c>
      <c r="M859" s="77"/>
      <c r="N859" s="72"/>
      <c r="O859" s="79" t="s">
        <v>610</v>
      </c>
      <c r="P859" s="79">
        <v>1</v>
      </c>
      <c r="Q859" s="78" t="str">
        <f>REPLACE(INDEX(GroupVertices[Group],MATCH(Edges[[#This Row],[Vertex 1]],GroupVertices[Vertex],0)),1,1,"")</f>
        <v>oc Snipes</v>
      </c>
      <c r="R859" s="78" t="str">
        <f>REPLACE(INDEX(GroupVertices[Group],MATCH(Edges[[#This Row],[Vertex 2]],GroupVertices[Vertex],0)),1,1,"")</f>
        <v>ocial Work Mastery</v>
      </c>
    </row>
    <row r="860" spans="1:18" ht="15">
      <c r="A860" s="64" t="s">
        <v>207</v>
      </c>
      <c r="B860" s="64" t="s">
        <v>2262</v>
      </c>
      <c r="C860" s="65" t="s">
        <v>4443</v>
      </c>
      <c r="D860" s="66">
        <v>3</v>
      </c>
      <c r="E860" s="67"/>
      <c r="F860" s="68">
        <v>40</v>
      </c>
      <c r="G860" s="65"/>
      <c r="H860" s="69"/>
      <c r="I860" s="70"/>
      <c r="J860" s="70"/>
      <c r="K860" s="34" t="s">
        <v>65</v>
      </c>
      <c r="L860" s="77">
        <v>860</v>
      </c>
      <c r="M860" s="77"/>
      <c r="N860" s="72"/>
      <c r="O860" s="79" t="s">
        <v>610</v>
      </c>
      <c r="P860" s="79">
        <v>1</v>
      </c>
      <c r="Q860" s="78" t="str">
        <f>REPLACE(INDEX(GroupVertices[Group],MATCH(Edges[[#This Row],[Vertex 1]],GroupVertices[Vertex],0)),1,1,"")</f>
        <v>oc Snipes</v>
      </c>
      <c r="R860" s="78" t="str">
        <f>REPLACE(INDEX(GroupVertices[Group],MATCH(Edges[[#This Row],[Vertex 2]],GroupVertices[Vertex],0)),1,1,"")</f>
        <v>ocial Work Mastery</v>
      </c>
    </row>
    <row r="861" spans="1:18" ht="15">
      <c r="A861" s="64" t="s">
        <v>207</v>
      </c>
      <c r="B861" s="64" t="s">
        <v>2263</v>
      </c>
      <c r="C861" s="65" t="s">
        <v>4443</v>
      </c>
      <c r="D861" s="66">
        <v>3</v>
      </c>
      <c r="E861" s="67"/>
      <c r="F861" s="68">
        <v>40</v>
      </c>
      <c r="G861" s="65"/>
      <c r="H861" s="69"/>
      <c r="I861" s="70"/>
      <c r="J861" s="70"/>
      <c r="K861" s="34" t="s">
        <v>65</v>
      </c>
      <c r="L861" s="77">
        <v>861</v>
      </c>
      <c r="M861" s="77"/>
      <c r="N861" s="72"/>
      <c r="O861" s="79" t="s">
        <v>610</v>
      </c>
      <c r="P861" s="79">
        <v>1</v>
      </c>
      <c r="Q861" s="78" t="str">
        <f>REPLACE(INDEX(GroupVertices[Group],MATCH(Edges[[#This Row],[Vertex 1]],GroupVertices[Vertex],0)),1,1,"")</f>
        <v>oc Snipes</v>
      </c>
      <c r="R861" s="78" t="str">
        <f>REPLACE(INDEX(GroupVertices[Group],MATCH(Edges[[#This Row],[Vertex 2]],GroupVertices[Vertex],0)),1,1,"")</f>
        <v>arepatron</v>
      </c>
    </row>
    <row r="862" spans="1:18" ht="15">
      <c r="A862" s="64" t="s">
        <v>207</v>
      </c>
      <c r="B862" s="64" t="s">
        <v>2264</v>
      </c>
      <c r="C862" s="65" t="s">
        <v>4443</v>
      </c>
      <c r="D862" s="66">
        <v>3</v>
      </c>
      <c r="E862" s="67"/>
      <c r="F862" s="68">
        <v>40</v>
      </c>
      <c r="G862" s="65"/>
      <c r="H862" s="69"/>
      <c r="I862" s="70"/>
      <c r="J862" s="70"/>
      <c r="K862" s="34" t="s">
        <v>65</v>
      </c>
      <c r="L862" s="77">
        <v>862</v>
      </c>
      <c r="M862" s="77"/>
      <c r="N862" s="72"/>
      <c r="O862" s="79" t="s">
        <v>610</v>
      </c>
      <c r="P862" s="79">
        <v>1</v>
      </c>
      <c r="Q862" s="78" t="str">
        <f>REPLACE(INDEX(GroupVertices[Group],MATCH(Edges[[#This Row],[Vertex 1]],GroupVertices[Vertex],0)),1,1,"")</f>
        <v>oc Snipes</v>
      </c>
      <c r="R862" s="78" t="str">
        <f>REPLACE(INDEX(GroupVertices[Group],MATCH(Edges[[#This Row],[Vertex 2]],GroupVertices[Vertex],0)),1,1,"")</f>
        <v>NF#CK YOUR NCE</v>
      </c>
    </row>
    <row r="863" spans="1:18" ht="15">
      <c r="A863" s="64" t="s">
        <v>207</v>
      </c>
      <c r="B863" s="64" t="s">
        <v>2265</v>
      </c>
      <c r="C863" s="65" t="s">
        <v>4443</v>
      </c>
      <c r="D863" s="66">
        <v>3</v>
      </c>
      <c r="E863" s="67"/>
      <c r="F863" s="68">
        <v>40</v>
      </c>
      <c r="G863" s="65"/>
      <c r="H863" s="69"/>
      <c r="I863" s="70"/>
      <c r="J863" s="70"/>
      <c r="K863" s="34" t="s">
        <v>65</v>
      </c>
      <c r="L863" s="77">
        <v>863</v>
      </c>
      <c r="M863" s="77"/>
      <c r="N863" s="72"/>
      <c r="O863" s="79" t="s">
        <v>610</v>
      </c>
      <c r="P863" s="79">
        <v>1</v>
      </c>
      <c r="Q863" s="78" t="str">
        <f>REPLACE(INDEX(GroupVertices[Group],MATCH(Edges[[#This Row],[Vertex 1]],GroupVertices[Vertex],0)),1,1,"")</f>
        <v>oc Snipes</v>
      </c>
      <c r="R863" s="78" t="str">
        <f>REPLACE(INDEX(GroupVertices[Group],MATCH(Edges[[#This Row],[Vertex 2]],GroupVertices[Vertex],0)),1,1,"")</f>
        <v>ow To Defeat Addiction</v>
      </c>
    </row>
    <row r="864" spans="1:18" ht="15">
      <c r="A864" s="64" t="s">
        <v>207</v>
      </c>
      <c r="B864" s="64" t="s">
        <v>2266</v>
      </c>
      <c r="C864" s="65" t="s">
        <v>4443</v>
      </c>
      <c r="D864" s="66">
        <v>3</v>
      </c>
      <c r="E864" s="67"/>
      <c r="F864" s="68">
        <v>40</v>
      </c>
      <c r="G864" s="65"/>
      <c r="H864" s="69"/>
      <c r="I864" s="70"/>
      <c r="J864" s="70"/>
      <c r="K864" s="34" t="s">
        <v>65</v>
      </c>
      <c r="L864" s="77">
        <v>864</v>
      </c>
      <c r="M864" s="77"/>
      <c r="N864" s="72"/>
      <c r="O864" s="79" t="s">
        <v>610</v>
      </c>
      <c r="P864" s="79">
        <v>1</v>
      </c>
      <c r="Q864" s="78" t="str">
        <f>REPLACE(INDEX(GroupVertices[Group],MATCH(Edges[[#This Row],[Vertex 1]],GroupVertices[Vertex],0)),1,1,"")</f>
        <v>oc Snipes</v>
      </c>
      <c r="R864" s="78" t="str">
        <f>REPLACE(INDEX(GroupVertices[Group],MATCH(Edges[[#This Row],[Vertex 2]],GroupVertices[Vertex],0)),1,1,"")</f>
        <v>oc Snipes</v>
      </c>
    </row>
    <row r="865" spans="1:18" ht="15">
      <c r="A865" s="64" t="s">
        <v>207</v>
      </c>
      <c r="B865" s="64" t="s">
        <v>2267</v>
      </c>
      <c r="C865" s="65" t="s">
        <v>4443</v>
      </c>
      <c r="D865" s="66">
        <v>3</v>
      </c>
      <c r="E865" s="67"/>
      <c r="F865" s="68">
        <v>40</v>
      </c>
      <c r="G865" s="65"/>
      <c r="H865" s="69"/>
      <c r="I865" s="70"/>
      <c r="J865" s="70"/>
      <c r="K865" s="34" t="s">
        <v>65</v>
      </c>
      <c r="L865" s="77">
        <v>865</v>
      </c>
      <c r="M865" s="77"/>
      <c r="N865" s="72"/>
      <c r="O865" s="79" t="s">
        <v>610</v>
      </c>
      <c r="P865" s="79">
        <v>1</v>
      </c>
      <c r="Q865" s="78" t="str">
        <f>REPLACE(INDEX(GroupVertices[Group],MATCH(Edges[[#This Row],[Vertex 1]],GroupVertices[Vertex],0)),1,1,"")</f>
        <v>oc Snipes</v>
      </c>
      <c r="R865" s="78" t="str">
        <f>REPLACE(INDEX(GroupVertices[Group],MATCH(Edges[[#This Row],[Vertex 2]],GroupVertices[Vertex],0)),1,1,"")</f>
        <v>oc Snipes</v>
      </c>
    </row>
    <row r="866" spans="1:18" ht="15">
      <c r="A866" s="64" t="s">
        <v>207</v>
      </c>
      <c r="B866" s="64" t="s">
        <v>2268</v>
      </c>
      <c r="C866" s="65" t="s">
        <v>4443</v>
      </c>
      <c r="D866" s="66">
        <v>3</v>
      </c>
      <c r="E866" s="67"/>
      <c r="F866" s="68">
        <v>40</v>
      </c>
      <c r="G866" s="65"/>
      <c r="H866" s="69"/>
      <c r="I866" s="70"/>
      <c r="J866" s="70"/>
      <c r="K866" s="34" t="s">
        <v>65</v>
      </c>
      <c r="L866" s="77">
        <v>866</v>
      </c>
      <c r="M866" s="77"/>
      <c r="N866" s="72"/>
      <c r="O866" s="79" t="s">
        <v>610</v>
      </c>
      <c r="P866" s="79">
        <v>1</v>
      </c>
      <c r="Q866" s="78" t="str">
        <f>REPLACE(INDEX(GroupVertices[Group],MATCH(Edges[[#This Row],[Vertex 1]],GroupVertices[Vertex],0)),1,1,"")</f>
        <v>oc Snipes</v>
      </c>
      <c r="R866" s="78" t="str">
        <f>REPLACE(INDEX(GroupVertices[Group],MATCH(Edges[[#This Row],[Vertex 2]],GroupVertices[Vertex],0)),1,1,"")</f>
        <v>oc Snipes</v>
      </c>
    </row>
    <row r="867" spans="1:18" ht="15">
      <c r="A867" s="64" t="s">
        <v>207</v>
      </c>
      <c r="B867" s="64" t="s">
        <v>2269</v>
      </c>
      <c r="C867" s="65" t="s">
        <v>4443</v>
      </c>
      <c r="D867" s="66">
        <v>3</v>
      </c>
      <c r="E867" s="67"/>
      <c r="F867" s="68">
        <v>40</v>
      </c>
      <c r="G867" s="65"/>
      <c r="H867" s="69"/>
      <c r="I867" s="70"/>
      <c r="J867" s="70"/>
      <c r="K867" s="34" t="s">
        <v>65</v>
      </c>
      <c r="L867" s="77">
        <v>867</v>
      </c>
      <c r="M867" s="77"/>
      <c r="N867" s="72"/>
      <c r="O867" s="79" t="s">
        <v>610</v>
      </c>
      <c r="P867" s="79">
        <v>1</v>
      </c>
      <c r="Q867" s="78" t="str">
        <f>REPLACE(INDEX(GroupVertices[Group],MATCH(Edges[[#This Row],[Vertex 1]],GroupVertices[Vertex],0)),1,1,"")</f>
        <v>oc Snipes</v>
      </c>
      <c r="R867" s="78" t="str">
        <f>REPLACE(INDEX(GroupVertices[Group],MATCH(Edges[[#This Row],[Vertex 2]],GroupVertices[Vertex],0)),1,1,"")</f>
        <v>igBrain Project</v>
      </c>
    </row>
    <row r="868" spans="1:18" ht="15">
      <c r="A868" s="64" t="s">
        <v>207</v>
      </c>
      <c r="B868" s="64" t="s">
        <v>2270</v>
      </c>
      <c r="C868" s="65" t="s">
        <v>4443</v>
      </c>
      <c r="D868" s="66">
        <v>3</v>
      </c>
      <c r="E868" s="67"/>
      <c r="F868" s="68">
        <v>40</v>
      </c>
      <c r="G868" s="65"/>
      <c r="H868" s="69"/>
      <c r="I868" s="70"/>
      <c r="J868" s="70"/>
      <c r="K868" s="34" t="s">
        <v>65</v>
      </c>
      <c r="L868" s="77">
        <v>868</v>
      </c>
      <c r="M868" s="77"/>
      <c r="N868" s="72"/>
      <c r="O868" s="79" t="s">
        <v>610</v>
      </c>
      <c r="P868" s="79">
        <v>1</v>
      </c>
      <c r="Q868" s="78" t="str">
        <f>REPLACE(INDEX(GroupVertices[Group],MATCH(Edges[[#This Row],[Vertex 1]],GroupVertices[Vertex],0)),1,1,"")</f>
        <v>oc Snipes</v>
      </c>
      <c r="R868" s="78" t="str">
        <f>REPLACE(INDEX(GroupVertices[Group],MATCH(Edges[[#This Row],[Vertex 2]],GroupVertices[Vertex],0)),1,1,"")</f>
        <v>oc Snipes</v>
      </c>
    </row>
    <row r="869" spans="1:18" ht="15">
      <c r="A869" s="64" t="s">
        <v>207</v>
      </c>
      <c r="B869" s="64" t="s">
        <v>2271</v>
      </c>
      <c r="C869" s="65" t="s">
        <v>4443</v>
      </c>
      <c r="D869" s="66">
        <v>3</v>
      </c>
      <c r="E869" s="67"/>
      <c r="F869" s="68">
        <v>40</v>
      </c>
      <c r="G869" s="65"/>
      <c r="H869" s="69"/>
      <c r="I869" s="70"/>
      <c r="J869" s="70"/>
      <c r="K869" s="34" t="s">
        <v>65</v>
      </c>
      <c r="L869" s="77">
        <v>869</v>
      </c>
      <c r="M869" s="77"/>
      <c r="N869" s="72"/>
      <c r="O869" s="79" t="s">
        <v>610</v>
      </c>
      <c r="P869" s="79">
        <v>1</v>
      </c>
      <c r="Q869" s="78" t="str">
        <f>REPLACE(INDEX(GroupVertices[Group],MATCH(Edges[[#This Row],[Vertex 1]],GroupVertices[Vertex],0)),1,1,"")</f>
        <v>oc Snipes</v>
      </c>
      <c r="R869" s="78" t="str">
        <f>REPLACE(INDEX(GroupVertices[Group],MATCH(Edges[[#This Row],[Vertex 2]],GroupVertices[Vertex],0)),1,1,"")</f>
        <v>oc Snipes</v>
      </c>
    </row>
    <row r="870" spans="1:18" ht="15">
      <c r="A870" s="64" t="s">
        <v>207</v>
      </c>
      <c r="B870" s="64" t="s">
        <v>2272</v>
      </c>
      <c r="C870" s="65" t="s">
        <v>4443</v>
      </c>
      <c r="D870" s="66">
        <v>3</v>
      </c>
      <c r="E870" s="67"/>
      <c r="F870" s="68">
        <v>40</v>
      </c>
      <c r="G870" s="65"/>
      <c r="H870" s="69"/>
      <c r="I870" s="70"/>
      <c r="J870" s="70"/>
      <c r="K870" s="34" t="s">
        <v>65</v>
      </c>
      <c r="L870" s="77">
        <v>870</v>
      </c>
      <c r="M870" s="77"/>
      <c r="N870" s="72"/>
      <c r="O870" s="79" t="s">
        <v>610</v>
      </c>
      <c r="P870" s="79">
        <v>1</v>
      </c>
      <c r="Q870" s="78" t="str">
        <f>REPLACE(INDEX(GroupVertices[Group],MATCH(Edges[[#This Row],[Vertex 1]],GroupVertices[Vertex],0)),1,1,"")</f>
        <v>oc Snipes</v>
      </c>
      <c r="R870" s="78" t="str">
        <f>REPLACE(INDEX(GroupVertices[Group],MATCH(Edges[[#This Row],[Vertex 2]],GroupVertices[Vertex],0)),1,1,"")</f>
        <v>oc Snipes</v>
      </c>
    </row>
    <row r="871" spans="1:18" ht="15">
      <c r="A871" s="64" t="s">
        <v>207</v>
      </c>
      <c r="B871" s="64" t="s">
        <v>350</v>
      </c>
      <c r="C871" s="65" t="s">
        <v>4443</v>
      </c>
      <c r="D871" s="66">
        <v>3</v>
      </c>
      <c r="E871" s="67"/>
      <c r="F871" s="68">
        <v>40</v>
      </c>
      <c r="G871" s="65"/>
      <c r="H871" s="69"/>
      <c r="I871" s="70"/>
      <c r="J871" s="70"/>
      <c r="K871" s="34" t="s">
        <v>65</v>
      </c>
      <c r="L871" s="77">
        <v>871</v>
      </c>
      <c r="M871" s="77"/>
      <c r="N871" s="72"/>
      <c r="O871" s="79" t="s">
        <v>610</v>
      </c>
      <c r="P871" s="79">
        <v>1</v>
      </c>
      <c r="Q871" s="78" t="str">
        <f>REPLACE(INDEX(GroupVertices[Group],MATCH(Edges[[#This Row],[Vertex 1]],GroupVertices[Vertex],0)),1,1,"")</f>
        <v>oc Snipes</v>
      </c>
      <c r="R871" s="78" t="str">
        <f>REPLACE(INDEX(GroupVertices[Group],MATCH(Edges[[#This Row],[Vertex 2]],GroupVertices[Vertex],0)),1,1,"")</f>
        <v>DDitude Magazine</v>
      </c>
    </row>
    <row r="872" spans="1:18" ht="15">
      <c r="A872" s="64" t="s">
        <v>207</v>
      </c>
      <c r="B872" s="64" t="s">
        <v>280</v>
      </c>
      <c r="C872" s="65" t="s">
        <v>4443</v>
      </c>
      <c r="D872" s="66">
        <v>3</v>
      </c>
      <c r="E872" s="67"/>
      <c r="F872" s="68">
        <v>40</v>
      </c>
      <c r="G872" s="65"/>
      <c r="H872" s="69"/>
      <c r="I872" s="70"/>
      <c r="J872" s="70"/>
      <c r="K872" s="34" t="s">
        <v>65</v>
      </c>
      <c r="L872" s="77">
        <v>872</v>
      </c>
      <c r="M872" s="77"/>
      <c r="N872" s="72"/>
      <c r="O872" s="79" t="s">
        <v>610</v>
      </c>
      <c r="P872" s="79">
        <v>1</v>
      </c>
      <c r="Q872" s="78" t="str">
        <f>REPLACE(INDEX(GroupVertices[Group],MATCH(Edges[[#This Row],[Vertex 1]],GroupVertices[Vertex],0)),1,1,"")</f>
        <v>oc Snipes</v>
      </c>
      <c r="R872" s="78" t="str">
        <f>REPLACE(INDEX(GroupVertices[Group],MATCH(Edges[[#This Row],[Vertex 2]],GroupVertices[Vertex],0)),1,1,"")</f>
        <v>ive On Purpose TV</v>
      </c>
    </row>
    <row r="873" spans="1:18" ht="15">
      <c r="A873" s="64" t="s">
        <v>207</v>
      </c>
      <c r="B873" s="64" t="s">
        <v>279</v>
      </c>
      <c r="C873" s="65" t="s">
        <v>4443</v>
      </c>
      <c r="D873" s="66">
        <v>3</v>
      </c>
      <c r="E873" s="67"/>
      <c r="F873" s="68">
        <v>40</v>
      </c>
      <c r="G873" s="65"/>
      <c r="H873" s="69"/>
      <c r="I873" s="70"/>
      <c r="J873" s="70"/>
      <c r="K873" s="34" t="s">
        <v>65</v>
      </c>
      <c r="L873" s="77">
        <v>873</v>
      </c>
      <c r="M873" s="77"/>
      <c r="N873" s="72"/>
      <c r="O873" s="79" t="s">
        <v>610</v>
      </c>
      <c r="P873" s="79">
        <v>1</v>
      </c>
      <c r="Q873" s="78" t="str">
        <f>REPLACE(INDEX(GroupVertices[Group],MATCH(Edges[[#This Row],[Vertex 1]],GroupVertices[Vertex],0)),1,1,"")</f>
        <v>oc Snipes</v>
      </c>
      <c r="R873" s="78" t="str">
        <f>REPLACE(INDEX(GroupVertices[Group],MATCH(Edges[[#This Row],[Vertex 2]],GroupVertices[Vertex],0)),1,1,"")</f>
        <v>hirp</v>
      </c>
    </row>
    <row r="874" spans="1:18" ht="15">
      <c r="A874" s="64" t="s">
        <v>207</v>
      </c>
      <c r="B874" s="64" t="s">
        <v>2273</v>
      </c>
      <c r="C874" s="65" t="s">
        <v>4443</v>
      </c>
      <c r="D874" s="66">
        <v>3</v>
      </c>
      <c r="E874" s="67"/>
      <c r="F874" s="68">
        <v>40</v>
      </c>
      <c r="G874" s="65"/>
      <c r="H874" s="69"/>
      <c r="I874" s="70"/>
      <c r="J874" s="70"/>
      <c r="K874" s="34" t="s">
        <v>65</v>
      </c>
      <c r="L874" s="77">
        <v>874</v>
      </c>
      <c r="M874" s="77"/>
      <c r="N874" s="72"/>
      <c r="O874" s="79" t="s">
        <v>610</v>
      </c>
      <c r="P874" s="79">
        <v>1</v>
      </c>
      <c r="Q874" s="78" t="str">
        <f>REPLACE(INDEX(GroupVertices[Group],MATCH(Edges[[#This Row],[Vertex 1]],GroupVertices[Vertex],0)),1,1,"")</f>
        <v>oc Snipes</v>
      </c>
      <c r="R874" s="78" t="str">
        <f>REPLACE(INDEX(GroupVertices[Group],MATCH(Edges[[#This Row],[Vertex 2]],GroupVertices[Vertex],0)),1,1,"")</f>
        <v>oc Snipes</v>
      </c>
    </row>
    <row r="875" spans="1:18" ht="15">
      <c r="A875" s="64" t="s">
        <v>207</v>
      </c>
      <c r="B875" s="64" t="s">
        <v>2274</v>
      </c>
      <c r="C875" s="65" t="s">
        <v>4443</v>
      </c>
      <c r="D875" s="66">
        <v>3</v>
      </c>
      <c r="E875" s="67"/>
      <c r="F875" s="68">
        <v>40</v>
      </c>
      <c r="G875" s="65"/>
      <c r="H875" s="69"/>
      <c r="I875" s="70"/>
      <c r="J875" s="70"/>
      <c r="K875" s="34" t="s">
        <v>65</v>
      </c>
      <c r="L875" s="77">
        <v>875</v>
      </c>
      <c r="M875" s="77"/>
      <c r="N875" s="72"/>
      <c r="O875" s="79" t="s">
        <v>610</v>
      </c>
      <c r="P875" s="79">
        <v>1</v>
      </c>
      <c r="Q875" s="78" t="str">
        <f>REPLACE(INDEX(GroupVertices[Group],MATCH(Edges[[#This Row],[Vertex 1]],GroupVertices[Vertex],0)),1,1,"")</f>
        <v>oc Snipes</v>
      </c>
      <c r="R875" s="78" t="str">
        <f>REPLACE(INDEX(GroupVertices[Group],MATCH(Edges[[#This Row],[Vertex 2]],GroupVertices[Vertex],0)),1,1,"")</f>
        <v>oc Snipes</v>
      </c>
    </row>
    <row r="876" spans="1:18" ht="15">
      <c r="A876" s="64" t="s">
        <v>207</v>
      </c>
      <c r="B876" s="64" t="s">
        <v>2275</v>
      </c>
      <c r="C876" s="65" t="s">
        <v>4443</v>
      </c>
      <c r="D876" s="66">
        <v>3</v>
      </c>
      <c r="E876" s="67"/>
      <c r="F876" s="68">
        <v>40</v>
      </c>
      <c r="G876" s="65"/>
      <c r="H876" s="69"/>
      <c r="I876" s="70"/>
      <c r="J876" s="70"/>
      <c r="K876" s="34" t="s">
        <v>65</v>
      </c>
      <c r="L876" s="77">
        <v>876</v>
      </c>
      <c r="M876" s="77"/>
      <c r="N876" s="72"/>
      <c r="O876" s="79" t="s">
        <v>610</v>
      </c>
      <c r="P876" s="79">
        <v>1</v>
      </c>
      <c r="Q876" s="78" t="str">
        <f>REPLACE(INDEX(GroupVertices[Group],MATCH(Edges[[#This Row],[Vertex 1]],GroupVertices[Vertex],0)),1,1,"")</f>
        <v>oc Snipes</v>
      </c>
      <c r="R876" s="78" t="str">
        <f>REPLACE(INDEX(GroupVertices[Group],MATCH(Edges[[#This Row],[Vertex 2]],GroupVertices[Vertex],0)),1,1,"")</f>
        <v>oc Snipes</v>
      </c>
    </row>
    <row r="877" spans="1:18" ht="15">
      <c r="A877" s="64" t="s">
        <v>207</v>
      </c>
      <c r="B877" s="64" t="s">
        <v>2276</v>
      </c>
      <c r="C877" s="65" t="s">
        <v>4443</v>
      </c>
      <c r="D877" s="66">
        <v>3</v>
      </c>
      <c r="E877" s="67"/>
      <c r="F877" s="68">
        <v>40</v>
      </c>
      <c r="G877" s="65"/>
      <c r="H877" s="69"/>
      <c r="I877" s="70"/>
      <c r="J877" s="70"/>
      <c r="K877" s="34" t="s">
        <v>65</v>
      </c>
      <c r="L877" s="77">
        <v>877</v>
      </c>
      <c r="M877" s="77"/>
      <c r="N877" s="72"/>
      <c r="O877" s="79" t="s">
        <v>610</v>
      </c>
      <c r="P877" s="79">
        <v>1</v>
      </c>
      <c r="Q877" s="78" t="str">
        <f>REPLACE(INDEX(GroupVertices[Group],MATCH(Edges[[#This Row],[Vertex 1]],GroupVertices[Vertex],0)),1,1,"")</f>
        <v>oc Snipes</v>
      </c>
      <c r="R877" s="78" t="str">
        <f>REPLACE(INDEX(GroupVertices[Group],MATCH(Edges[[#This Row],[Vertex 2]],GroupVertices[Vertex],0)),1,1,"")</f>
        <v>oc Snipes</v>
      </c>
    </row>
    <row r="878" spans="1:18" ht="15">
      <c r="A878" s="64" t="s">
        <v>207</v>
      </c>
      <c r="B878" s="64" t="s">
        <v>2277</v>
      </c>
      <c r="C878" s="65" t="s">
        <v>4443</v>
      </c>
      <c r="D878" s="66">
        <v>3</v>
      </c>
      <c r="E878" s="67"/>
      <c r="F878" s="68">
        <v>40</v>
      </c>
      <c r="G878" s="65"/>
      <c r="H878" s="69"/>
      <c r="I878" s="70"/>
      <c r="J878" s="70"/>
      <c r="K878" s="34" t="s">
        <v>65</v>
      </c>
      <c r="L878" s="77">
        <v>878</v>
      </c>
      <c r="M878" s="77"/>
      <c r="N878" s="72"/>
      <c r="O878" s="79" t="s">
        <v>610</v>
      </c>
      <c r="P878" s="79">
        <v>1</v>
      </c>
      <c r="Q878" s="78" t="str">
        <f>REPLACE(INDEX(GroupVertices[Group],MATCH(Edges[[#This Row],[Vertex 1]],GroupVertices[Vertex],0)),1,1,"")</f>
        <v>oc Snipes</v>
      </c>
      <c r="R878" s="78" t="str">
        <f>REPLACE(INDEX(GroupVertices[Group],MATCH(Edges[[#This Row],[Vertex 2]],GroupVertices[Vertex],0)),1,1,"")</f>
        <v>oc Snipes</v>
      </c>
    </row>
    <row r="879" spans="1:18" ht="15">
      <c r="A879" s="64" t="s">
        <v>207</v>
      </c>
      <c r="B879" s="64" t="s">
        <v>2278</v>
      </c>
      <c r="C879" s="65" t="s">
        <v>4443</v>
      </c>
      <c r="D879" s="66">
        <v>3</v>
      </c>
      <c r="E879" s="67"/>
      <c r="F879" s="68">
        <v>40</v>
      </c>
      <c r="G879" s="65"/>
      <c r="H879" s="69"/>
      <c r="I879" s="70"/>
      <c r="J879" s="70"/>
      <c r="K879" s="34" t="s">
        <v>65</v>
      </c>
      <c r="L879" s="77">
        <v>879</v>
      </c>
      <c r="M879" s="77"/>
      <c r="N879" s="72"/>
      <c r="O879" s="79" t="s">
        <v>610</v>
      </c>
      <c r="P879" s="79">
        <v>1</v>
      </c>
      <c r="Q879" s="78" t="str">
        <f>REPLACE(INDEX(GroupVertices[Group],MATCH(Edges[[#This Row],[Vertex 1]],GroupVertices[Vertex],0)),1,1,"")</f>
        <v>oc Snipes</v>
      </c>
      <c r="R879" s="78" t="str">
        <f>REPLACE(INDEX(GroupVertices[Group],MATCH(Edges[[#This Row],[Vertex 2]],GroupVertices[Vertex],0)),1,1,"")</f>
        <v>oc Snipes</v>
      </c>
    </row>
    <row r="880" spans="1:18" ht="15">
      <c r="A880" s="64" t="s">
        <v>207</v>
      </c>
      <c r="B880" s="64" t="s">
        <v>2279</v>
      </c>
      <c r="C880" s="65" t="s">
        <v>4443</v>
      </c>
      <c r="D880" s="66">
        <v>3</v>
      </c>
      <c r="E880" s="67"/>
      <c r="F880" s="68">
        <v>40</v>
      </c>
      <c r="G880" s="65"/>
      <c r="H880" s="69"/>
      <c r="I880" s="70"/>
      <c r="J880" s="70"/>
      <c r="K880" s="34" t="s">
        <v>65</v>
      </c>
      <c r="L880" s="77">
        <v>880</v>
      </c>
      <c r="M880" s="77"/>
      <c r="N880" s="72"/>
      <c r="O880" s="79" t="s">
        <v>610</v>
      </c>
      <c r="P880" s="79">
        <v>1</v>
      </c>
      <c r="Q880" s="78" t="str">
        <f>REPLACE(INDEX(GroupVertices[Group],MATCH(Edges[[#This Row],[Vertex 1]],GroupVertices[Vertex],0)),1,1,"")</f>
        <v>oc Snipes</v>
      </c>
      <c r="R880" s="78" t="str">
        <f>REPLACE(INDEX(GroupVertices[Group],MATCH(Edges[[#This Row],[Vertex 2]],GroupVertices[Vertex],0)),1,1,"")</f>
        <v>oc Snipes</v>
      </c>
    </row>
    <row r="881" spans="1:18" ht="15">
      <c r="A881" s="64" t="s">
        <v>207</v>
      </c>
      <c r="B881" s="64" t="s">
        <v>2280</v>
      </c>
      <c r="C881" s="65" t="s">
        <v>4443</v>
      </c>
      <c r="D881" s="66">
        <v>3</v>
      </c>
      <c r="E881" s="67"/>
      <c r="F881" s="68">
        <v>40</v>
      </c>
      <c r="G881" s="65"/>
      <c r="H881" s="69"/>
      <c r="I881" s="70"/>
      <c r="J881" s="70"/>
      <c r="K881" s="34" t="s">
        <v>65</v>
      </c>
      <c r="L881" s="77">
        <v>881</v>
      </c>
      <c r="M881" s="77"/>
      <c r="N881" s="72"/>
      <c r="O881" s="79" t="s">
        <v>610</v>
      </c>
      <c r="P881" s="79">
        <v>1</v>
      </c>
      <c r="Q881" s="78" t="str">
        <f>REPLACE(INDEX(GroupVertices[Group],MATCH(Edges[[#This Row],[Vertex 1]],GroupVertices[Vertex],0)),1,1,"")</f>
        <v>oc Snipes</v>
      </c>
      <c r="R881" s="78" t="str">
        <f>REPLACE(INDEX(GroupVertices[Group],MATCH(Edges[[#This Row],[Vertex 2]],GroupVertices[Vertex],0)),1,1,"")</f>
        <v>oc Snipes</v>
      </c>
    </row>
    <row r="882" spans="1:18" ht="15">
      <c r="A882" s="64" t="s">
        <v>207</v>
      </c>
      <c r="B882" s="64" t="s">
        <v>2281</v>
      </c>
      <c r="C882" s="65" t="s">
        <v>4443</v>
      </c>
      <c r="D882" s="66">
        <v>3</v>
      </c>
      <c r="E882" s="67"/>
      <c r="F882" s="68">
        <v>40</v>
      </c>
      <c r="G882" s="65"/>
      <c r="H882" s="69"/>
      <c r="I882" s="70"/>
      <c r="J882" s="70"/>
      <c r="K882" s="34" t="s">
        <v>65</v>
      </c>
      <c r="L882" s="77">
        <v>882</v>
      </c>
      <c r="M882" s="77"/>
      <c r="N882" s="72"/>
      <c r="O882" s="79" t="s">
        <v>610</v>
      </c>
      <c r="P882" s="79">
        <v>1</v>
      </c>
      <c r="Q882" s="78" t="str">
        <f>REPLACE(INDEX(GroupVertices[Group],MATCH(Edges[[#This Row],[Vertex 1]],GroupVertices[Vertex],0)),1,1,"")</f>
        <v>oc Snipes</v>
      </c>
      <c r="R882" s="78" t="str">
        <f>REPLACE(INDEX(GroupVertices[Group],MATCH(Edges[[#This Row],[Vertex 2]],GroupVertices[Vertex],0)),1,1,"")</f>
        <v>oc Snipes</v>
      </c>
    </row>
    <row r="883" spans="1:18" ht="15">
      <c r="A883" s="64" t="s">
        <v>207</v>
      </c>
      <c r="B883" s="64" t="s">
        <v>2282</v>
      </c>
      <c r="C883" s="65" t="s">
        <v>4443</v>
      </c>
      <c r="D883" s="66">
        <v>3</v>
      </c>
      <c r="E883" s="67"/>
      <c r="F883" s="68">
        <v>40</v>
      </c>
      <c r="G883" s="65"/>
      <c r="H883" s="69"/>
      <c r="I883" s="70"/>
      <c r="J883" s="70"/>
      <c r="K883" s="34" t="s">
        <v>65</v>
      </c>
      <c r="L883" s="77">
        <v>883</v>
      </c>
      <c r="M883" s="77"/>
      <c r="N883" s="72"/>
      <c r="O883" s="79" t="s">
        <v>610</v>
      </c>
      <c r="P883" s="79">
        <v>1</v>
      </c>
      <c r="Q883" s="78" t="str">
        <f>REPLACE(INDEX(GroupVertices[Group],MATCH(Edges[[#This Row],[Vertex 1]],GroupVertices[Vertex],0)),1,1,"")</f>
        <v>oc Snipes</v>
      </c>
      <c r="R883" s="78" t="str">
        <f>REPLACE(INDEX(GroupVertices[Group],MATCH(Edges[[#This Row],[Vertex 2]],GroupVertices[Vertex],0)),1,1,"")</f>
        <v>oc Snipes</v>
      </c>
    </row>
    <row r="884" spans="1:18" ht="15">
      <c r="A884" s="64" t="s">
        <v>207</v>
      </c>
      <c r="B884" s="64" t="s">
        <v>572</v>
      </c>
      <c r="C884" s="65" t="s">
        <v>4443</v>
      </c>
      <c r="D884" s="66">
        <v>3</v>
      </c>
      <c r="E884" s="67"/>
      <c r="F884" s="68">
        <v>40</v>
      </c>
      <c r="G884" s="65"/>
      <c r="H884" s="69"/>
      <c r="I884" s="70"/>
      <c r="J884" s="70"/>
      <c r="K884" s="34" t="s">
        <v>65</v>
      </c>
      <c r="L884" s="77">
        <v>884</v>
      </c>
      <c r="M884" s="77"/>
      <c r="N884" s="72"/>
      <c r="O884" s="79" t="s">
        <v>610</v>
      </c>
      <c r="P884" s="79">
        <v>1</v>
      </c>
      <c r="Q884" s="78" t="str">
        <f>REPLACE(INDEX(GroupVertices[Group],MATCH(Edges[[#This Row],[Vertex 1]],GroupVertices[Vertex],0)),1,1,"")</f>
        <v>oc Snipes</v>
      </c>
      <c r="R884" s="78" t="str">
        <f>REPLACE(INDEX(GroupVertices[Group],MATCH(Edges[[#This Row],[Vertex 2]],GroupVertices[Vertex],0)),1,1,"")</f>
        <v>DDitude Magazine</v>
      </c>
    </row>
    <row r="885" spans="1:18" ht="15">
      <c r="A885" s="64" t="s">
        <v>207</v>
      </c>
      <c r="B885" s="64" t="s">
        <v>2283</v>
      </c>
      <c r="C885" s="65" t="s">
        <v>4443</v>
      </c>
      <c r="D885" s="66">
        <v>3</v>
      </c>
      <c r="E885" s="67"/>
      <c r="F885" s="68">
        <v>40</v>
      </c>
      <c r="G885" s="65"/>
      <c r="H885" s="69"/>
      <c r="I885" s="70"/>
      <c r="J885" s="70"/>
      <c r="K885" s="34" t="s">
        <v>65</v>
      </c>
      <c r="L885" s="77">
        <v>885</v>
      </c>
      <c r="M885" s="77"/>
      <c r="N885" s="72"/>
      <c r="O885" s="79" t="s">
        <v>610</v>
      </c>
      <c r="P885" s="79">
        <v>1</v>
      </c>
      <c r="Q885" s="78" t="str">
        <f>REPLACE(INDEX(GroupVertices[Group],MATCH(Edges[[#This Row],[Vertex 1]],GroupVertices[Vertex],0)),1,1,"")</f>
        <v>oc Snipes</v>
      </c>
      <c r="R885" s="78" t="str">
        <f>REPLACE(INDEX(GroupVertices[Group],MATCH(Edges[[#This Row],[Vertex 2]],GroupVertices[Vertex],0)),1,1,"")</f>
        <v>oc Snipes</v>
      </c>
    </row>
    <row r="886" spans="1:18" ht="15">
      <c r="A886" s="64" t="s">
        <v>207</v>
      </c>
      <c r="B886" s="64" t="s">
        <v>2284</v>
      </c>
      <c r="C886" s="65" t="s">
        <v>4443</v>
      </c>
      <c r="D886" s="66">
        <v>3</v>
      </c>
      <c r="E886" s="67"/>
      <c r="F886" s="68">
        <v>40</v>
      </c>
      <c r="G886" s="65"/>
      <c r="H886" s="69"/>
      <c r="I886" s="70"/>
      <c r="J886" s="70"/>
      <c r="K886" s="34" t="s">
        <v>65</v>
      </c>
      <c r="L886" s="77">
        <v>886</v>
      </c>
      <c r="M886" s="77"/>
      <c r="N886" s="72"/>
      <c r="O886" s="79" t="s">
        <v>610</v>
      </c>
      <c r="P886" s="79">
        <v>1</v>
      </c>
      <c r="Q886" s="78" t="str">
        <f>REPLACE(INDEX(GroupVertices[Group],MATCH(Edges[[#This Row],[Vertex 1]],GroupVertices[Vertex],0)),1,1,"")</f>
        <v>oc Snipes</v>
      </c>
      <c r="R886" s="78" t="str">
        <f>REPLACE(INDEX(GroupVertices[Group],MATCH(Edges[[#This Row],[Vertex 2]],GroupVertices[Vertex],0)),1,1,"")</f>
        <v>oc Snipes</v>
      </c>
    </row>
    <row r="887" spans="1:18" ht="15">
      <c r="A887" s="64" t="s">
        <v>207</v>
      </c>
      <c r="B887" s="64" t="s">
        <v>459</v>
      </c>
      <c r="C887" s="65" t="s">
        <v>4443</v>
      </c>
      <c r="D887" s="66">
        <v>3</v>
      </c>
      <c r="E887" s="67"/>
      <c r="F887" s="68">
        <v>40</v>
      </c>
      <c r="G887" s="65"/>
      <c r="H887" s="69"/>
      <c r="I887" s="70"/>
      <c r="J887" s="70"/>
      <c r="K887" s="34" t="s">
        <v>65</v>
      </c>
      <c r="L887" s="77">
        <v>887</v>
      </c>
      <c r="M887" s="77"/>
      <c r="N887" s="72"/>
      <c r="O887" s="79" t="s">
        <v>610</v>
      </c>
      <c r="P887" s="79">
        <v>1</v>
      </c>
      <c r="Q887" s="78" t="str">
        <f>REPLACE(INDEX(GroupVertices[Group],MATCH(Edges[[#This Row],[Vertex 1]],GroupVertices[Vertex],0)),1,1,"")</f>
        <v>oc Snipes</v>
      </c>
      <c r="R887" s="78" t="str">
        <f>REPLACE(INDEX(GroupVertices[Group],MATCH(Edges[[#This Row],[Vertex 2]],GroupVertices[Vertex],0)),1,1,"")</f>
        <v>nwen Middleton</v>
      </c>
    </row>
    <row r="888" spans="1:18" ht="15">
      <c r="A888" s="64" t="s">
        <v>207</v>
      </c>
      <c r="B888" s="64" t="s">
        <v>2421</v>
      </c>
      <c r="C888" s="65" t="s">
        <v>4443</v>
      </c>
      <c r="D888" s="66">
        <v>3</v>
      </c>
      <c r="E888" s="67"/>
      <c r="F888" s="68">
        <v>40</v>
      </c>
      <c r="G888" s="65"/>
      <c r="H888" s="69"/>
      <c r="I888" s="70"/>
      <c r="J888" s="70"/>
      <c r="K888" s="34" t="s">
        <v>65</v>
      </c>
      <c r="L888" s="77">
        <v>888</v>
      </c>
      <c r="M888" s="77"/>
      <c r="N888" s="72"/>
      <c r="O888" s="79" t="s">
        <v>610</v>
      </c>
      <c r="P888" s="79">
        <v>1</v>
      </c>
      <c r="Q888" s="78" t="str">
        <f>REPLACE(INDEX(GroupVertices[Group],MATCH(Edges[[#This Row],[Vertex 1]],GroupVertices[Vertex],0)),1,1,"")</f>
        <v>oc Snipes</v>
      </c>
      <c r="R888" s="78" t="str">
        <f>REPLACE(INDEX(GroupVertices[Group],MATCH(Edges[[#This Row],[Vertex 2]],GroupVertices[Vertex],0)),1,1,"")</f>
        <v>ow to ADHD</v>
      </c>
    </row>
    <row r="889" spans="1:18" ht="15">
      <c r="A889" s="64" t="s">
        <v>207</v>
      </c>
      <c r="B889" s="64" t="s">
        <v>281</v>
      </c>
      <c r="C889" s="65" t="s">
        <v>4443</v>
      </c>
      <c r="D889" s="66">
        <v>3</v>
      </c>
      <c r="E889" s="67"/>
      <c r="F889" s="68">
        <v>40</v>
      </c>
      <c r="G889" s="65"/>
      <c r="H889" s="69"/>
      <c r="I889" s="70"/>
      <c r="J889" s="70"/>
      <c r="K889" s="34" t="s">
        <v>65</v>
      </c>
      <c r="L889" s="77">
        <v>889</v>
      </c>
      <c r="M889" s="77"/>
      <c r="N889" s="72"/>
      <c r="O889" s="79" t="s">
        <v>610</v>
      </c>
      <c r="P889" s="79">
        <v>1</v>
      </c>
      <c r="Q889" s="78" t="str">
        <f>REPLACE(INDEX(GroupVertices[Group],MATCH(Edges[[#This Row],[Vertex 1]],GroupVertices[Vertex],0)),1,1,"")</f>
        <v>oc Snipes</v>
      </c>
      <c r="R889" s="78" t="str">
        <f>REPLACE(INDEX(GroupVertices[Group],MATCH(Edges[[#This Row],[Vertex 2]],GroupVertices[Vertex],0)),1,1,"")</f>
        <v>ive On Purpose TV</v>
      </c>
    </row>
    <row r="890" spans="1:18" ht="15">
      <c r="A890" s="64" t="s">
        <v>207</v>
      </c>
      <c r="B890" s="64" t="s">
        <v>609</v>
      </c>
      <c r="C890" s="65" t="s">
        <v>4443</v>
      </c>
      <c r="D890" s="66">
        <v>3</v>
      </c>
      <c r="E890" s="67"/>
      <c r="F890" s="68">
        <v>40</v>
      </c>
      <c r="G890" s="65"/>
      <c r="H890" s="69"/>
      <c r="I890" s="70"/>
      <c r="J890" s="70"/>
      <c r="K890" s="34" t="s">
        <v>65</v>
      </c>
      <c r="L890" s="77">
        <v>890</v>
      </c>
      <c r="M890" s="77"/>
      <c r="N890" s="72"/>
      <c r="O890" s="79" t="s">
        <v>610</v>
      </c>
      <c r="P890" s="79">
        <v>1</v>
      </c>
      <c r="Q890" s="78" t="str">
        <f>REPLACE(INDEX(GroupVertices[Group],MATCH(Edges[[#This Row],[Vertex 1]],GroupVertices[Vertex],0)),1,1,"")</f>
        <v>oc Snipes</v>
      </c>
      <c r="R890" s="78" t="str">
        <f>REPLACE(INDEX(GroupVertices[Group],MATCH(Edges[[#This Row],[Vertex 2]],GroupVertices[Vertex],0)),1,1,"")</f>
        <v>HADIS</v>
      </c>
    </row>
    <row r="891" spans="1:18" ht="15">
      <c r="A891" s="64" t="s">
        <v>207</v>
      </c>
      <c r="B891" s="64" t="s">
        <v>287</v>
      </c>
      <c r="C891" s="65" t="s">
        <v>4443</v>
      </c>
      <c r="D891" s="66">
        <v>3</v>
      </c>
      <c r="E891" s="67"/>
      <c r="F891" s="68">
        <v>40</v>
      </c>
      <c r="G891" s="65"/>
      <c r="H891" s="69"/>
      <c r="I891" s="70"/>
      <c r="J891" s="70"/>
      <c r="K891" s="34" t="s">
        <v>65</v>
      </c>
      <c r="L891" s="77">
        <v>891</v>
      </c>
      <c r="M891" s="77"/>
      <c r="N891" s="72"/>
      <c r="O891" s="79" t="s">
        <v>610</v>
      </c>
      <c r="P891" s="79">
        <v>1</v>
      </c>
      <c r="Q891" s="78" t="str">
        <f>REPLACE(INDEX(GroupVertices[Group],MATCH(Edges[[#This Row],[Vertex 1]],GroupVertices[Vertex],0)),1,1,"")</f>
        <v>oc Snipes</v>
      </c>
      <c r="R891" s="78" t="str">
        <f>REPLACE(INDEX(GroupVertices[Group],MATCH(Edges[[#This Row],[Vertex 2]],GroupVertices[Vertex],0)),1,1,"")</f>
        <v>icholeen Peck - Teaching Self Government</v>
      </c>
    </row>
    <row r="892" spans="1:18" ht="15">
      <c r="A892" s="64" t="s">
        <v>207</v>
      </c>
      <c r="B892" s="64" t="s">
        <v>271</v>
      </c>
      <c r="C892" s="65" t="s">
        <v>4443</v>
      </c>
      <c r="D892" s="66">
        <v>3</v>
      </c>
      <c r="E892" s="67"/>
      <c r="F892" s="68">
        <v>40</v>
      </c>
      <c r="G892" s="65"/>
      <c r="H892" s="69"/>
      <c r="I892" s="70"/>
      <c r="J892" s="70"/>
      <c r="K892" s="34" t="s">
        <v>65</v>
      </c>
      <c r="L892" s="77">
        <v>892</v>
      </c>
      <c r="M892" s="77"/>
      <c r="N892" s="72"/>
      <c r="O892" s="79" t="s">
        <v>610</v>
      </c>
      <c r="P892" s="79">
        <v>1</v>
      </c>
      <c r="Q892" s="78" t="str">
        <f>REPLACE(INDEX(GroupVertices[Group],MATCH(Edges[[#This Row],[Vertex 1]],GroupVertices[Vertex],0)),1,1,"")</f>
        <v>oc Snipes</v>
      </c>
      <c r="R892" s="78" t="str">
        <f>REPLACE(INDEX(GroupVertices[Group],MATCH(Edges[[#This Row],[Vertex 2]],GroupVertices[Vertex],0)),1,1,"")</f>
        <v>ip in the Bud</v>
      </c>
    </row>
    <row r="893" spans="1:18" ht="15">
      <c r="A893" s="64" t="s">
        <v>207</v>
      </c>
      <c r="B893" s="64" t="s">
        <v>243</v>
      </c>
      <c r="C893" s="65" t="s">
        <v>4443</v>
      </c>
      <c r="D893" s="66">
        <v>3</v>
      </c>
      <c r="E893" s="67"/>
      <c r="F893" s="68">
        <v>40</v>
      </c>
      <c r="G893" s="65"/>
      <c r="H893" s="69"/>
      <c r="I893" s="70"/>
      <c r="J893" s="70"/>
      <c r="K893" s="34" t="s">
        <v>65</v>
      </c>
      <c r="L893" s="77">
        <v>893</v>
      </c>
      <c r="M893" s="77"/>
      <c r="N893" s="72"/>
      <c r="O893" s="79" t="s">
        <v>610</v>
      </c>
      <c r="P893" s="79">
        <v>1</v>
      </c>
      <c r="Q893" s="78" t="str">
        <f>REPLACE(INDEX(GroupVertices[Group],MATCH(Edges[[#This Row],[Vertex 1]],GroupVertices[Vertex],0)),1,1,"")</f>
        <v>oc Snipes</v>
      </c>
      <c r="R893" s="78" t="str">
        <f>REPLACE(INDEX(GroupVertices[Group],MATCH(Edges[[#This Row],[Vertex 2]],GroupVertices[Vertex],0)),1,1,"")</f>
        <v>emorable Psychiatry and Neurology</v>
      </c>
    </row>
    <row r="894" spans="1:18" ht="15">
      <c r="A894" s="64" t="s">
        <v>230</v>
      </c>
      <c r="B894" s="64" t="s">
        <v>450</v>
      </c>
      <c r="C894" s="65" t="s">
        <v>4443</v>
      </c>
      <c r="D894" s="66">
        <v>3</v>
      </c>
      <c r="E894" s="67"/>
      <c r="F894" s="68">
        <v>40</v>
      </c>
      <c r="G894" s="65"/>
      <c r="H894" s="69"/>
      <c r="I894" s="70"/>
      <c r="J894" s="70"/>
      <c r="K894" s="34" t="s">
        <v>65</v>
      </c>
      <c r="L894" s="77">
        <v>894</v>
      </c>
      <c r="M894" s="77"/>
      <c r="N894" s="72"/>
      <c r="O894" s="79" t="s">
        <v>610</v>
      </c>
      <c r="P894" s="79">
        <v>1</v>
      </c>
      <c r="Q894" s="78" t="str">
        <f>REPLACE(INDEX(GroupVertices[Group],MATCH(Edges[[#This Row],[Vertex 1]],GroupVertices[Vertex],0)),1,1,"")</f>
        <v>len Killian</v>
      </c>
      <c r="R894" s="78" t="str">
        <f>REPLACE(INDEX(GroupVertices[Group],MATCH(Edges[[#This Row],[Vertex 2]],GroupVertices[Vertex],0)),1,1,"")</f>
        <v>ew Glory Ministries</v>
      </c>
    </row>
    <row r="895" spans="1:18" ht="15">
      <c r="A895" s="64" t="s">
        <v>230</v>
      </c>
      <c r="B895" s="64" t="s">
        <v>452</v>
      </c>
      <c r="C895" s="65" t="s">
        <v>4443</v>
      </c>
      <c r="D895" s="66">
        <v>3</v>
      </c>
      <c r="E895" s="67"/>
      <c r="F895" s="68">
        <v>40</v>
      </c>
      <c r="G895" s="65"/>
      <c r="H895" s="69"/>
      <c r="I895" s="70"/>
      <c r="J895" s="70"/>
      <c r="K895" s="34" t="s">
        <v>65</v>
      </c>
      <c r="L895" s="77">
        <v>895</v>
      </c>
      <c r="M895" s="77"/>
      <c r="N895" s="72"/>
      <c r="O895" s="79" t="s">
        <v>610</v>
      </c>
      <c r="P895" s="79">
        <v>1</v>
      </c>
      <c r="Q895" s="78" t="str">
        <f>REPLACE(INDEX(GroupVertices[Group],MATCH(Edges[[#This Row],[Vertex 1]],GroupVertices[Vertex],0)),1,1,"")</f>
        <v>len Killian</v>
      </c>
      <c r="R895" s="78" t="str">
        <f>REPLACE(INDEX(GroupVertices[Group],MATCH(Edges[[#This Row],[Vertex 2]],GroupVertices[Vertex],0)),1,1,"")</f>
        <v>eff Lesher</v>
      </c>
    </row>
    <row r="896" spans="1:18" ht="15">
      <c r="A896" s="64" t="s">
        <v>230</v>
      </c>
      <c r="B896" s="64" t="s">
        <v>453</v>
      </c>
      <c r="C896" s="65" t="s">
        <v>4443</v>
      </c>
      <c r="D896" s="66">
        <v>3</v>
      </c>
      <c r="E896" s="67"/>
      <c r="F896" s="68">
        <v>40</v>
      </c>
      <c r="G896" s="65"/>
      <c r="H896" s="69"/>
      <c r="I896" s="70"/>
      <c r="J896" s="70"/>
      <c r="K896" s="34" t="s">
        <v>65</v>
      </c>
      <c r="L896" s="77">
        <v>896</v>
      </c>
      <c r="M896" s="77"/>
      <c r="N896" s="72"/>
      <c r="O896" s="79" t="s">
        <v>610</v>
      </c>
      <c r="P896" s="79">
        <v>1</v>
      </c>
      <c r="Q896" s="78" t="str">
        <f>REPLACE(INDEX(GroupVertices[Group],MATCH(Edges[[#This Row],[Vertex 1]],GroupVertices[Vertex],0)),1,1,"")</f>
        <v>len Killian</v>
      </c>
      <c r="R896" s="78" t="str">
        <f>REPLACE(INDEX(GroupVertices[Group],MATCH(Edges[[#This Row],[Vertex 2]],GroupVertices[Vertex],0)),1,1,"")</f>
        <v>lite Legacy Coaching</v>
      </c>
    </row>
    <row r="897" spans="1:18" ht="15">
      <c r="A897" s="64" t="s">
        <v>230</v>
      </c>
      <c r="B897" s="64" t="s">
        <v>451</v>
      </c>
      <c r="C897" s="65" t="s">
        <v>4443</v>
      </c>
      <c r="D897" s="66">
        <v>3</v>
      </c>
      <c r="E897" s="67"/>
      <c r="F897" s="68">
        <v>40</v>
      </c>
      <c r="G897" s="65"/>
      <c r="H897" s="69"/>
      <c r="I897" s="70"/>
      <c r="J897" s="70"/>
      <c r="K897" s="34" t="s">
        <v>65</v>
      </c>
      <c r="L897" s="77">
        <v>897</v>
      </c>
      <c r="M897" s="77"/>
      <c r="N897" s="72"/>
      <c r="O897" s="79" t="s">
        <v>610</v>
      </c>
      <c r="P897" s="79">
        <v>1</v>
      </c>
      <c r="Q897" s="78" t="str">
        <f>REPLACE(INDEX(GroupVertices[Group],MATCH(Edges[[#This Row],[Vertex 1]],GroupVertices[Vertex],0)),1,1,"")</f>
        <v>len Killian</v>
      </c>
      <c r="R897" s="78" t="str">
        <f>REPLACE(INDEX(GroupVertices[Group],MATCH(Edges[[#This Row],[Vertex 2]],GroupVertices[Vertex],0)),1,1,"")</f>
        <v>ifeSong Christian Church</v>
      </c>
    </row>
    <row r="898" spans="1:18" ht="15">
      <c r="A898" s="64" t="s">
        <v>230</v>
      </c>
      <c r="B898" s="64" t="s">
        <v>454</v>
      </c>
      <c r="C898" s="65" t="s">
        <v>4443</v>
      </c>
      <c r="D898" s="66">
        <v>3</v>
      </c>
      <c r="E898" s="67"/>
      <c r="F898" s="68">
        <v>40</v>
      </c>
      <c r="G898" s="65"/>
      <c r="H898" s="69"/>
      <c r="I898" s="70"/>
      <c r="J898" s="70"/>
      <c r="K898" s="34" t="s">
        <v>65</v>
      </c>
      <c r="L898" s="77">
        <v>898</v>
      </c>
      <c r="M898" s="77"/>
      <c r="N898" s="72"/>
      <c r="O898" s="79" t="s">
        <v>610</v>
      </c>
      <c r="P898" s="79">
        <v>1</v>
      </c>
      <c r="Q898" s="78" t="str">
        <f>REPLACE(INDEX(GroupVertices[Group],MATCH(Edges[[#This Row],[Vertex 1]],GroupVertices[Vertex],0)),1,1,"")</f>
        <v>len Killian</v>
      </c>
      <c r="R898" s="78" t="str">
        <f>REPLACE(INDEX(GroupVertices[Group],MATCH(Edges[[#This Row],[Vertex 2]],GroupVertices[Vertex],0)),1,1,"")</f>
        <v>om Stubbs</v>
      </c>
    </row>
    <row r="899" spans="1:18" ht="15">
      <c r="A899" s="64" t="s">
        <v>230</v>
      </c>
      <c r="B899" s="64" t="s">
        <v>455</v>
      </c>
      <c r="C899" s="65" t="s">
        <v>4443</v>
      </c>
      <c r="D899" s="66">
        <v>3</v>
      </c>
      <c r="E899" s="67"/>
      <c r="F899" s="68">
        <v>40</v>
      </c>
      <c r="G899" s="65"/>
      <c r="H899" s="69"/>
      <c r="I899" s="70"/>
      <c r="J899" s="70"/>
      <c r="K899" s="34" t="s">
        <v>65</v>
      </c>
      <c r="L899" s="77">
        <v>899</v>
      </c>
      <c r="M899" s="77"/>
      <c r="N899" s="72"/>
      <c r="O899" s="79" t="s">
        <v>610</v>
      </c>
      <c r="P899" s="79">
        <v>1</v>
      </c>
      <c r="Q899" s="78" t="str">
        <f>REPLACE(INDEX(GroupVertices[Group],MATCH(Edges[[#This Row],[Vertex 1]],GroupVertices[Vertex],0)),1,1,"")</f>
        <v>len Killian</v>
      </c>
      <c r="R899" s="78" t="str">
        <f>REPLACE(INDEX(GroupVertices[Group],MATCH(Edges[[#This Row],[Vertex 2]],GroupVertices[Vertex],0)),1,1,"")</f>
        <v>astor2Pastor</v>
      </c>
    </row>
    <row r="900" spans="1:18" ht="15">
      <c r="A900" s="64" t="s">
        <v>230</v>
      </c>
      <c r="B900" s="64" t="s">
        <v>456</v>
      </c>
      <c r="C900" s="65" t="s">
        <v>4443</v>
      </c>
      <c r="D900" s="66">
        <v>3</v>
      </c>
      <c r="E900" s="67"/>
      <c r="F900" s="68">
        <v>40</v>
      </c>
      <c r="G900" s="65"/>
      <c r="H900" s="69"/>
      <c r="I900" s="70"/>
      <c r="J900" s="70"/>
      <c r="K900" s="34" t="s">
        <v>65</v>
      </c>
      <c r="L900" s="77">
        <v>900</v>
      </c>
      <c r="M900" s="77"/>
      <c r="N900" s="72"/>
      <c r="O900" s="79" t="s">
        <v>610</v>
      </c>
      <c r="P900" s="79">
        <v>1</v>
      </c>
      <c r="Q900" s="78" t="str">
        <f>REPLACE(INDEX(GroupVertices[Group],MATCH(Edges[[#This Row],[Vertex 1]],GroupVertices[Vertex],0)),1,1,"")</f>
        <v>len Killian</v>
      </c>
      <c r="R900" s="78" t="str">
        <f>REPLACE(INDEX(GroupVertices[Group],MATCH(Edges[[#This Row],[Vertex 2]],GroupVertices[Vertex],0)),1,1,"")</f>
        <v>eron Spoo</v>
      </c>
    </row>
    <row r="901" spans="1:18" ht="15">
      <c r="A901" s="64" t="s">
        <v>230</v>
      </c>
      <c r="B901" s="64" t="s">
        <v>252</v>
      </c>
      <c r="C901" s="65" t="s">
        <v>4443</v>
      </c>
      <c r="D901" s="66">
        <v>3</v>
      </c>
      <c r="E901" s="67"/>
      <c r="F901" s="68">
        <v>40</v>
      </c>
      <c r="G901" s="65"/>
      <c r="H901" s="69"/>
      <c r="I901" s="70"/>
      <c r="J901" s="70"/>
      <c r="K901" s="34" t="s">
        <v>65</v>
      </c>
      <c r="L901" s="77">
        <v>901</v>
      </c>
      <c r="M901" s="77"/>
      <c r="N901" s="72"/>
      <c r="O901" s="79" t="s">
        <v>610</v>
      </c>
      <c r="P901" s="79">
        <v>1</v>
      </c>
      <c r="Q901" s="78" t="str">
        <f>REPLACE(INDEX(GroupVertices[Group],MATCH(Edges[[#This Row],[Vertex 1]],GroupVertices[Vertex],0)),1,1,"")</f>
        <v>len Killian</v>
      </c>
      <c r="R901" s="78" t="str">
        <f>REPLACE(INDEX(GroupVertices[Group],MATCH(Edges[[#This Row],[Vertex 2]],GroupVertices[Vertex],0)),1,1,"")</f>
        <v>G)I-DLE (여자)아이들 (Official YouTube Channel)</v>
      </c>
    </row>
    <row r="902" spans="1:18" ht="15">
      <c r="A902" s="64" t="s">
        <v>230</v>
      </c>
      <c r="B902" s="64" t="s">
        <v>253</v>
      </c>
      <c r="C902" s="65" t="s">
        <v>4443</v>
      </c>
      <c r="D902" s="66">
        <v>3</v>
      </c>
      <c r="E902" s="67"/>
      <c r="F902" s="68">
        <v>40</v>
      </c>
      <c r="G902" s="65"/>
      <c r="H902" s="69"/>
      <c r="I902" s="70"/>
      <c r="J902" s="70"/>
      <c r="K902" s="34" t="s">
        <v>65</v>
      </c>
      <c r="L902" s="77">
        <v>902</v>
      </c>
      <c r="M902" s="77"/>
      <c r="N902" s="72"/>
      <c r="O902" s="79" t="s">
        <v>610</v>
      </c>
      <c r="P902" s="79">
        <v>1</v>
      </c>
      <c r="Q902" s="78" t="str">
        <f>REPLACE(INDEX(GroupVertices[Group],MATCH(Edges[[#This Row],[Vertex 1]],GroupVertices[Vertex],0)),1,1,"")</f>
        <v>len Killian</v>
      </c>
      <c r="R902" s="78" t="str">
        <f>REPLACE(INDEX(GroupVertices[Group],MATCH(Edges[[#This Row],[Vertex 2]],GroupVertices[Vertex],0)),1,1,"")</f>
        <v>etflix</v>
      </c>
    </row>
    <row r="903" spans="1:18" ht="15">
      <c r="A903" s="64" t="s">
        <v>230</v>
      </c>
      <c r="B903" s="64" t="s">
        <v>261</v>
      </c>
      <c r="C903" s="65" t="s">
        <v>4443</v>
      </c>
      <c r="D903" s="66">
        <v>3</v>
      </c>
      <c r="E903" s="67"/>
      <c r="F903" s="68">
        <v>40</v>
      </c>
      <c r="G903" s="65"/>
      <c r="H903" s="69"/>
      <c r="I903" s="70"/>
      <c r="J903" s="70"/>
      <c r="K903" s="34" t="s">
        <v>65</v>
      </c>
      <c r="L903" s="77">
        <v>903</v>
      </c>
      <c r="M903" s="77"/>
      <c r="N903" s="72"/>
      <c r="O903" s="79" t="s">
        <v>610</v>
      </c>
      <c r="P903" s="79">
        <v>1</v>
      </c>
      <c r="Q903" s="78" t="str">
        <f>REPLACE(INDEX(GroupVertices[Group],MATCH(Edges[[#This Row],[Vertex 1]],GroupVertices[Vertex],0)),1,1,"")</f>
        <v>len Killian</v>
      </c>
      <c r="R903" s="78" t="str">
        <f>REPLACE(INDEX(GroupVertices[Group],MATCH(Edges[[#This Row],[Vertex 2]],GroupVertices[Vertex],0)),1,1,"")</f>
        <v>arkiplier</v>
      </c>
    </row>
    <row r="904" spans="1:18" ht="15">
      <c r="A904" s="64" t="s">
        <v>230</v>
      </c>
      <c r="B904" s="64" t="s">
        <v>262</v>
      </c>
      <c r="C904" s="65" t="s">
        <v>4443</v>
      </c>
      <c r="D904" s="66">
        <v>3</v>
      </c>
      <c r="E904" s="67"/>
      <c r="F904" s="68">
        <v>40</v>
      </c>
      <c r="G904" s="65"/>
      <c r="H904" s="69"/>
      <c r="I904" s="70"/>
      <c r="J904" s="70"/>
      <c r="K904" s="34" t="s">
        <v>65</v>
      </c>
      <c r="L904" s="77">
        <v>904</v>
      </c>
      <c r="M904" s="77"/>
      <c r="N904" s="72"/>
      <c r="O904" s="79" t="s">
        <v>610</v>
      </c>
      <c r="P904" s="79">
        <v>1</v>
      </c>
      <c r="Q904" s="78" t="str">
        <f>REPLACE(INDEX(GroupVertices[Group],MATCH(Edges[[#This Row],[Vertex 1]],GroupVertices[Vertex],0)),1,1,"")</f>
        <v>len Killian</v>
      </c>
      <c r="R904" s="78" t="str">
        <f>REPLACE(INDEX(GroupVertices[Group],MATCH(Edges[[#This Row],[Vertex 2]],GroupVertices[Vertex],0)),1,1,"")</f>
        <v>ractical Engineering</v>
      </c>
    </row>
    <row r="905" spans="1:18" ht="15">
      <c r="A905" s="64" t="s">
        <v>230</v>
      </c>
      <c r="B905" s="64" t="s">
        <v>254</v>
      </c>
      <c r="C905" s="65" t="s">
        <v>4443</v>
      </c>
      <c r="D905" s="66">
        <v>3</v>
      </c>
      <c r="E905" s="67"/>
      <c r="F905" s="68">
        <v>40</v>
      </c>
      <c r="G905" s="65"/>
      <c r="H905" s="69"/>
      <c r="I905" s="70"/>
      <c r="J905" s="70"/>
      <c r="K905" s="34" t="s">
        <v>65</v>
      </c>
      <c r="L905" s="77">
        <v>905</v>
      </c>
      <c r="M905" s="77"/>
      <c r="N905" s="72"/>
      <c r="O905" s="79" t="s">
        <v>610</v>
      </c>
      <c r="P905" s="79">
        <v>1</v>
      </c>
      <c r="Q905" s="78" t="str">
        <f>REPLACE(INDEX(GroupVertices[Group],MATCH(Edges[[#This Row],[Vertex 1]],GroupVertices[Vertex],0)),1,1,"")</f>
        <v>len Killian</v>
      </c>
      <c r="R905" s="78" t="str">
        <f>REPLACE(INDEX(GroupVertices[Group],MATCH(Edges[[#This Row],[Vertex 2]],GroupVertices[Vertex],0)),1,1,"")</f>
        <v>lash of Clans</v>
      </c>
    </row>
    <row r="906" spans="1:18" ht="15">
      <c r="A906" s="64" t="s">
        <v>230</v>
      </c>
      <c r="B906" s="64" t="s">
        <v>255</v>
      </c>
      <c r="C906" s="65" t="s">
        <v>4443</v>
      </c>
      <c r="D906" s="66">
        <v>3</v>
      </c>
      <c r="E906" s="67"/>
      <c r="F906" s="68">
        <v>40</v>
      </c>
      <c r="G906" s="65"/>
      <c r="H906" s="69"/>
      <c r="I906" s="70"/>
      <c r="J906" s="70"/>
      <c r="K906" s="34" t="s">
        <v>65</v>
      </c>
      <c r="L906" s="77">
        <v>906</v>
      </c>
      <c r="M906" s="77"/>
      <c r="N906" s="72"/>
      <c r="O906" s="79" t="s">
        <v>610</v>
      </c>
      <c r="P906" s="79">
        <v>1</v>
      </c>
      <c r="Q906" s="78" t="str">
        <f>REPLACE(INDEX(GroupVertices[Group],MATCH(Edges[[#This Row],[Vertex 1]],GroupVertices[Vertex],0)),1,1,"")</f>
        <v>len Killian</v>
      </c>
      <c r="R906" s="78" t="str">
        <f>REPLACE(INDEX(GroupVertices[Group],MATCH(Edges[[#This Row],[Vertex 2]],GroupVertices[Vertex],0)),1,1,"")</f>
        <v>et's Game It Out</v>
      </c>
    </row>
    <row r="907" spans="1:18" ht="15">
      <c r="A907" s="64" t="s">
        <v>230</v>
      </c>
      <c r="B907" s="64" t="s">
        <v>263</v>
      </c>
      <c r="C907" s="65" t="s">
        <v>4443</v>
      </c>
      <c r="D907" s="66">
        <v>3</v>
      </c>
      <c r="E907" s="67"/>
      <c r="F907" s="68">
        <v>40</v>
      </c>
      <c r="G907" s="65"/>
      <c r="H907" s="69"/>
      <c r="I907" s="70"/>
      <c r="J907" s="70"/>
      <c r="K907" s="34" t="s">
        <v>65</v>
      </c>
      <c r="L907" s="77">
        <v>907</v>
      </c>
      <c r="M907" s="77"/>
      <c r="N907" s="72"/>
      <c r="O907" s="79" t="s">
        <v>610</v>
      </c>
      <c r="P907" s="79">
        <v>1</v>
      </c>
      <c r="Q907" s="78" t="str">
        <f>REPLACE(INDEX(GroupVertices[Group],MATCH(Edges[[#This Row],[Vertex 1]],GroupVertices[Vertex],0)),1,1,"")</f>
        <v>len Killian</v>
      </c>
      <c r="R907" s="78" t="str">
        <f>REPLACE(INDEX(GroupVertices[Group],MATCH(Edges[[#This Row],[Vertex 2]],GroupVertices[Vertex],0)),1,1,"")</f>
        <v>ncognito Mode</v>
      </c>
    </row>
    <row r="908" spans="1:18" ht="15">
      <c r="A908" s="64" t="s">
        <v>230</v>
      </c>
      <c r="B908" s="64" t="s">
        <v>256</v>
      </c>
      <c r="C908" s="65" t="s">
        <v>4443</v>
      </c>
      <c r="D908" s="66">
        <v>3</v>
      </c>
      <c r="E908" s="67"/>
      <c r="F908" s="68">
        <v>40</v>
      </c>
      <c r="G908" s="65"/>
      <c r="H908" s="69"/>
      <c r="I908" s="70"/>
      <c r="J908" s="70"/>
      <c r="K908" s="34" t="s">
        <v>65</v>
      </c>
      <c r="L908" s="77">
        <v>908</v>
      </c>
      <c r="M908" s="77"/>
      <c r="N908" s="72"/>
      <c r="O908" s="79" t="s">
        <v>610</v>
      </c>
      <c r="P908" s="79">
        <v>1</v>
      </c>
      <c r="Q908" s="78" t="str">
        <f>REPLACE(INDEX(GroupVertices[Group],MATCH(Edges[[#This Row],[Vertex 1]],GroupVertices[Vertex],0)),1,1,"")</f>
        <v>len Killian</v>
      </c>
      <c r="R908" s="78" t="str">
        <f>REPLACE(INDEX(GroupVertices[Group],MATCH(Edges[[#This Row],[Vertex 2]],GroupVertices[Vertex],0)),1,1,"")</f>
        <v>arques Brownlee</v>
      </c>
    </row>
    <row r="909" spans="1:18" ht="15">
      <c r="A909" s="64" t="s">
        <v>230</v>
      </c>
      <c r="B909" s="64" t="s">
        <v>257</v>
      </c>
      <c r="C909" s="65" t="s">
        <v>4443</v>
      </c>
      <c r="D909" s="66">
        <v>3</v>
      </c>
      <c r="E909" s="67"/>
      <c r="F909" s="68">
        <v>40</v>
      </c>
      <c r="G909" s="65"/>
      <c r="H909" s="69"/>
      <c r="I909" s="70"/>
      <c r="J909" s="70"/>
      <c r="K909" s="34" t="s">
        <v>65</v>
      </c>
      <c r="L909" s="77">
        <v>909</v>
      </c>
      <c r="M909" s="77"/>
      <c r="N909" s="72"/>
      <c r="O909" s="79" t="s">
        <v>610</v>
      </c>
      <c r="P909" s="79">
        <v>1</v>
      </c>
      <c r="Q909" s="78" t="str">
        <f>REPLACE(INDEX(GroupVertices[Group],MATCH(Edges[[#This Row],[Vertex 1]],GroupVertices[Vertex],0)),1,1,"")</f>
        <v>len Killian</v>
      </c>
      <c r="R909" s="78" t="str">
        <f>REPLACE(INDEX(GroupVertices[Group],MATCH(Edges[[#This Row],[Vertex 2]],GroupVertices[Vertex],0)),1,1,"")</f>
        <v>rchitectural Digest</v>
      </c>
    </row>
    <row r="910" spans="1:18" ht="15">
      <c r="A910" s="64" t="s">
        <v>230</v>
      </c>
      <c r="B910" s="64" t="s">
        <v>258</v>
      </c>
      <c r="C910" s="65" t="s">
        <v>4443</v>
      </c>
      <c r="D910" s="66">
        <v>3</v>
      </c>
      <c r="E910" s="67"/>
      <c r="F910" s="68">
        <v>40</v>
      </c>
      <c r="G910" s="65"/>
      <c r="H910" s="69"/>
      <c r="I910" s="70"/>
      <c r="J910" s="70"/>
      <c r="K910" s="34" t="s">
        <v>65</v>
      </c>
      <c r="L910" s="77">
        <v>910</v>
      </c>
      <c r="M910" s="77"/>
      <c r="N910" s="72"/>
      <c r="O910" s="79" t="s">
        <v>610</v>
      </c>
      <c r="P910" s="79">
        <v>1</v>
      </c>
      <c r="Q910" s="78" t="str">
        <f>REPLACE(INDEX(GroupVertices[Group],MATCH(Edges[[#This Row],[Vertex 1]],GroupVertices[Vertex],0)),1,1,"")</f>
        <v>len Killian</v>
      </c>
      <c r="R910" s="78" t="str">
        <f>REPLACE(INDEX(GroupVertices[Group],MATCH(Edges[[#This Row],[Vertex 2]],GroupVertices[Vertex],0)),1,1,"")</f>
        <v>alt Disney Studios</v>
      </c>
    </row>
    <row r="911" spans="1:18" ht="15">
      <c r="A911" s="64" t="s">
        <v>230</v>
      </c>
      <c r="B911" s="64" t="s">
        <v>259</v>
      </c>
      <c r="C911" s="65" t="s">
        <v>4443</v>
      </c>
      <c r="D911" s="66">
        <v>3</v>
      </c>
      <c r="E911" s="67"/>
      <c r="F911" s="68">
        <v>40</v>
      </c>
      <c r="G911" s="65"/>
      <c r="H911" s="69"/>
      <c r="I911" s="70"/>
      <c r="J911" s="70"/>
      <c r="K911" s="34" t="s">
        <v>65</v>
      </c>
      <c r="L911" s="77">
        <v>911</v>
      </c>
      <c r="M911" s="77"/>
      <c r="N911" s="72"/>
      <c r="O911" s="79" t="s">
        <v>610</v>
      </c>
      <c r="P911" s="79">
        <v>1</v>
      </c>
      <c r="Q911" s="78" t="str">
        <f>REPLACE(INDEX(GroupVertices[Group],MATCH(Edges[[#This Row],[Vertex 1]],GroupVertices[Vertex],0)),1,1,"")</f>
        <v>len Killian</v>
      </c>
      <c r="R911" s="78" t="str">
        <f>REPLACE(INDEX(GroupVertices[Group],MATCH(Edges[[#This Row],[Vertex 2]],GroupVertices[Vertex],0)),1,1,"")</f>
        <v>kip and Shannon: UNDISPUTED</v>
      </c>
    </row>
    <row r="912" spans="1:18" ht="15">
      <c r="A912" s="64" t="s">
        <v>230</v>
      </c>
      <c r="B912" s="64" t="s">
        <v>260</v>
      </c>
      <c r="C912" s="65" t="s">
        <v>4443</v>
      </c>
      <c r="D912" s="66">
        <v>3</v>
      </c>
      <c r="E912" s="67"/>
      <c r="F912" s="68">
        <v>40</v>
      </c>
      <c r="G912" s="65"/>
      <c r="H912" s="69"/>
      <c r="I912" s="70"/>
      <c r="J912" s="70"/>
      <c r="K912" s="34" t="s">
        <v>65</v>
      </c>
      <c r="L912" s="77">
        <v>912</v>
      </c>
      <c r="M912" s="77"/>
      <c r="N912" s="72"/>
      <c r="O912" s="79" t="s">
        <v>610</v>
      </c>
      <c r="P912" s="79">
        <v>1</v>
      </c>
      <c r="Q912" s="78" t="str">
        <f>REPLACE(INDEX(GroupVertices[Group],MATCH(Edges[[#This Row],[Vertex 1]],GroupVertices[Vertex],0)),1,1,"")</f>
        <v>len Killian</v>
      </c>
      <c r="R912" s="78" t="str">
        <f>REPLACE(INDEX(GroupVertices[Group],MATCH(Edges[[#This Row],[Vertex 2]],GroupVertices[Vertex],0)),1,1,"")</f>
        <v>hakira</v>
      </c>
    </row>
    <row r="913" spans="1:18" ht="15">
      <c r="A913" s="64" t="s">
        <v>240</v>
      </c>
      <c r="B913" s="64" t="s">
        <v>2426</v>
      </c>
      <c r="C913" s="65" t="s">
        <v>4443</v>
      </c>
      <c r="D913" s="66">
        <v>3</v>
      </c>
      <c r="E913" s="67"/>
      <c r="F913" s="68">
        <v>40</v>
      </c>
      <c r="G913" s="65"/>
      <c r="H913" s="69"/>
      <c r="I913" s="70"/>
      <c r="J913" s="70"/>
      <c r="K913" s="34" t="s">
        <v>65</v>
      </c>
      <c r="L913" s="77">
        <v>913</v>
      </c>
      <c r="M913" s="77"/>
      <c r="N913" s="72"/>
      <c r="O913" s="79" t="s">
        <v>610</v>
      </c>
      <c r="P913" s="79">
        <v>1</v>
      </c>
      <c r="Q913" s="78" t="str">
        <f>REPLACE(INDEX(GroupVertices[Group],MATCH(Edges[[#This Row],[Vertex 1]],GroupVertices[Vertex],0)),1,1,"")</f>
        <v>edical Knowledge Online</v>
      </c>
      <c r="R913" s="78" t="str">
        <f>REPLACE(INDEX(GroupVertices[Group],MATCH(Edges[[#This Row],[Vertex 2]],GroupVertices[Vertex],0)),1,1,"")</f>
        <v>arayana Health</v>
      </c>
    </row>
    <row r="914" spans="1:18" ht="15">
      <c r="A914" s="64" t="s">
        <v>240</v>
      </c>
      <c r="B914" s="64" t="s">
        <v>2394</v>
      </c>
      <c r="C914" s="65" t="s">
        <v>4443</v>
      </c>
      <c r="D914" s="66">
        <v>3</v>
      </c>
      <c r="E914" s="67"/>
      <c r="F914" s="68">
        <v>40</v>
      </c>
      <c r="G914" s="65"/>
      <c r="H914" s="69"/>
      <c r="I914" s="70"/>
      <c r="J914" s="70"/>
      <c r="K914" s="34" t="s">
        <v>65</v>
      </c>
      <c r="L914" s="77">
        <v>914</v>
      </c>
      <c r="M914" s="77"/>
      <c r="N914" s="72"/>
      <c r="O914" s="79" t="s">
        <v>610</v>
      </c>
      <c r="P914" s="79">
        <v>1</v>
      </c>
      <c r="Q914" s="78" t="str">
        <f>REPLACE(INDEX(GroupVertices[Group],MATCH(Edges[[#This Row],[Vertex 1]],GroupVertices[Vertex],0)),1,1,"")</f>
        <v>edical Knowledge Online</v>
      </c>
      <c r="R914" s="78" t="str">
        <f>REPLACE(INDEX(GroupVertices[Group],MATCH(Edges[[#This Row],[Vertex 2]],GroupVertices[Vertex],0)),1,1,"")</f>
        <v>OOGLY MCI Education</v>
      </c>
    </row>
    <row r="915" spans="1:18" ht="15">
      <c r="A915" s="64" t="s">
        <v>240</v>
      </c>
      <c r="B915" s="64" t="s">
        <v>2407</v>
      </c>
      <c r="C915" s="65" t="s">
        <v>4443</v>
      </c>
      <c r="D915" s="66">
        <v>3</v>
      </c>
      <c r="E915" s="67"/>
      <c r="F915" s="68">
        <v>40</v>
      </c>
      <c r="G915" s="65"/>
      <c r="H915" s="69"/>
      <c r="I915" s="70"/>
      <c r="J915" s="70"/>
      <c r="K915" s="34" t="s">
        <v>65</v>
      </c>
      <c r="L915" s="77">
        <v>915</v>
      </c>
      <c r="M915" s="77"/>
      <c r="N915" s="72"/>
      <c r="O915" s="79" t="s">
        <v>610</v>
      </c>
      <c r="P915" s="79">
        <v>1</v>
      </c>
      <c r="Q915" s="78" t="str">
        <f>REPLACE(INDEX(GroupVertices[Group],MATCH(Edges[[#This Row],[Vertex 1]],GroupVertices[Vertex],0)),1,1,"")</f>
        <v>edical Knowledge Online</v>
      </c>
      <c r="R915" s="78" t="str">
        <f>REPLACE(INDEX(GroupVertices[Group],MATCH(Edges[[#This Row],[Vertex 2]],GroupVertices[Vertex],0)),1,1,"")</f>
        <v>tudent</v>
      </c>
    </row>
    <row r="916" spans="1:18" ht="15">
      <c r="A916" s="64" t="s">
        <v>240</v>
      </c>
      <c r="B916" s="64" t="s">
        <v>2406</v>
      </c>
      <c r="C916" s="65" t="s">
        <v>4443</v>
      </c>
      <c r="D916" s="66">
        <v>3</v>
      </c>
      <c r="E916" s="67"/>
      <c r="F916" s="68">
        <v>40</v>
      </c>
      <c r="G916" s="65"/>
      <c r="H916" s="69"/>
      <c r="I916" s="70"/>
      <c r="J916" s="70"/>
      <c r="K916" s="34" t="s">
        <v>65</v>
      </c>
      <c r="L916" s="77">
        <v>916</v>
      </c>
      <c r="M916" s="77"/>
      <c r="N916" s="72"/>
      <c r="O916" s="79" t="s">
        <v>610</v>
      </c>
      <c r="P916" s="79">
        <v>1</v>
      </c>
      <c r="Q916" s="78" t="str">
        <f>REPLACE(INDEX(GroupVertices[Group],MATCH(Edges[[#This Row],[Vertex 1]],GroupVertices[Vertex],0)),1,1,"")</f>
        <v>edical Knowledge Online</v>
      </c>
      <c r="R916" s="78" t="str">
        <f>REPLACE(INDEX(GroupVertices[Group],MATCH(Edges[[#This Row],[Vertex 2]],GroupVertices[Vertex],0)),1,1,"")</f>
        <v>nn Hilado</v>
      </c>
    </row>
    <row r="917" spans="1:18" ht="15">
      <c r="A917" s="64" t="s">
        <v>240</v>
      </c>
      <c r="B917" s="64" t="s">
        <v>2427</v>
      </c>
      <c r="C917" s="65" t="s">
        <v>4443</v>
      </c>
      <c r="D917" s="66">
        <v>3</v>
      </c>
      <c r="E917" s="67"/>
      <c r="F917" s="68">
        <v>40</v>
      </c>
      <c r="G917" s="65"/>
      <c r="H917" s="69"/>
      <c r="I917" s="70"/>
      <c r="J917" s="70"/>
      <c r="K917" s="34" t="s">
        <v>65</v>
      </c>
      <c r="L917" s="77">
        <v>917</v>
      </c>
      <c r="M917" s="77"/>
      <c r="N917" s="72"/>
      <c r="O917" s="79" t="s">
        <v>610</v>
      </c>
      <c r="P917" s="79">
        <v>1</v>
      </c>
      <c r="Q917" s="78" t="str">
        <f>REPLACE(INDEX(GroupVertices[Group],MATCH(Edges[[#This Row],[Vertex 1]],GroupVertices[Vertex],0)),1,1,"")</f>
        <v>edical Knowledge Online</v>
      </c>
      <c r="R917" s="78" t="str">
        <f>REPLACE(INDEX(GroupVertices[Group],MATCH(Edges[[#This Row],[Vertex 2]],GroupVertices[Vertex],0)),1,1,"")</f>
        <v>exus Lifecare Pvt Ltd</v>
      </c>
    </row>
    <row r="918" spans="1:18" ht="15">
      <c r="A918" s="64" t="s">
        <v>240</v>
      </c>
      <c r="B918" s="64" t="s">
        <v>2405</v>
      </c>
      <c r="C918" s="65" t="s">
        <v>4443</v>
      </c>
      <c r="D918" s="66">
        <v>3</v>
      </c>
      <c r="E918" s="67"/>
      <c r="F918" s="68">
        <v>40</v>
      </c>
      <c r="G918" s="65"/>
      <c r="H918" s="69"/>
      <c r="I918" s="70"/>
      <c r="J918" s="70"/>
      <c r="K918" s="34" t="s">
        <v>65</v>
      </c>
      <c r="L918" s="77">
        <v>918</v>
      </c>
      <c r="M918" s="77"/>
      <c r="N918" s="72"/>
      <c r="O918" s="79" t="s">
        <v>610</v>
      </c>
      <c r="P918" s="79">
        <v>1</v>
      </c>
      <c r="Q918" s="78" t="str">
        <f>REPLACE(INDEX(GroupVertices[Group],MATCH(Edges[[#This Row],[Vertex 1]],GroupVertices[Vertex],0)),1,1,"")</f>
        <v>edical Knowledge Online</v>
      </c>
      <c r="R918" s="78" t="str">
        <f>REPLACE(INDEX(GroupVertices[Group],MATCH(Edges[[#This Row],[Vertex 2]],GroupVertices[Vertex],0)),1,1,"")</f>
        <v>BEGAIL CORDERO</v>
      </c>
    </row>
    <row r="919" spans="1:18" ht="15">
      <c r="A919" s="64" t="s">
        <v>240</v>
      </c>
      <c r="B919" s="64" t="s">
        <v>2428</v>
      </c>
      <c r="C919" s="65" t="s">
        <v>4443</v>
      </c>
      <c r="D919" s="66">
        <v>3</v>
      </c>
      <c r="E919" s="67"/>
      <c r="F919" s="68">
        <v>40</v>
      </c>
      <c r="G919" s="65"/>
      <c r="H919" s="69"/>
      <c r="I919" s="70"/>
      <c r="J919" s="70"/>
      <c r="K919" s="34" t="s">
        <v>65</v>
      </c>
      <c r="L919" s="77">
        <v>919</v>
      </c>
      <c r="M919" s="77"/>
      <c r="N919" s="72"/>
      <c r="O919" s="79" t="s">
        <v>610</v>
      </c>
      <c r="P919" s="79">
        <v>1</v>
      </c>
      <c r="Q919" s="78" t="str">
        <f>REPLACE(INDEX(GroupVertices[Group],MATCH(Edges[[#This Row],[Vertex 1]],GroupVertices[Vertex],0)),1,1,"")</f>
        <v>edical Knowledge Online</v>
      </c>
      <c r="R919" s="78" t="str">
        <f>REPLACE(INDEX(GroupVertices[Group],MATCH(Edges[[#This Row],[Vertex 2]],GroupVertices[Vertex],0)),1,1,"")</f>
        <v>earning lessons</v>
      </c>
    </row>
    <row r="920" spans="1:18" ht="15">
      <c r="A920" s="64" t="s">
        <v>240</v>
      </c>
      <c r="B920" s="64" t="s">
        <v>2429</v>
      </c>
      <c r="C920" s="65" t="s">
        <v>4443</v>
      </c>
      <c r="D920" s="66">
        <v>3</v>
      </c>
      <c r="E920" s="67"/>
      <c r="F920" s="68">
        <v>40</v>
      </c>
      <c r="G920" s="65"/>
      <c r="H920" s="69"/>
      <c r="I920" s="70"/>
      <c r="J920" s="70"/>
      <c r="K920" s="34" t="s">
        <v>65</v>
      </c>
      <c r="L920" s="77">
        <v>920</v>
      </c>
      <c r="M920" s="77"/>
      <c r="N920" s="72"/>
      <c r="O920" s="79" t="s">
        <v>610</v>
      </c>
      <c r="P920" s="79">
        <v>1</v>
      </c>
      <c r="Q920" s="78" t="str">
        <f>REPLACE(INDEX(GroupVertices[Group],MATCH(Edges[[#This Row],[Vertex 1]],GroupVertices[Vertex],0)),1,1,"")</f>
        <v>edical Knowledge Online</v>
      </c>
      <c r="R920" s="78" t="str">
        <f>REPLACE(INDEX(GroupVertices[Group],MATCH(Edges[[#This Row],[Vertex 2]],GroupVertices[Vertex],0)),1,1,"")</f>
        <v>rianah Jen Matuco</v>
      </c>
    </row>
    <row r="921" spans="1:18" ht="15">
      <c r="A921" s="64" t="s">
        <v>240</v>
      </c>
      <c r="B921" s="64" t="s">
        <v>2430</v>
      </c>
      <c r="C921" s="65" t="s">
        <v>4443</v>
      </c>
      <c r="D921" s="66">
        <v>3</v>
      </c>
      <c r="E921" s="67"/>
      <c r="F921" s="68">
        <v>40</v>
      </c>
      <c r="G921" s="65"/>
      <c r="H921" s="69"/>
      <c r="I921" s="70"/>
      <c r="J921" s="70"/>
      <c r="K921" s="34" t="s">
        <v>65</v>
      </c>
      <c r="L921" s="77">
        <v>921</v>
      </c>
      <c r="M921" s="77"/>
      <c r="N921" s="72"/>
      <c r="O921" s="79" t="s">
        <v>610</v>
      </c>
      <c r="P921" s="79">
        <v>1</v>
      </c>
      <c r="Q921" s="78" t="str">
        <f>REPLACE(INDEX(GroupVertices[Group],MATCH(Edges[[#This Row],[Vertex 1]],GroupVertices[Vertex],0)),1,1,"")</f>
        <v>edical Knowledge Online</v>
      </c>
      <c r="R921" s="78" t="str">
        <f>REPLACE(INDEX(GroupVertices[Group],MATCH(Edges[[#This Row],[Vertex 2]],GroupVertices[Vertex],0)),1,1,"")</f>
        <v>ilyana guillermo</v>
      </c>
    </row>
    <row r="922" spans="1:18" ht="15">
      <c r="A922" s="64" t="s">
        <v>240</v>
      </c>
      <c r="B922" s="64" t="s">
        <v>2431</v>
      </c>
      <c r="C922" s="65" t="s">
        <v>4443</v>
      </c>
      <c r="D922" s="66">
        <v>3</v>
      </c>
      <c r="E922" s="67"/>
      <c r="F922" s="68">
        <v>40</v>
      </c>
      <c r="G922" s="65"/>
      <c r="H922" s="69"/>
      <c r="I922" s="70"/>
      <c r="J922" s="70"/>
      <c r="K922" s="34" t="s">
        <v>65</v>
      </c>
      <c r="L922" s="77">
        <v>922</v>
      </c>
      <c r="M922" s="77"/>
      <c r="N922" s="72"/>
      <c r="O922" s="79" t="s">
        <v>610</v>
      </c>
      <c r="P922" s="79">
        <v>1</v>
      </c>
      <c r="Q922" s="78" t="str">
        <f>REPLACE(INDEX(GroupVertices[Group],MATCH(Edges[[#This Row],[Vertex 1]],GroupVertices[Vertex],0)),1,1,"")</f>
        <v>edical Knowledge Online</v>
      </c>
      <c r="R922" s="78" t="str">
        <f>REPLACE(INDEX(GroupVertices[Group],MATCH(Edges[[#This Row],[Vertex 2]],GroupVertices[Vertex],0)),1,1,"")</f>
        <v>orensic Science English</v>
      </c>
    </row>
    <row r="923" spans="1:18" ht="15">
      <c r="A923" s="64" t="s">
        <v>240</v>
      </c>
      <c r="B923" s="64" t="s">
        <v>277</v>
      </c>
      <c r="C923" s="65" t="s">
        <v>4443</v>
      </c>
      <c r="D923" s="66">
        <v>3</v>
      </c>
      <c r="E923" s="67"/>
      <c r="F923" s="68">
        <v>40</v>
      </c>
      <c r="G923" s="65"/>
      <c r="H923" s="69"/>
      <c r="I923" s="70"/>
      <c r="J923" s="70"/>
      <c r="K923" s="34" t="s">
        <v>65</v>
      </c>
      <c r="L923" s="77">
        <v>923</v>
      </c>
      <c r="M923" s="77"/>
      <c r="N923" s="72"/>
      <c r="O923" s="79" t="s">
        <v>610</v>
      </c>
      <c r="P923" s="79">
        <v>1</v>
      </c>
      <c r="Q923" s="78" t="str">
        <f>REPLACE(INDEX(GroupVertices[Group],MATCH(Edges[[#This Row],[Vertex 1]],GroupVertices[Vertex],0)),1,1,"")</f>
        <v>edical Knowledge Online</v>
      </c>
      <c r="R923" s="78" t="str">
        <f>REPLACE(INDEX(GroupVertices[Group],MATCH(Edges[[#This Row],[Vertex 2]],GroupVertices[Vertex],0)),1,1,"")</f>
        <v>earning with Aditya_Goswami0.2</v>
      </c>
    </row>
    <row r="924" spans="1:18" ht="15">
      <c r="A924" s="64" t="s">
        <v>240</v>
      </c>
      <c r="B924" s="64" t="s">
        <v>2432</v>
      </c>
      <c r="C924" s="65" t="s">
        <v>4443</v>
      </c>
      <c r="D924" s="66">
        <v>3</v>
      </c>
      <c r="E924" s="67"/>
      <c r="F924" s="68">
        <v>40</v>
      </c>
      <c r="G924" s="65"/>
      <c r="H924" s="69"/>
      <c r="I924" s="70"/>
      <c r="J924" s="70"/>
      <c r="K924" s="34" t="s">
        <v>65</v>
      </c>
      <c r="L924" s="77">
        <v>924</v>
      </c>
      <c r="M924" s="77"/>
      <c r="N924" s="72"/>
      <c r="O924" s="79" t="s">
        <v>610</v>
      </c>
      <c r="P924" s="79">
        <v>1</v>
      </c>
      <c r="Q924" s="78" t="str">
        <f>REPLACE(INDEX(GroupVertices[Group],MATCH(Edges[[#This Row],[Vertex 1]],GroupVertices[Vertex],0)),1,1,"")</f>
        <v>edical Knowledge Online</v>
      </c>
      <c r="R924" s="78" t="str">
        <f>REPLACE(INDEX(GroupVertices[Group],MATCH(Edges[[#This Row],[Vertex 2]],GroupVertices[Vertex],0)),1,1,"")</f>
        <v>yan पे</v>
      </c>
    </row>
    <row r="925" spans="1:18" ht="15">
      <c r="A925" s="64" t="s">
        <v>240</v>
      </c>
      <c r="B925" s="64" t="s">
        <v>2433</v>
      </c>
      <c r="C925" s="65" t="s">
        <v>4443</v>
      </c>
      <c r="D925" s="66">
        <v>3</v>
      </c>
      <c r="E925" s="67"/>
      <c r="F925" s="68">
        <v>40</v>
      </c>
      <c r="G925" s="65"/>
      <c r="H925" s="69"/>
      <c r="I925" s="70"/>
      <c r="J925" s="70"/>
      <c r="K925" s="34" t="s">
        <v>65</v>
      </c>
      <c r="L925" s="77">
        <v>925</v>
      </c>
      <c r="M925" s="77"/>
      <c r="N925" s="72"/>
      <c r="O925" s="79" t="s">
        <v>610</v>
      </c>
      <c r="P925" s="79">
        <v>1</v>
      </c>
      <c r="Q925" s="78" t="str">
        <f>REPLACE(INDEX(GroupVertices[Group],MATCH(Edges[[#This Row],[Vertex 1]],GroupVertices[Vertex],0)),1,1,"")</f>
        <v>edical Knowledge Online</v>
      </c>
      <c r="R925" s="78" t="str">
        <f>REPLACE(INDEX(GroupVertices[Group],MATCH(Edges[[#This Row],[Vertex 2]],GroupVertices[Vertex],0)),1,1,"")</f>
        <v>epartment of Education, VCW, KFI, Rajghat, Vns</v>
      </c>
    </row>
    <row r="926" spans="1:18" ht="15">
      <c r="A926" s="64" t="s">
        <v>240</v>
      </c>
      <c r="B926" s="64" t="s">
        <v>2434</v>
      </c>
      <c r="C926" s="65" t="s">
        <v>4443</v>
      </c>
      <c r="D926" s="66">
        <v>3</v>
      </c>
      <c r="E926" s="67"/>
      <c r="F926" s="68">
        <v>40</v>
      </c>
      <c r="G926" s="65"/>
      <c r="H926" s="69"/>
      <c r="I926" s="70"/>
      <c r="J926" s="70"/>
      <c r="K926" s="34" t="s">
        <v>65</v>
      </c>
      <c r="L926" s="77">
        <v>926</v>
      </c>
      <c r="M926" s="77"/>
      <c r="N926" s="72"/>
      <c r="O926" s="79" t="s">
        <v>610</v>
      </c>
      <c r="P926" s="79">
        <v>1</v>
      </c>
      <c r="Q926" s="78" t="str">
        <f>REPLACE(INDEX(GroupVertices[Group],MATCH(Edges[[#This Row],[Vertex 1]],GroupVertices[Vertex],0)),1,1,"")</f>
        <v>edical Knowledge Online</v>
      </c>
      <c r="R926" s="78" t="str">
        <f>REPLACE(INDEX(GroupVertices[Group],MATCH(Edges[[#This Row],[Vertex 2]],GroupVertices[Vertex],0)),1,1,"")</f>
        <v>li Pharmapedia</v>
      </c>
    </row>
    <row r="927" spans="1:18" ht="15">
      <c r="A927" s="64" t="s">
        <v>240</v>
      </c>
      <c r="B927" s="64" t="s">
        <v>289</v>
      </c>
      <c r="C927" s="65" t="s">
        <v>4443</v>
      </c>
      <c r="D927" s="66">
        <v>3</v>
      </c>
      <c r="E927" s="67"/>
      <c r="F927" s="68">
        <v>40</v>
      </c>
      <c r="G927" s="65"/>
      <c r="H927" s="69"/>
      <c r="I927" s="70"/>
      <c r="J927" s="70"/>
      <c r="K927" s="34" t="s">
        <v>65</v>
      </c>
      <c r="L927" s="77">
        <v>927</v>
      </c>
      <c r="M927" s="77"/>
      <c r="N927" s="72"/>
      <c r="O927" s="79" t="s">
        <v>610</v>
      </c>
      <c r="P927" s="79">
        <v>1</v>
      </c>
      <c r="Q927" s="78" t="str">
        <f>REPLACE(INDEX(GroupVertices[Group],MATCH(Edges[[#This Row],[Vertex 1]],GroupVertices[Vertex],0)),1,1,"")</f>
        <v>edical Knowledge Online</v>
      </c>
      <c r="R927" s="78" t="str">
        <f>REPLACE(INDEX(GroupVertices[Group],MATCH(Edges[[#This Row],[Vertex 2]],GroupVertices[Vertex],0)),1,1,"")</f>
        <v>appy Nursing</v>
      </c>
    </row>
    <row r="928" spans="1:18" ht="15">
      <c r="A928" s="64" t="s">
        <v>240</v>
      </c>
      <c r="B928" s="64" t="s">
        <v>2435</v>
      </c>
      <c r="C928" s="65" t="s">
        <v>4443</v>
      </c>
      <c r="D928" s="66">
        <v>3</v>
      </c>
      <c r="E928" s="67"/>
      <c r="F928" s="68">
        <v>40</v>
      </c>
      <c r="G928" s="65"/>
      <c r="H928" s="69"/>
      <c r="I928" s="70"/>
      <c r="J928" s="70"/>
      <c r="K928" s="34" t="s">
        <v>65</v>
      </c>
      <c r="L928" s="77">
        <v>928</v>
      </c>
      <c r="M928" s="77"/>
      <c r="N928" s="72"/>
      <c r="O928" s="79" t="s">
        <v>610</v>
      </c>
      <c r="P928" s="79">
        <v>1</v>
      </c>
      <c r="Q928" s="78" t="str">
        <f>REPLACE(INDEX(GroupVertices[Group],MATCH(Edges[[#This Row],[Vertex 1]],GroupVertices[Vertex],0)),1,1,"")</f>
        <v>edical Knowledge Online</v>
      </c>
      <c r="R928" s="78" t="str">
        <f>REPLACE(INDEX(GroupVertices[Group],MATCH(Edges[[#This Row],[Vertex 2]],GroupVertices[Vertex],0)),1,1,"")</f>
        <v>ovin Riza</v>
      </c>
    </row>
    <row r="929" spans="1:18" ht="15">
      <c r="A929" s="64" t="s">
        <v>240</v>
      </c>
      <c r="B929" s="64" t="s">
        <v>2436</v>
      </c>
      <c r="C929" s="65" t="s">
        <v>4443</v>
      </c>
      <c r="D929" s="66">
        <v>3</v>
      </c>
      <c r="E929" s="67"/>
      <c r="F929" s="68">
        <v>40</v>
      </c>
      <c r="G929" s="65"/>
      <c r="H929" s="69"/>
      <c r="I929" s="70"/>
      <c r="J929" s="70"/>
      <c r="K929" s="34" t="s">
        <v>65</v>
      </c>
      <c r="L929" s="77">
        <v>929</v>
      </c>
      <c r="M929" s="77"/>
      <c r="N929" s="72"/>
      <c r="O929" s="79" t="s">
        <v>610</v>
      </c>
      <c r="P929" s="79">
        <v>1</v>
      </c>
      <c r="Q929" s="78" t="str">
        <f>REPLACE(INDEX(GroupVertices[Group],MATCH(Edges[[#This Row],[Vertex 1]],GroupVertices[Vertex],0)),1,1,"")</f>
        <v>edical Knowledge Online</v>
      </c>
      <c r="R929" s="78" t="str">
        <f>REPLACE(INDEX(GroupVertices[Group],MATCH(Edges[[#This Row],[Vertex 2]],GroupVertices[Vertex],0)),1,1,"")</f>
        <v>ducation Point14</v>
      </c>
    </row>
    <row r="930" spans="1:18" ht="15">
      <c r="A930" s="64" t="s">
        <v>240</v>
      </c>
      <c r="B930" s="64" t="s">
        <v>2437</v>
      </c>
      <c r="C930" s="65" t="s">
        <v>4443</v>
      </c>
      <c r="D930" s="66">
        <v>3</v>
      </c>
      <c r="E930" s="67"/>
      <c r="F930" s="68">
        <v>40</v>
      </c>
      <c r="G930" s="65"/>
      <c r="H930" s="69"/>
      <c r="I930" s="70"/>
      <c r="J930" s="70"/>
      <c r="K930" s="34" t="s">
        <v>65</v>
      </c>
      <c r="L930" s="77">
        <v>930</v>
      </c>
      <c r="M930" s="77"/>
      <c r="N930" s="72"/>
      <c r="O930" s="79" t="s">
        <v>610</v>
      </c>
      <c r="P930" s="79">
        <v>1</v>
      </c>
      <c r="Q930" s="78" t="str">
        <f>REPLACE(INDEX(GroupVertices[Group],MATCH(Edges[[#This Row],[Vertex 1]],GroupVertices[Vertex],0)),1,1,"")</f>
        <v>edical Knowledge Online</v>
      </c>
      <c r="R930" s="78" t="str">
        <f>REPLACE(INDEX(GroupVertices[Group],MATCH(Edges[[#This Row],[Vertex 2]],GroupVertices[Vertex],0)),1,1,"")</f>
        <v>nju ka Jahan (a mom's world)</v>
      </c>
    </row>
    <row r="931" spans="1:18" ht="15">
      <c r="A931" s="64" t="s">
        <v>240</v>
      </c>
      <c r="B931" s="64" t="s">
        <v>2438</v>
      </c>
      <c r="C931" s="65" t="s">
        <v>4443</v>
      </c>
      <c r="D931" s="66">
        <v>3</v>
      </c>
      <c r="E931" s="67"/>
      <c r="F931" s="68">
        <v>40</v>
      </c>
      <c r="G931" s="65"/>
      <c r="H931" s="69"/>
      <c r="I931" s="70"/>
      <c r="J931" s="70"/>
      <c r="K931" s="34" t="s">
        <v>65</v>
      </c>
      <c r="L931" s="77">
        <v>931</v>
      </c>
      <c r="M931" s="77"/>
      <c r="N931" s="72"/>
      <c r="O931" s="79" t="s">
        <v>610</v>
      </c>
      <c r="P931" s="79">
        <v>1</v>
      </c>
      <c r="Q931" s="78" t="str">
        <f>REPLACE(INDEX(GroupVertices[Group],MATCH(Edges[[#This Row],[Vertex 1]],GroupVertices[Vertex],0)),1,1,"")</f>
        <v>edical Knowledge Online</v>
      </c>
      <c r="R931" s="78" t="str">
        <f>REPLACE(INDEX(GroupVertices[Group],MATCH(Edges[[#This Row],[Vertex 2]],GroupVertices[Vertex],0)),1,1,"")</f>
        <v>HE LiVEEYE : VDO</v>
      </c>
    </row>
    <row r="932" spans="1:18" ht="15">
      <c r="A932" s="64" t="s">
        <v>240</v>
      </c>
      <c r="B932" s="64" t="s">
        <v>2408</v>
      </c>
      <c r="C932" s="65" t="s">
        <v>4443</v>
      </c>
      <c r="D932" s="66">
        <v>3</v>
      </c>
      <c r="E932" s="67"/>
      <c r="F932" s="68">
        <v>40</v>
      </c>
      <c r="G932" s="65"/>
      <c r="H932" s="69"/>
      <c r="I932" s="70"/>
      <c r="J932" s="70"/>
      <c r="K932" s="34" t="s">
        <v>65</v>
      </c>
      <c r="L932" s="77">
        <v>932</v>
      </c>
      <c r="M932" s="77"/>
      <c r="N932" s="72"/>
      <c r="O932" s="79" t="s">
        <v>610</v>
      </c>
      <c r="P932" s="79">
        <v>1</v>
      </c>
      <c r="Q932" s="78" t="str">
        <f>REPLACE(INDEX(GroupVertices[Group],MATCH(Edges[[#This Row],[Vertex 1]],GroupVertices[Vertex],0)),1,1,"")</f>
        <v>edical Knowledge Online</v>
      </c>
      <c r="R932" s="78" t="str">
        <f>REPLACE(INDEX(GroupVertices[Group],MATCH(Edges[[#This Row],[Vertex 2]],GroupVertices[Vertex],0)),1,1,"")</f>
        <v>sychology TV | Win by Learning</v>
      </c>
    </row>
    <row r="933" spans="1:18" ht="15">
      <c r="A933" s="64" t="s">
        <v>240</v>
      </c>
      <c r="B933" s="64" t="s">
        <v>2439</v>
      </c>
      <c r="C933" s="65" t="s">
        <v>4443</v>
      </c>
      <c r="D933" s="66">
        <v>3</v>
      </c>
      <c r="E933" s="67"/>
      <c r="F933" s="68">
        <v>40</v>
      </c>
      <c r="G933" s="65"/>
      <c r="H933" s="69"/>
      <c r="I933" s="70"/>
      <c r="J933" s="70"/>
      <c r="K933" s="34" t="s">
        <v>65</v>
      </c>
      <c r="L933" s="77">
        <v>933</v>
      </c>
      <c r="M933" s="77"/>
      <c r="N933" s="72"/>
      <c r="O933" s="79" t="s">
        <v>610</v>
      </c>
      <c r="P933" s="79">
        <v>1</v>
      </c>
      <c r="Q933" s="78" t="str">
        <f>REPLACE(INDEX(GroupVertices[Group],MATCH(Edges[[#This Row],[Vertex 1]],GroupVertices[Vertex],0)),1,1,"")</f>
        <v>edical Knowledge Online</v>
      </c>
      <c r="R933" s="78" t="str">
        <f>REPLACE(INDEX(GroupVertices[Group],MATCH(Edges[[#This Row],[Vertex 2]],GroupVertices[Vertex],0)),1,1,"")</f>
        <v>edical Lovin</v>
      </c>
    </row>
    <row r="934" spans="1:18" ht="15">
      <c r="A934" s="64" t="s">
        <v>240</v>
      </c>
      <c r="B934" s="64" t="s">
        <v>2440</v>
      </c>
      <c r="C934" s="65" t="s">
        <v>4443</v>
      </c>
      <c r="D934" s="66">
        <v>3</v>
      </c>
      <c r="E934" s="67"/>
      <c r="F934" s="68">
        <v>40</v>
      </c>
      <c r="G934" s="65"/>
      <c r="H934" s="69"/>
      <c r="I934" s="70"/>
      <c r="J934" s="70"/>
      <c r="K934" s="34" t="s">
        <v>65</v>
      </c>
      <c r="L934" s="77">
        <v>934</v>
      </c>
      <c r="M934" s="77"/>
      <c r="N934" s="72"/>
      <c r="O934" s="79" t="s">
        <v>610</v>
      </c>
      <c r="P934" s="79">
        <v>1</v>
      </c>
      <c r="Q934" s="78" t="str">
        <f>REPLACE(INDEX(GroupVertices[Group],MATCH(Edges[[#This Row],[Vertex 1]],GroupVertices[Vertex],0)),1,1,"")</f>
        <v>edical Knowledge Online</v>
      </c>
      <c r="R934" s="78" t="str">
        <f>REPLACE(INDEX(GroupVertices[Group],MATCH(Edges[[#This Row],[Vertex 2]],GroupVertices[Vertex],0)),1,1,"")</f>
        <v>adhuban</v>
      </c>
    </row>
    <row r="935" spans="1:18" ht="15">
      <c r="A935" s="64" t="s">
        <v>240</v>
      </c>
      <c r="B935" s="64" t="s">
        <v>2441</v>
      </c>
      <c r="C935" s="65" t="s">
        <v>4443</v>
      </c>
      <c r="D935" s="66">
        <v>3</v>
      </c>
      <c r="E935" s="67"/>
      <c r="F935" s="68">
        <v>40</v>
      </c>
      <c r="G935" s="65"/>
      <c r="H935" s="69"/>
      <c r="I935" s="70"/>
      <c r="J935" s="70"/>
      <c r="K935" s="34" t="s">
        <v>65</v>
      </c>
      <c r="L935" s="77">
        <v>935</v>
      </c>
      <c r="M935" s="77"/>
      <c r="N935" s="72"/>
      <c r="O935" s="79" t="s">
        <v>610</v>
      </c>
      <c r="P935" s="79">
        <v>1</v>
      </c>
      <c r="Q935" s="78" t="str">
        <f>REPLACE(INDEX(GroupVertices[Group],MATCH(Edges[[#This Row],[Vertex 1]],GroupVertices[Vertex],0)),1,1,"")</f>
        <v>edical Knowledge Online</v>
      </c>
      <c r="R935" s="78" t="str">
        <f>REPLACE(INDEX(GroupVertices[Group],MATCH(Edges[[#This Row],[Vertex 2]],GroupVertices[Vertex],0)),1,1,"")</f>
        <v>edical Lovin</v>
      </c>
    </row>
    <row r="936" spans="1:18" ht="15">
      <c r="A936" s="64" t="s">
        <v>240</v>
      </c>
      <c r="B936" s="64" t="s">
        <v>2442</v>
      </c>
      <c r="C936" s="65" t="s">
        <v>4443</v>
      </c>
      <c r="D936" s="66">
        <v>3</v>
      </c>
      <c r="E936" s="67"/>
      <c r="F936" s="68">
        <v>40</v>
      </c>
      <c r="G936" s="65"/>
      <c r="H936" s="69"/>
      <c r="I936" s="70"/>
      <c r="J936" s="70"/>
      <c r="K936" s="34" t="s">
        <v>65</v>
      </c>
      <c r="L936" s="77">
        <v>936</v>
      </c>
      <c r="M936" s="77"/>
      <c r="N936" s="72"/>
      <c r="O936" s="79" t="s">
        <v>610</v>
      </c>
      <c r="P936" s="79">
        <v>1</v>
      </c>
      <c r="Q936" s="78" t="str">
        <f>REPLACE(INDEX(GroupVertices[Group],MATCH(Edges[[#This Row],[Vertex 1]],GroupVertices[Vertex],0)),1,1,"")</f>
        <v>edical Knowledge Online</v>
      </c>
      <c r="R936" s="78" t="str">
        <f>REPLACE(INDEX(GroupVertices[Group],MATCH(Edges[[#This Row],[Vertex 2]],GroupVertices[Vertex],0)),1,1,"")</f>
        <v>URSE 2 MOM</v>
      </c>
    </row>
    <row r="937" spans="1:18" ht="15">
      <c r="A937" s="64" t="s">
        <v>240</v>
      </c>
      <c r="B937" s="64" t="s">
        <v>2443</v>
      </c>
      <c r="C937" s="65" t="s">
        <v>4443</v>
      </c>
      <c r="D937" s="66">
        <v>3</v>
      </c>
      <c r="E937" s="67"/>
      <c r="F937" s="68">
        <v>40</v>
      </c>
      <c r="G937" s="65"/>
      <c r="H937" s="69"/>
      <c r="I937" s="70"/>
      <c r="J937" s="70"/>
      <c r="K937" s="34" t="s">
        <v>65</v>
      </c>
      <c r="L937" s="77">
        <v>937</v>
      </c>
      <c r="M937" s="77"/>
      <c r="N937" s="72"/>
      <c r="O937" s="79" t="s">
        <v>610</v>
      </c>
      <c r="P937" s="79">
        <v>1</v>
      </c>
      <c r="Q937" s="78" t="str">
        <f>REPLACE(INDEX(GroupVertices[Group],MATCH(Edges[[#This Row],[Vertex 1]],GroupVertices[Vertex],0)),1,1,"")</f>
        <v>edical Knowledge Online</v>
      </c>
      <c r="R937" s="78" t="str">
        <f>REPLACE(INDEX(GroupVertices[Group],MATCH(Edges[[#This Row],[Vertex 2]],GroupVertices[Vertex],0)),1,1,"")</f>
        <v>inul Azli</v>
      </c>
    </row>
    <row r="938" spans="1:18" ht="15">
      <c r="A938" s="64" t="s">
        <v>240</v>
      </c>
      <c r="B938" s="64" t="s">
        <v>2161</v>
      </c>
      <c r="C938" s="65" t="s">
        <v>4443</v>
      </c>
      <c r="D938" s="66">
        <v>3</v>
      </c>
      <c r="E938" s="67"/>
      <c r="F938" s="68">
        <v>40</v>
      </c>
      <c r="G938" s="65"/>
      <c r="H938" s="69"/>
      <c r="I938" s="70"/>
      <c r="J938" s="70"/>
      <c r="K938" s="34" t="s">
        <v>65</v>
      </c>
      <c r="L938" s="77">
        <v>938</v>
      </c>
      <c r="M938" s="77"/>
      <c r="N938" s="72"/>
      <c r="O938" s="79" t="s">
        <v>610</v>
      </c>
      <c r="P938" s="79">
        <v>1</v>
      </c>
      <c r="Q938" s="78" t="str">
        <f>REPLACE(INDEX(GroupVertices[Group],MATCH(Edges[[#This Row],[Vertex 1]],GroupVertices[Vertex],0)),1,1,"")</f>
        <v>edical Knowledge Online</v>
      </c>
      <c r="R938" s="78" t="str">
        <f>REPLACE(INDEX(GroupVertices[Group],MATCH(Edges[[#This Row],[Vertex 2]],GroupVertices[Vertex],0)),1,1,"")</f>
        <v>LS Online CSIR-NET Life Science, GATE BT&amp;XL, DBT</v>
      </c>
    </row>
    <row r="939" spans="1:18" ht="15">
      <c r="A939" s="64" t="s">
        <v>240</v>
      </c>
      <c r="B939" s="64" t="s">
        <v>2393</v>
      </c>
      <c r="C939" s="65" t="s">
        <v>4443</v>
      </c>
      <c r="D939" s="66">
        <v>3</v>
      </c>
      <c r="E939" s="67"/>
      <c r="F939" s="68">
        <v>40</v>
      </c>
      <c r="G939" s="65"/>
      <c r="H939" s="69"/>
      <c r="I939" s="70"/>
      <c r="J939" s="70"/>
      <c r="K939" s="34" t="s">
        <v>65</v>
      </c>
      <c r="L939" s="77">
        <v>939</v>
      </c>
      <c r="M939" s="77"/>
      <c r="N939" s="72"/>
      <c r="O939" s="79" t="s">
        <v>610</v>
      </c>
      <c r="P939" s="79">
        <v>1</v>
      </c>
      <c r="Q939" s="78" t="str">
        <f>REPLACE(INDEX(GroupVertices[Group],MATCH(Edges[[#This Row],[Vertex 1]],GroupVertices[Vertex],0)),1,1,"")</f>
        <v>edical Knowledge Online</v>
      </c>
      <c r="R939" s="78" t="str">
        <f>REPLACE(INDEX(GroupVertices[Group],MATCH(Edges[[#This Row],[Vertex 2]],GroupVertices[Vertex],0)),1,1,"")</f>
        <v>tkarsh Nursing Classes</v>
      </c>
    </row>
    <row r="940" spans="1:18" ht="15">
      <c r="A940" s="64" t="s">
        <v>240</v>
      </c>
      <c r="B940" s="64" t="s">
        <v>2444</v>
      </c>
      <c r="C940" s="65" t="s">
        <v>4443</v>
      </c>
      <c r="D940" s="66">
        <v>3</v>
      </c>
      <c r="E940" s="67"/>
      <c r="F940" s="68">
        <v>40</v>
      </c>
      <c r="G940" s="65"/>
      <c r="H940" s="69"/>
      <c r="I940" s="70"/>
      <c r="J940" s="70"/>
      <c r="K940" s="34" t="s">
        <v>65</v>
      </c>
      <c r="L940" s="77">
        <v>940</v>
      </c>
      <c r="M940" s="77"/>
      <c r="N940" s="72"/>
      <c r="O940" s="79" t="s">
        <v>610</v>
      </c>
      <c r="P940" s="79">
        <v>1</v>
      </c>
      <c r="Q940" s="78" t="str">
        <f>REPLACE(INDEX(GroupVertices[Group],MATCH(Edges[[#This Row],[Vertex 1]],GroupVertices[Vertex],0)),1,1,"")</f>
        <v>edical Knowledge Online</v>
      </c>
      <c r="R940" s="78" t="str">
        <f>REPLACE(INDEX(GroupVertices[Group],MATCH(Edges[[#This Row],[Vertex 2]],GroupVertices[Vertex],0)),1,1,"")</f>
        <v>edical Knowledge Online</v>
      </c>
    </row>
    <row r="941" spans="1:18" ht="15">
      <c r="A941" s="64" t="s">
        <v>240</v>
      </c>
      <c r="B941" s="64" t="s">
        <v>2445</v>
      </c>
      <c r="C941" s="65" t="s">
        <v>4443</v>
      </c>
      <c r="D941" s="66">
        <v>3</v>
      </c>
      <c r="E941" s="67"/>
      <c r="F941" s="68">
        <v>40</v>
      </c>
      <c r="G941" s="65"/>
      <c r="H941" s="69"/>
      <c r="I941" s="70"/>
      <c r="J941" s="70"/>
      <c r="K941" s="34" t="s">
        <v>65</v>
      </c>
      <c r="L941" s="77">
        <v>941</v>
      </c>
      <c r="M941" s="77"/>
      <c r="N941" s="72"/>
      <c r="O941" s="79" t="s">
        <v>610</v>
      </c>
      <c r="P941" s="79">
        <v>1</v>
      </c>
      <c r="Q941" s="78" t="str">
        <f>REPLACE(INDEX(GroupVertices[Group],MATCH(Edges[[#This Row],[Vertex 1]],GroupVertices[Vertex],0)),1,1,"")</f>
        <v>edical Knowledge Online</v>
      </c>
      <c r="R941" s="78" t="str">
        <f>REPLACE(INDEX(GroupVertices[Group],MATCH(Edges[[#This Row],[Vertex 2]],GroupVertices[Vertex],0)),1,1,"")</f>
        <v>edical Knowledge Online</v>
      </c>
    </row>
    <row r="942" spans="1:18" ht="15">
      <c r="A942" s="64" t="s">
        <v>240</v>
      </c>
      <c r="B942" s="64" t="s">
        <v>2446</v>
      </c>
      <c r="C942" s="65" t="s">
        <v>4443</v>
      </c>
      <c r="D942" s="66">
        <v>3</v>
      </c>
      <c r="E942" s="67"/>
      <c r="F942" s="68">
        <v>40</v>
      </c>
      <c r="G942" s="65"/>
      <c r="H942" s="69"/>
      <c r="I942" s="70"/>
      <c r="J942" s="70"/>
      <c r="K942" s="34" t="s">
        <v>65</v>
      </c>
      <c r="L942" s="77">
        <v>942</v>
      </c>
      <c r="M942" s="77"/>
      <c r="N942" s="72"/>
      <c r="O942" s="79" t="s">
        <v>610</v>
      </c>
      <c r="P942" s="79">
        <v>1</v>
      </c>
      <c r="Q942" s="78" t="str">
        <f>REPLACE(INDEX(GroupVertices[Group],MATCH(Edges[[#This Row],[Vertex 1]],GroupVertices[Vertex],0)),1,1,"")</f>
        <v>edical Knowledge Online</v>
      </c>
      <c r="R942" s="78" t="str">
        <f>REPLACE(INDEX(GroupVertices[Group],MATCH(Edges[[#This Row],[Vertex 2]],GroupVertices[Vertex],0)),1,1,"")</f>
        <v>edical Knowledge Online</v>
      </c>
    </row>
    <row r="943" spans="1:18" ht="15">
      <c r="A943" s="64" t="s">
        <v>240</v>
      </c>
      <c r="B943" s="64" t="s">
        <v>2447</v>
      </c>
      <c r="C943" s="65" t="s">
        <v>4443</v>
      </c>
      <c r="D943" s="66">
        <v>3</v>
      </c>
      <c r="E943" s="67"/>
      <c r="F943" s="68">
        <v>40</v>
      </c>
      <c r="G943" s="65"/>
      <c r="H943" s="69"/>
      <c r="I943" s="70"/>
      <c r="J943" s="70"/>
      <c r="K943" s="34" t="s">
        <v>65</v>
      </c>
      <c r="L943" s="77">
        <v>943</v>
      </c>
      <c r="M943" s="77"/>
      <c r="N943" s="72"/>
      <c r="O943" s="79" t="s">
        <v>610</v>
      </c>
      <c r="P943" s="79">
        <v>1</v>
      </c>
      <c r="Q943" s="78" t="str">
        <f>REPLACE(INDEX(GroupVertices[Group],MATCH(Edges[[#This Row],[Vertex 1]],GroupVertices[Vertex],0)),1,1,"")</f>
        <v>edical Knowledge Online</v>
      </c>
      <c r="R943" s="78" t="str">
        <f>REPLACE(INDEX(GroupVertices[Group],MATCH(Edges[[#This Row],[Vertex 2]],GroupVertices[Vertex],0)),1,1,"")</f>
        <v>edical Knowledge Online</v>
      </c>
    </row>
    <row r="944" spans="1:18" ht="15">
      <c r="A944" s="64" t="s">
        <v>240</v>
      </c>
      <c r="B944" s="64" t="s">
        <v>2448</v>
      </c>
      <c r="C944" s="65" t="s">
        <v>4443</v>
      </c>
      <c r="D944" s="66">
        <v>3</v>
      </c>
      <c r="E944" s="67"/>
      <c r="F944" s="68">
        <v>40</v>
      </c>
      <c r="G944" s="65"/>
      <c r="H944" s="69"/>
      <c r="I944" s="70"/>
      <c r="J944" s="70"/>
      <c r="K944" s="34" t="s">
        <v>65</v>
      </c>
      <c r="L944" s="77">
        <v>944</v>
      </c>
      <c r="M944" s="77"/>
      <c r="N944" s="72"/>
      <c r="O944" s="79" t="s">
        <v>610</v>
      </c>
      <c r="P944" s="79">
        <v>1</v>
      </c>
      <c r="Q944" s="78" t="str">
        <f>REPLACE(INDEX(GroupVertices[Group],MATCH(Edges[[#This Row],[Vertex 1]],GroupVertices[Vertex],0)),1,1,"")</f>
        <v>edical Knowledge Online</v>
      </c>
      <c r="R944" s="78" t="str">
        <f>REPLACE(INDEX(GroupVertices[Group],MATCH(Edges[[#This Row],[Vertex 2]],GroupVertices[Vertex],0)),1,1,"")</f>
        <v>edical Knowledge Online</v>
      </c>
    </row>
    <row r="945" spans="1:18" ht="15">
      <c r="A945" s="64" t="s">
        <v>240</v>
      </c>
      <c r="B945" s="64" t="s">
        <v>2449</v>
      </c>
      <c r="C945" s="65" t="s">
        <v>4443</v>
      </c>
      <c r="D945" s="66">
        <v>3</v>
      </c>
      <c r="E945" s="67"/>
      <c r="F945" s="68">
        <v>40</v>
      </c>
      <c r="G945" s="65"/>
      <c r="H945" s="69"/>
      <c r="I945" s="70"/>
      <c r="J945" s="70"/>
      <c r="K945" s="34" t="s">
        <v>65</v>
      </c>
      <c r="L945" s="77">
        <v>945</v>
      </c>
      <c r="M945" s="77"/>
      <c r="N945" s="72"/>
      <c r="O945" s="79" t="s">
        <v>610</v>
      </c>
      <c r="P945" s="79">
        <v>1</v>
      </c>
      <c r="Q945" s="78" t="str">
        <f>REPLACE(INDEX(GroupVertices[Group],MATCH(Edges[[#This Row],[Vertex 1]],GroupVertices[Vertex],0)),1,1,"")</f>
        <v>edical Knowledge Online</v>
      </c>
      <c r="R945" s="78" t="str">
        <f>REPLACE(INDEX(GroupVertices[Group],MATCH(Edges[[#This Row],[Vertex 2]],GroupVertices[Vertex],0)),1,1,"")</f>
        <v>edical Knowledge Online</v>
      </c>
    </row>
    <row r="946" spans="1:18" ht="15">
      <c r="A946" s="64" t="s">
        <v>240</v>
      </c>
      <c r="B946" s="64" t="s">
        <v>2450</v>
      </c>
      <c r="C946" s="65" t="s">
        <v>4443</v>
      </c>
      <c r="D946" s="66">
        <v>3</v>
      </c>
      <c r="E946" s="67"/>
      <c r="F946" s="68">
        <v>40</v>
      </c>
      <c r="G946" s="65"/>
      <c r="H946" s="69"/>
      <c r="I946" s="70"/>
      <c r="J946" s="70"/>
      <c r="K946" s="34" t="s">
        <v>65</v>
      </c>
      <c r="L946" s="77">
        <v>946</v>
      </c>
      <c r="M946" s="77"/>
      <c r="N946" s="72"/>
      <c r="O946" s="79" t="s">
        <v>610</v>
      </c>
      <c r="P946" s="79">
        <v>1</v>
      </c>
      <c r="Q946" s="78" t="str">
        <f>REPLACE(INDEX(GroupVertices[Group],MATCH(Edges[[#This Row],[Vertex 1]],GroupVertices[Vertex],0)),1,1,"")</f>
        <v>edical Knowledge Online</v>
      </c>
      <c r="R946" s="78" t="str">
        <f>REPLACE(INDEX(GroupVertices[Group],MATCH(Edges[[#This Row],[Vertex 2]],GroupVertices[Vertex],0)),1,1,"")</f>
        <v>edical Knowledge Online</v>
      </c>
    </row>
    <row r="947" spans="1:18" ht="15">
      <c r="A947" s="64" t="s">
        <v>240</v>
      </c>
      <c r="B947" s="64" t="s">
        <v>2451</v>
      </c>
      <c r="C947" s="65" t="s">
        <v>4443</v>
      </c>
      <c r="D947" s="66">
        <v>3</v>
      </c>
      <c r="E947" s="67"/>
      <c r="F947" s="68">
        <v>40</v>
      </c>
      <c r="G947" s="65"/>
      <c r="H947" s="69"/>
      <c r="I947" s="70"/>
      <c r="J947" s="70"/>
      <c r="K947" s="34" t="s">
        <v>65</v>
      </c>
      <c r="L947" s="77">
        <v>947</v>
      </c>
      <c r="M947" s="77"/>
      <c r="N947" s="72"/>
      <c r="O947" s="79" t="s">
        <v>610</v>
      </c>
      <c r="P947" s="79">
        <v>1</v>
      </c>
      <c r="Q947" s="78" t="str">
        <f>REPLACE(INDEX(GroupVertices[Group],MATCH(Edges[[#This Row],[Vertex 1]],GroupVertices[Vertex],0)),1,1,"")</f>
        <v>edical Knowledge Online</v>
      </c>
      <c r="R947" s="78" t="str">
        <f>REPLACE(INDEX(GroupVertices[Group],MATCH(Edges[[#This Row],[Vertex 2]],GroupVertices[Vertex],0)),1,1,"")</f>
        <v>edical Knowledge Online</v>
      </c>
    </row>
    <row r="948" spans="1:18" ht="15">
      <c r="A948" s="64" t="s">
        <v>240</v>
      </c>
      <c r="B948" s="64" t="s">
        <v>2452</v>
      </c>
      <c r="C948" s="65" t="s">
        <v>4443</v>
      </c>
      <c r="D948" s="66">
        <v>3</v>
      </c>
      <c r="E948" s="67"/>
      <c r="F948" s="68">
        <v>40</v>
      </c>
      <c r="G948" s="65"/>
      <c r="H948" s="69"/>
      <c r="I948" s="70"/>
      <c r="J948" s="70"/>
      <c r="K948" s="34" t="s">
        <v>65</v>
      </c>
      <c r="L948" s="77">
        <v>948</v>
      </c>
      <c r="M948" s="77"/>
      <c r="N948" s="72"/>
      <c r="O948" s="79" t="s">
        <v>610</v>
      </c>
      <c r="P948" s="79">
        <v>1</v>
      </c>
      <c r="Q948" s="78" t="str">
        <f>REPLACE(INDEX(GroupVertices[Group],MATCH(Edges[[#This Row],[Vertex 1]],GroupVertices[Vertex],0)),1,1,"")</f>
        <v>edical Knowledge Online</v>
      </c>
      <c r="R948" s="78" t="str">
        <f>REPLACE(INDEX(GroupVertices[Group],MATCH(Edges[[#This Row],[Vertex 2]],GroupVertices[Vertex],0)),1,1,"")</f>
        <v>edical Knowledge Online</v>
      </c>
    </row>
    <row r="949" spans="1:18" ht="15">
      <c r="A949" s="64" t="s">
        <v>240</v>
      </c>
      <c r="B949" s="64" t="s">
        <v>561</v>
      </c>
      <c r="C949" s="65" t="s">
        <v>4443</v>
      </c>
      <c r="D949" s="66">
        <v>3</v>
      </c>
      <c r="E949" s="67"/>
      <c r="F949" s="68">
        <v>40</v>
      </c>
      <c r="G949" s="65"/>
      <c r="H949" s="69"/>
      <c r="I949" s="70"/>
      <c r="J949" s="70"/>
      <c r="K949" s="34" t="s">
        <v>65</v>
      </c>
      <c r="L949" s="77">
        <v>949</v>
      </c>
      <c r="M949" s="77"/>
      <c r="N949" s="72"/>
      <c r="O949" s="79" t="s">
        <v>610</v>
      </c>
      <c r="P949" s="79">
        <v>1</v>
      </c>
      <c r="Q949" s="78" t="str">
        <f>REPLACE(INDEX(GroupVertices[Group],MATCH(Edges[[#This Row],[Vertex 1]],GroupVertices[Vertex],0)),1,1,"")</f>
        <v>edical Knowledge Online</v>
      </c>
      <c r="R949" s="78" t="str">
        <f>REPLACE(INDEX(GroupVertices[Group],MATCH(Edges[[#This Row],[Vertex 2]],GroupVertices[Vertex],0)),1,1,"")</f>
        <v>edical Knowledge Online</v>
      </c>
    </row>
    <row r="950" spans="1:18" ht="15">
      <c r="A950" s="64" t="s">
        <v>240</v>
      </c>
      <c r="B950" s="64" t="s">
        <v>2453</v>
      </c>
      <c r="C950" s="65" t="s">
        <v>4443</v>
      </c>
      <c r="D950" s="66">
        <v>3</v>
      </c>
      <c r="E950" s="67"/>
      <c r="F950" s="68">
        <v>40</v>
      </c>
      <c r="G950" s="65"/>
      <c r="H950" s="69"/>
      <c r="I950" s="70"/>
      <c r="J950" s="70"/>
      <c r="K950" s="34" t="s">
        <v>65</v>
      </c>
      <c r="L950" s="77">
        <v>950</v>
      </c>
      <c r="M950" s="77"/>
      <c r="N950" s="72"/>
      <c r="O950" s="79" t="s">
        <v>610</v>
      </c>
      <c r="P950" s="79">
        <v>1</v>
      </c>
      <c r="Q950" s="78" t="str">
        <f>REPLACE(INDEX(GroupVertices[Group],MATCH(Edges[[#This Row],[Vertex 1]],GroupVertices[Vertex],0)),1,1,"")</f>
        <v>edical Knowledge Online</v>
      </c>
      <c r="R950" s="78" t="str">
        <f>REPLACE(INDEX(GroupVertices[Group],MATCH(Edges[[#This Row],[Vertex 2]],GroupVertices[Vertex],0)),1,1,"")</f>
        <v>edical Knowledge Online</v>
      </c>
    </row>
    <row r="951" spans="1:18" ht="15">
      <c r="A951" s="64" t="s">
        <v>240</v>
      </c>
      <c r="B951" s="64" t="s">
        <v>560</v>
      </c>
      <c r="C951" s="65" t="s">
        <v>4443</v>
      </c>
      <c r="D951" s="66">
        <v>3</v>
      </c>
      <c r="E951" s="67"/>
      <c r="F951" s="68">
        <v>40</v>
      </c>
      <c r="G951" s="65"/>
      <c r="H951" s="69"/>
      <c r="I951" s="70"/>
      <c r="J951" s="70"/>
      <c r="K951" s="34" t="s">
        <v>65</v>
      </c>
      <c r="L951" s="77">
        <v>951</v>
      </c>
      <c r="M951" s="77"/>
      <c r="N951" s="72"/>
      <c r="O951" s="79" t="s">
        <v>610</v>
      </c>
      <c r="P951" s="79">
        <v>1</v>
      </c>
      <c r="Q951" s="78" t="str">
        <f>REPLACE(INDEX(GroupVertices[Group],MATCH(Edges[[#This Row],[Vertex 1]],GroupVertices[Vertex],0)),1,1,"")</f>
        <v>edical Knowledge Online</v>
      </c>
      <c r="R951" s="78" t="str">
        <f>REPLACE(INDEX(GroupVertices[Group],MATCH(Edges[[#This Row],[Vertex 2]],GroupVertices[Vertex],0)),1,1,"")</f>
        <v>edical Knowledge Online</v>
      </c>
    </row>
    <row r="952" spans="1:18" ht="15">
      <c r="A952" s="64" t="s">
        <v>240</v>
      </c>
      <c r="B952" s="64" t="s">
        <v>566</v>
      </c>
      <c r="C952" s="65" t="s">
        <v>4443</v>
      </c>
      <c r="D952" s="66">
        <v>3</v>
      </c>
      <c r="E952" s="67"/>
      <c r="F952" s="68">
        <v>40</v>
      </c>
      <c r="G952" s="65"/>
      <c r="H952" s="69"/>
      <c r="I952" s="70"/>
      <c r="J952" s="70"/>
      <c r="K952" s="34" t="s">
        <v>65</v>
      </c>
      <c r="L952" s="77">
        <v>952</v>
      </c>
      <c r="M952" s="77"/>
      <c r="N952" s="72"/>
      <c r="O952" s="79" t="s">
        <v>610</v>
      </c>
      <c r="P952" s="79">
        <v>1</v>
      </c>
      <c r="Q952" s="78" t="str">
        <f>REPLACE(INDEX(GroupVertices[Group],MATCH(Edges[[#This Row],[Vertex 1]],GroupVertices[Vertex],0)),1,1,"")</f>
        <v>edical Knowledge Online</v>
      </c>
      <c r="R952" s="78" t="str">
        <f>REPLACE(INDEX(GroupVertices[Group],MATCH(Edges[[#This Row],[Vertex 2]],GroupVertices[Vertex],0)),1,1,"")</f>
        <v>edical Knowledge Online</v>
      </c>
    </row>
    <row r="953" spans="1:18" ht="15">
      <c r="A953" s="64" t="s">
        <v>240</v>
      </c>
      <c r="B953" s="64" t="s">
        <v>565</v>
      </c>
      <c r="C953" s="65" t="s">
        <v>4443</v>
      </c>
      <c r="D953" s="66">
        <v>3</v>
      </c>
      <c r="E953" s="67"/>
      <c r="F953" s="68">
        <v>40</v>
      </c>
      <c r="G953" s="65"/>
      <c r="H953" s="69"/>
      <c r="I953" s="70"/>
      <c r="J953" s="70"/>
      <c r="K953" s="34" t="s">
        <v>65</v>
      </c>
      <c r="L953" s="77">
        <v>953</v>
      </c>
      <c r="M953" s="77"/>
      <c r="N953" s="72"/>
      <c r="O953" s="79" t="s">
        <v>610</v>
      </c>
      <c r="P953" s="79">
        <v>1</v>
      </c>
      <c r="Q953" s="78" t="str">
        <f>REPLACE(INDEX(GroupVertices[Group],MATCH(Edges[[#This Row],[Vertex 1]],GroupVertices[Vertex],0)),1,1,"")</f>
        <v>edical Knowledge Online</v>
      </c>
      <c r="R953" s="78" t="str">
        <f>REPLACE(INDEX(GroupVertices[Group],MATCH(Edges[[#This Row],[Vertex 2]],GroupVertices[Vertex],0)),1,1,"")</f>
        <v>edical Knowledge Online</v>
      </c>
    </row>
    <row r="954" spans="1:18" ht="15">
      <c r="A954" s="64" t="s">
        <v>240</v>
      </c>
      <c r="B954" s="64" t="s">
        <v>2454</v>
      </c>
      <c r="C954" s="65" t="s">
        <v>4443</v>
      </c>
      <c r="D954" s="66">
        <v>3</v>
      </c>
      <c r="E954" s="67"/>
      <c r="F954" s="68">
        <v>40</v>
      </c>
      <c r="G954" s="65"/>
      <c r="H954" s="69"/>
      <c r="I954" s="70"/>
      <c r="J954" s="70"/>
      <c r="K954" s="34" t="s">
        <v>65</v>
      </c>
      <c r="L954" s="77">
        <v>954</v>
      </c>
      <c r="M954" s="77"/>
      <c r="N954" s="72"/>
      <c r="O954" s="79" t="s">
        <v>610</v>
      </c>
      <c r="P954" s="79">
        <v>1</v>
      </c>
      <c r="Q954" s="78" t="str">
        <f>REPLACE(INDEX(GroupVertices[Group],MATCH(Edges[[#This Row],[Vertex 1]],GroupVertices[Vertex],0)),1,1,"")</f>
        <v>edical Knowledge Online</v>
      </c>
      <c r="R954" s="78" t="str">
        <f>REPLACE(INDEX(GroupVertices[Group],MATCH(Edges[[#This Row],[Vertex 2]],GroupVertices[Vertex],0)),1,1,"")</f>
        <v>edical Knowledge Online</v>
      </c>
    </row>
    <row r="955" spans="1:18" ht="15">
      <c r="A955" s="64" t="s">
        <v>240</v>
      </c>
      <c r="B955" s="64" t="s">
        <v>2455</v>
      </c>
      <c r="C955" s="65" t="s">
        <v>4443</v>
      </c>
      <c r="D955" s="66">
        <v>3</v>
      </c>
      <c r="E955" s="67"/>
      <c r="F955" s="68">
        <v>40</v>
      </c>
      <c r="G955" s="65"/>
      <c r="H955" s="69"/>
      <c r="I955" s="70"/>
      <c r="J955" s="70"/>
      <c r="K955" s="34" t="s">
        <v>65</v>
      </c>
      <c r="L955" s="77">
        <v>955</v>
      </c>
      <c r="M955" s="77"/>
      <c r="N955" s="72"/>
      <c r="O955" s="79" t="s">
        <v>610</v>
      </c>
      <c r="P955" s="79">
        <v>1</v>
      </c>
      <c r="Q955" s="78" t="str">
        <f>REPLACE(INDEX(GroupVertices[Group],MATCH(Edges[[#This Row],[Vertex 1]],GroupVertices[Vertex],0)),1,1,"")</f>
        <v>edical Knowledge Online</v>
      </c>
      <c r="R955" s="78" t="str">
        <f>REPLACE(INDEX(GroupVertices[Group],MATCH(Edges[[#This Row],[Vertex 2]],GroupVertices[Vertex],0)),1,1,"")</f>
        <v>edical Knowledge Online</v>
      </c>
    </row>
    <row r="956" spans="1:18" ht="15">
      <c r="A956" s="64" t="s">
        <v>240</v>
      </c>
      <c r="B956" s="64" t="s">
        <v>568</v>
      </c>
      <c r="C956" s="65" t="s">
        <v>4443</v>
      </c>
      <c r="D956" s="66">
        <v>3</v>
      </c>
      <c r="E956" s="67"/>
      <c r="F956" s="68">
        <v>40</v>
      </c>
      <c r="G956" s="65"/>
      <c r="H956" s="69"/>
      <c r="I956" s="70"/>
      <c r="J956" s="70"/>
      <c r="K956" s="34" t="s">
        <v>65</v>
      </c>
      <c r="L956" s="77">
        <v>956</v>
      </c>
      <c r="M956" s="77"/>
      <c r="N956" s="72"/>
      <c r="O956" s="79" t="s">
        <v>610</v>
      </c>
      <c r="P956" s="79">
        <v>1</v>
      </c>
      <c r="Q956" s="78" t="str">
        <f>REPLACE(INDEX(GroupVertices[Group],MATCH(Edges[[#This Row],[Vertex 1]],GroupVertices[Vertex],0)),1,1,"")</f>
        <v>edical Knowledge Online</v>
      </c>
      <c r="R956" s="78" t="str">
        <f>REPLACE(INDEX(GroupVertices[Group],MATCH(Edges[[#This Row],[Vertex 2]],GroupVertices[Vertex],0)),1,1,"")</f>
        <v>edical Knowledge Online</v>
      </c>
    </row>
    <row r="957" spans="1:18" ht="15">
      <c r="A957" s="64" t="s">
        <v>240</v>
      </c>
      <c r="B957" s="64" t="s">
        <v>567</v>
      </c>
      <c r="C957" s="65" t="s">
        <v>4443</v>
      </c>
      <c r="D957" s="66">
        <v>3</v>
      </c>
      <c r="E957" s="67"/>
      <c r="F957" s="68">
        <v>40</v>
      </c>
      <c r="G957" s="65"/>
      <c r="H957" s="69"/>
      <c r="I957" s="70"/>
      <c r="J957" s="70"/>
      <c r="K957" s="34" t="s">
        <v>65</v>
      </c>
      <c r="L957" s="77">
        <v>957</v>
      </c>
      <c r="M957" s="77"/>
      <c r="N957" s="72"/>
      <c r="O957" s="79" t="s">
        <v>610</v>
      </c>
      <c r="P957" s="79">
        <v>1</v>
      </c>
      <c r="Q957" s="78" t="str">
        <f>REPLACE(INDEX(GroupVertices[Group],MATCH(Edges[[#This Row],[Vertex 1]],GroupVertices[Vertex],0)),1,1,"")</f>
        <v>edical Knowledge Online</v>
      </c>
      <c r="R957" s="78" t="str">
        <f>REPLACE(INDEX(GroupVertices[Group],MATCH(Edges[[#This Row],[Vertex 2]],GroupVertices[Vertex],0)),1,1,"")</f>
        <v>edical Knowledge Online</v>
      </c>
    </row>
    <row r="958" spans="1:18" ht="15">
      <c r="A958" s="64" t="s">
        <v>240</v>
      </c>
      <c r="B958" s="64" t="s">
        <v>569</v>
      </c>
      <c r="C958" s="65" t="s">
        <v>4443</v>
      </c>
      <c r="D958" s="66">
        <v>3</v>
      </c>
      <c r="E958" s="67"/>
      <c r="F958" s="68">
        <v>40</v>
      </c>
      <c r="G958" s="65"/>
      <c r="H958" s="69"/>
      <c r="I958" s="70"/>
      <c r="J958" s="70"/>
      <c r="K958" s="34" t="s">
        <v>65</v>
      </c>
      <c r="L958" s="77">
        <v>958</v>
      </c>
      <c r="M958" s="77"/>
      <c r="N958" s="72"/>
      <c r="O958" s="79" t="s">
        <v>610</v>
      </c>
      <c r="P958" s="79">
        <v>1</v>
      </c>
      <c r="Q958" s="78" t="str">
        <f>REPLACE(INDEX(GroupVertices[Group],MATCH(Edges[[#This Row],[Vertex 1]],GroupVertices[Vertex],0)),1,1,"")</f>
        <v>edical Knowledge Online</v>
      </c>
      <c r="R958" s="78" t="str">
        <f>REPLACE(INDEX(GroupVertices[Group],MATCH(Edges[[#This Row],[Vertex 2]],GroupVertices[Vertex],0)),1,1,"")</f>
        <v>edical Knowledge Online</v>
      </c>
    </row>
    <row r="959" spans="1:18" ht="15">
      <c r="A959" s="64" t="s">
        <v>213</v>
      </c>
      <c r="B959" s="64" t="s">
        <v>2602</v>
      </c>
      <c r="C959" s="65" t="s">
        <v>4443</v>
      </c>
      <c r="D959" s="66">
        <v>3</v>
      </c>
      <c r="E959" s="67"/>
      <c r="F959" s="68">
        <v>40</v>
      </c>
      <c r="G959" s="65"/>
      <c r="H959" s="69"/>
      <c r="I959" s="70"/>
      <c r="J959" s="70"/>
      <c r="K959" s="34" t="s">
        <v>65</v>
      </c>
      <c r="L959" s="77">
        <v>959</v>
      </c>
      <c r="M959" s="77"/>
      <c r="N959" s="72"/>
      <c r="O959" s="79" t="s">
        <v>610</v>
      </c>
      <c r="P959" s="78">
        <v>1</v>
      </c>
      <c r="Q959" s="78" t="str">
        <f>REPLACE(INDEX(GroupVertices[Group],MATCH(Edges[[#This Row],[Vertex 1]],GroupVertices[Vertex],0)),1,1,"")</f>
        <v>2Z OF HEALTH</v>
      </c>
      <c r="R959" s="78" t="str">
        <f>REPLACE(INDEX(GroupVertices[Group],MATCH(Edges[[#This Row],[Vertex 2]],GroupVertices[Vertex],0)),1,1,"")</f>
        <v>稚晴</v>
      </c>
    </row>
    <row r="960" spans="1:18" ht="15">
      <c r="A960" s="64" t="s">
        <v>213</v>
      </c>
      <c r="B960" s="64" t="s">
        <v>2126</v>
      </c>
      <c r="C960" s="65" t="s">
        <v>4443</v>
      </c>
      <c r="D960" s="66">
        <v>3</v>
      </c>
      <c r="E960" s="67"/>
      <c r="F960" s="68">
        <v>40</v>
      </c>
      <c r="G960" s="65"/>
      <c r="H960" s="69"/>
      <c r="I960" s="70"/>
      <c r="J960" s="70"/>
      <c r="K960" s="34" t="s">
        <v>65</v>
      </c>
      <c r="L960" s="77">
        <v>960</v>
      </c>
      <c r="M960" s="77"/>
      <c r="N960" s="72"/>
      <c r="O960" s="79" t="s">
        <v>610</v>
      </c>
      <c r="P960" s="79">
        <v>1</v>
      </c>
      <c r="Q960" s="78" t="str">
        <f>REPLACE(INDEX(GroupVertices[Group],MATCH(Edges[[#This Row],[Vertex 1]],GroupVertices[Vertex],0)),1,1,"")</f>
        <v>2Z OF HEALTH</v>
      </c>
      <c r="R960" s="78" t="str">
        <f>REPLACE(INDEX(GroupVertices[Group],MATCH(Edges[[#This Row],[Vertex 2]],GroupVertices[Vertex],0)),1,1,"")</f>
        <v>omforts are bad teachers</v>
      </c>
    </row>
    <row r="961" spans="1:18" ht="15">
      <c r="A961" s="64" t="s">
        <v>213</v>
      </c>
      <c r="B961" s="64" t="s">
        <v>2127</v>
      </c>
      <c r="C961" s="65" t="s">
        <v>4443</v>
      </c>
      <c r="D961" s="66">
        <v>3</v>
      </c>
      <c r="E961" s="67"/>
      <c r="F961" s="68">
        <v>40</v>
      </c>
      <c r="G961" s="65"/>
      <c r="H961" s="69"/>
      <c r="I961" s="70"/>
      <c r="J961" s="70"/>
      <c r="K961" s="34" t="s">
        <v>65</v>
      </c>
      <c r="L961" s="77">
        <v>961</v>
      </c>
      <c r="M961" s="77"/>
      <c r="N961" s="72"/>
      <c r="O961" s="79" t="s">
        <v>610</v>
      </c>
      <c r="P961" s="79">
        <v>1</v>
      </c>
      <c r="Q961" s="78" t="str">
        <f>REPLACE(INDEX(GroupVertices[Group],MATCH(Edges[[#This Row],[Vertex 1]],GroupVertices[Vertex],0)),1,1,"")</f>
        <v>2Z OF HEALTH</v>
      </c>
      <c r="R961" s="78" t="str">
        <f>REPLACE(INDEX(GroupVertices[Group],MATCH(Edges[[#This Row],[Vertex 2]],GroupVertices[Vertex],0)),1,1,"")</f>
        <v>osé Carlos Bassani Junior</v>
      </c>
    </row>
    <row r="962" spans="1:18" ht="15">
      <c r="A962" s="64" t="s">
        <v>213</v>
      </c>
      <c r="B962" s="64" t="s">
        <v>2128</v>
      </c>
      <c r="C962" s="65" t="s">
        <v>4443</v>
      </c>
      <c r="D962" s="66">
        <v>3</v>
      </c>
      <c r="E962" s="67"/>
      <c r="F962" s="68">
        <v>40</v>
      </c>
      <c r="G962" s="65"/>
      <c r="H962" s="69"/>
      <c r="I962" s="70"/>
      <c r="J962" s="70"/>
      <c r="K962" s="34" t="s">
        <v>65</v>
      </c>
      <c r="L962" s="77">
        <v>962</v>
      </c>
      <c r="M962" s="77"/>
      <c r="N962" s="72"/>
      <c r="O962" s="79" t="s">
        <v>610</v>
      </c>
      <c r="P962" s="79">
        <v>1</v>
      </c>
      <c r="Q962" s="78" t="str">
        <f>REPLACE(INDEX(GroupVertices[Group],MATCH(Edges[[#This Row],[Vertex 1]],GroupVertices[Vertex],0)),1,1,"")</f>
        <v>2Z OF HEALTH</v>
      </c>
      <c r="R962" s="78" t="str">
        <f>REPLACE(INDEX(GroupVertices[Group],MATCH(Edges[[#This Row],[Vertex 2]],GroupVertices[Vertex],0)),1,1,"")</f>
        <v>onika Liese- deine Stillspezialistin®</v>
      </c>
    </row>
    <row r="963" spans="1:18" ht="15">
      <c r="A963" s="64" t="s">
        <v>213</v>
      </c>
      <c r="B963" s="64" t="s">
        <v>2129</v>
      </c>
      <c r="C963" s="65" t="s">
        <v>4443</v>
      </c>
      <c r="D963" s="66">
        <v>3</v>
      </c>
      <c r="E963" s="67"/>
      <c r="F963" s="68">
        <v>40</v>
      </c>
      <c r="G963" s="65"/>
      <c r="H963" s="69"/>
      <c r="I963" s="70"/>
      <c r="J963" s="70"/>
      <c r="K963" s="34" t="s">
        <v>65</v>
      </c>
      <c r="L963" s="77">
        <v>963</v>
      </c>
      <c r="M963" s="77"/>
      <c r="N963" s="72"/>
      <c r="O963" s="79" t="s">
        <v>610</v>
      </c>
      <c r="P963" s="79">
        <v>1</v>
      </c>
      <c r="Q963" s="78" t="str">
        <f>REPLACE(INDEX(GroupVertices[Group],MATCH(Edges[[#This Row],[Vertex 1]],GroupVertices[Vertex],0)),1,1,"")</f>
        <v>2Z OF HEALTH</v>
      </c>
      <c r="R963" s="78" t="str">
        <f>REPLACE(INDEX(GroupVertices[Group],MATCH(Edges[[#This Row],[Vertex 2]],GroupVertices[Vertex],0)),1,1,"")</f>
        <v>anelle Hernández</v>
      </c>
    </row>
    <row r="964" spans="1:18" ht="15">
      <c r="A964" s="64" t="s">
        <v>213</v>
      </c>
      <c r="B964" s="64" t="s">
        <v>2130</v>
      </c>
      <c r="C964" s="65" t="s">
        <v>4443</v>
      </c>
      <c r="D964" s="66">
        <v>3</v>
      </c>
      <c r="E964" s="67"/>
      <c r="F964" s="68">
        <v>40</v>
      </c>
      <c r="G964" s="65"/>
      <c r="H964" s="69"/>
      <c r="I964" s="70"/>
      <c r="J964" s="70"/>
      <c r="K964" s="34" t="s">
        <v>65</v>
      </c>
      <c r="L964" s="77">
        <v>964</v>
      </c>
      <c r="M964" s="77"/>
      <c r="N964" s="72"/>
      <c r="O964" s="79" t="s">
        <v>610</v>
      </c>
      <c r="P964" s="79">
        <v>1</v>
      </c>
      <c r="Q964" s="78" t="str">
        <f>REPLACE(INDEX(GroupVertices[Group],MATCH(Edges[[#This Row],[Vertex 1]],GroupVertices[Vertex],0)),1,1,"")</f>
        <v>2Z OF HEALTH</v>
      </c>
      <c r="R964" s="78" t="str">
        <f>REPLACE(INDEX(GroupVertices[Group],MATCH(Edges[[#This Row],[Vertex 2]],GroupVertices[Vertex],0)),1,1,"")</f>
        <v>AMILY DJM</v>
      </c>
    </row>
    <row r="965" spans="1:18" ht="15">
      <c r="A965" s="64" t="s">
        <v>213</v>
      </c>
      <c r="B965" s="64" t="s">
        <v>2131</v>
      </c>
      <c r="C965" s="65" t="s">
        <v>4443</v>
      </c>
      <c r="D965" s="66">
        <v>3</v>
      </c>
      <c r="E965" s="67"/>
      <c r="F965" s="68">
        <v>40</v>
      </c>
      <c r="G965" s="65"/>
      <c r="H965" s="69"/>
      <c r="I965" s="70"/>
      <c r="J965" s="70"/>
      <c r="K965" s="34" t="s">
        <v>65</v>
      </c>
      <c r="L965" s="77">
        <v>965</v>
      </c>
      <c r="M965" s="77"/>
      <c r="N965" s="72"/>
      <c r="O965" s="79" t="s">
        <v>610</v>
      </c>
      <c r="P965" s="79">
        <v>1</v>
      </c>
      <c r="Q965" s="78" t="str">
        <f>REPLACE(INDEX(GroupVertices[Group],MATCH(Edges[[#This Row],[Vertex 1]],GroupVertices[Vertex],0)),1,1,"")</f>
        <v>2Z OF HEALTH</v>
      </c>
      <c r="R965" s="78" t="str">
        <f>REPLACE(INDEX(GroupVertices[Group],MATCH(Edges[[#This Row],[Vertex 2]],GroupVertices[Vertex],0)),1,1,"")</f>
        <v>ey Mama</v>
      </c>
    </row>
    <row r="966" spans="1:18" ht="15">
      <c r="A966" s="64" t="s">
        <v>213</v>
      </c>
      <c r="B966" s="64" t="s">
        <v>2132</v>
      </c>
      <c r="C966" s="65" t="s">
        <v>4443</v>
      </c>
      <c r="D966" s="66">
        <v>3</v>
      </c>
      <c r="E966" s="67"/>
      <c r="F966" s="68">
        <v>40</v>
      </c>
      <c r="G966" s="65"/>
      <c r="H966" s="69"/>
      <c r="I966" s="70"/>
      <c r="J966" s="70"/>
      <c r="K966" s="34" t="s">
        <v>65</v>
      </c>
      <c r="L966" s="77">
        <v>966</v>
      </c>
      <c r="M966" s="77"/>
      <c r="N966" s="72"/>
      <c r="O966" s="79" t="s">
        <v>610</v>
      </c>
      <c r="P966" s="79">
        <v>1</v>
      </c>
      <c r="Q966" s="78" t="str">
        <f>REPLACE(INDEX(GroupVertices[Group],MATCH(Edges[[#This Row],[Vertex 1]],GroupVertices[Vertex],0)),1,1,"")</f>
        <v>2Z OF HEALTH</v>
      </c>
      <c r="R966" s="78" t="str">
        <f>REPLACE(INDEX(GroupVertices[Group],MATCH(Edges[[#This Row],[Vertex 2]],GroupVertices[Vertex],0)),1,1,"")</f>
        <v>uben Ruiz</v>
      </c>
    </row>
    <row r="967" spans="1:18" ht="15">
      <c r="A967" s="64" t="s">
        <v>213</v>
      </c>
      <c r="B967" s="64" t="s">
        <v>2133</v>
      </c>
      <c r="C967" s="65" t="s">
        <v>4443</v>
      </c>
      <c r="D967" s="66">
        <v>3</v>
      </c>
      <c r="E967" s="67"/>
      <c r="F967" s="68">
        <v>40</v>
      </c>
      <c r="G967" s="65"/>
      <c r="H967" s="69"/>
      <c r="I967" s="70"/>
      <c r="J967" s="70"/>
      <c r="K967" s="34" t="s">
        <v>65</v>
      </c>
      <c r="L967" s="77">
        <v>967</v>
      </c>
      <c r="M967" s="77"/>
      <c r="N967" s="72"/>
      <c r="O967" s="79" t="s">
        <v>610</v>
      </c>
      <c r="P967" s="79">
        <v>1</v>
      </c>
      <c r="Q967" s="78" t="str">
        <f>REPLACE(INDEX(GroupVertices[Group],MATCH(Edges[[#This Row],[Vertex 1]],GroupVertices[Vertex],0)),1,1,"")</f>
        <v>2Z OF HEALTH</v>
      </c>
      <c r="R967" s="78" t="str">
        <f>REPLACE(INDEX(GroupVertices[Group],MATCH(Edges[[#This Row],[Vertex 2]],GroupVertices[Vertex],0)),1,1,"")</f>
        <v>ilyana guillermo</v>
      </c>
    </row>
    <row r="968" spans="1:18" ht="15">
      <c r="A968" s="64" t="s">
        <v>213</v>
      </c>
      <c r="B968" s="64" t="s">
        <v>2134</v>
      </c>
      <c r="C968" s="65" t="s">
        <v>4443</v>
      </c>
      <c r="D968" s="66">
        <v>3</v>
      </c>
      <c r="E968" s="67"/>
      <c r="F968" s="68">
        <v>40</v>
      </c>
      <c r="G968" s="65"/>
      <c r="H968" s="69"/>
      <c r="I968" s="70"/>
      <c r="J968" s="70"/>
      <c r="K968" s="34" t="s">
        <v>65</v>
      </c>
      <c r="L968" s="77">
        <v>968</v>
      </c>
      <c r="M968" s="77"/>
      <c r="N968" s="72"/>
      <c r="O968" s="79" t="s">
        <v>610</v>
      </c>
      <c r="P968" s="79">
        <v>1</v>
      </c>
      <c r="Q968" s="78" t="str">
        <f>REPLACE(INDEX(GroupVertices[Group],MATCH(Edges[[#This Row],[Vertex 1]],GroupVertices[Vertex],0)),1,1,"")</f>
        <v>2Z OF HEALTH</v>
      </c>
      <c r="R968" s="78" t="str">
        <f>REPLACE(INDEX(GroupVertices[Group],MATCH(Edges[[#This Row],[Vertex 2]],GroupVertices[Vertex],0)),1,1,"")</f>
        <v>anialim</v>
      </c>
    </row>
    <row r="969" spans="1:18" ht="15">
      <c r="A969" s="64" t="s">
        <v>213</v>
      </c>
      <c r="B969" s="64" t="s">
        <v>2135</v>
      </c>
      <c r="C969" s="65" t="s">
        <v>4443</v>
      </c>
      <c r="D969" s="66">
        <v>3</v>
      </c>
      <c r="E969" s="67"/>
      <c r="F969" s="68">
        <v>40</v>
      </c>
      <c r="G969" s="65"/>
      <c r="H969" s="69"/>
      <c r="I969" s="70"/>
      <c r="J969" s="70"/>
      <c r="K969" s="34" t="s">
        <v>65</v>
      </c>
      <c r="L969" s="77">
        <v>969</v>
      </c>
      <c r="M969" s="77"/>
      <c r="N969" s="72"/>
      <c r="O969" s="79" t="s">
        <v>610</v>
      </c>
      <c r="P969" s="79">
        <v>1</v>
      </c>
      <c r="Q969" s="78" t="str">
        <f>REPLACE(INDEX(GroupVertices[Group],MATCH(Edges[[#This Row],[Vertex 1]],GroupVertices[Vertex],0)),1,1,"")</f>
        <v>2Z OF HEALTH</v>
      </c>
      <c r="R969" s="78" t="str">
        <f>REPLACE(INDEX(GroupVertices[Group],MATCH(Edges[[#This Row],[Vertex 2]],GroupVertices[Vertex],0)),1,1,"")</f>
        <v>xpertisecentrum Kraamzorg 'de wieg' voor ouders</v>
      </c>
    </row>
    <row r="970" spans="1:18" ht="15">
      <c r="A970" s="64" t="s">
        <v>213</v>
      </c>
      <c r="B970" s="64" t="s">
        <v>2136</v>
      </c>
      <c r="C970" s="65" t="s">
        <v>4443</v>
      </c>
      <c r="D970" s="66">
        <v>3</v>
      </c>
      <c r="E970" s="67"/>
      <c r="F970" s="68">
        <v>40</v>
      </c>
      <c r="G970" s="65"/>
      <c r="H970" s="69"/>
      <c r="I970" s="70"/>
      <c r="J970" s="70"/>
      <c r="K970" s="34" t="s">
        <v>65</v>
      </c>
      <c r="L970" s="77">
        <v>970</v>
      </c>
      <c r="M970" s="77"/>
      <c r="N970" s="72"/>
      <c r="O970" s="79" t="s">
        <v>610</v>
      </c>
      <c r="P970" s="79">
        <v>1</v>
      </c>
      <c r="Q970" s="78" t="str">
        <f>REPLACE(INDEX(GroupVertices[Group],MATCH(Edges[[#This Row],[Vertex 1]],GroupVertices[Vertex],0)),1,1,"")</f>
        <v>2Z OF HEALTH</v>
      </c>
      <c r="R970" s="78" t="str">
        <f>REPLACE(INDEX(GroupVertices[Group],MATCH(Edges[[#This Row],[Vertex 2]],GroupVertices[Vertex],0)),1,1,"")</f>
        <v>eather Anne</v>
      </c>
    </row>
    <row r="971" spans="1:18" ht="15">
      <c r="A971" s="64" t="s">
        <v>213</v>
      </c>
      <c r="B971" s="64" t="s">
        <v>2137</v>
      </c>
      <c r="C971" s="65" t="s">
        <v>4443</v>
      </c>
      <c r="D971" s="66">
        <v>3</v>
      </c>
      <c r="E971" s="67"/>
      <c r="F971" s="68">
        <v>40</v>
      </c>
      <c r="G971" s="65"/>
      <c r="H971" s="69"/>
      <c r="I971" s="70"/>
      <c r="J971" s="70"/>
      <c r="K971" s="34" t="s">
        <v>65</v>
      </c>
      <c r="L971" s="77">
        <v>971</v>
      </c>
      <c r="M971" s="77"/>
      <c r="N971" s="72"/>
      <c r="O971" s="79" t="s">
        <v>610</v>
      </c>
      <c r="P971" s="79">
        <v>1</v>
      </c>
      <c r="Q971" s="78" t="str">
        <f>REPLACE(INDEX(GroupVertices[Group],MATCH(Edges[[#This Row],[Vertex 1]],GroupVertices[Vertex],0)),1,1,"")</f>
        <v>2Z OF HEALTH</v>
      </c>
      <c r="R971" s="78" t="str">
        <f>REPLACE(INDEX(GroupVertices[Group],MATCH(Edges[[#This Row],[Vertex 2]],GroupVertices[Vertex],0)),1,1,"")</f>
        <v>indRich Entertainment</v>
      </c>
    </row>
    <row r="972" spans="1:18" ht="15">
      <c r="A972" s="64" t="s">
        <v>213</v>
      </c>
      <c r="B972" s="64" t="s">
        <v>278</v>
      </c>
      <c r="C972" s="65" t="s">
        <v>4443</v>
      </c>
      <c r="D972" s="66">
        <v>3</v>
      </c>
      <c r="E972" s="67"/>
      <c r="F972" s="68">
        <v>40</v>
      </c>
      <c r="G972" s="65"/>
      <c r="H972" s="69"/>
      <c r="I972" s="70"/>
      <c r="J972" s="70"/>
      <c r="K972" s="34" t="s">
        <v>65</v>
      </c>
      <c r="L972" s="77">
        <v>972</v>
      </c>
      <c r="M972" s="77"/>
      <c r="N972" s="72"/>
      <c r="O972" s="79" t="s">
        <v>610</v>
      </c>
      <c r="P972" s="79">
        <v>1</v>
      </c>
      <c r="Q972" s="78" t="str">
        <f>REPLACE(INDEX(GroupVertices[Group],MATCH(Edges[[#This Row],[Vertex 1]],GroupVertices[Vertex],0)),1,1,"")</f>
        <v>2Z OF HEALTH</v>
      </c>
      <c r="R972" s="78" t="str">
        <f>REPLACE(INDEX(GroupVertices[Group],MATCH(Edges[[#This Row],[Vertex 2]],GroupVertices[Vertex],0)),1,1,"")</f>
        <v>uilding Resilience In Children</v>
      </c>
    </row>
    <row r="973" spans="1:18" ht="15">
      <c r="A973" s="64" t="s">
        <v>213</v>
      </c>
      <c r="B973" s="64" t="s">
        <v>2138</v>
      </c>
      <c r="C973" s="65" t="s">
        <v>4443</v>
      </c>
      <c r="D973" s="66">
        <v>3</v>
      </c>
      <c r="E973" s="67"/>
      <c r="F973" s="68">
        <v>40</v>
      </c>
      <c r="G973" s="65"/>
      <c r="H973" s="69"/>
      <c r="I973" s="70"/>
      <c r="J973" s="70"/>
      <c r="K973" s="34" t="s">
        <v>65</v>
      </c>
      <c r="L973" s="77">
        <v>973</v>
      </c>
      <c r="M973" s="77"/>
      <c r="N973" s="72"/>
      <c r="O973" s="79" t="s">
        <v>610</v>
      </c>
      <c r="P973" s="79">
        <v>1</v>
      </c>
      <c r="Q973" s="78" t="str">
        <f>REPLACE(INDEX(GroupVertices[Group],MATCH(Edges[[#This Row],[Vertex 1]],GroupVertices[Vertex],0)),1,1,"")</f>
        <v>2Z OF HEALTH</v>
      </c>
      <c r="R973" s="78" t="str">
        <f>REPLACE(INDEX(GroupVertices[Group],MATCH(Edges[[#This Row],[Vertex 2]],GroupVertices[Vertex],0)),1,1,"")</f>
        <v>ariush Khandan UCI</v>
      </c>
    </row>
    <row r="974" spans="1:18" ht="15">
      <c r="A974" s="64" t="s">
        <v>213</v>
      </c>
      <c r="B974" s="64" t="s">
        <v>380</v>
      </c>
      <c r="C974" s="65" t="s">
        <v>4443</v>
      </c>
      <c r="D974" s="66">
        <v>3</v>
      </c>
      <c r="E974" s="67"/>
      <c r="F974" s="68">
        <v>40</v>
      </c>
      <c r="G974" s="65"/>
      <c r="H974" s="69"/>
      <c r="I974" s="70"/>
      <c r="J974" s="70"/>
      <c r="K974" s="34" t="s">
        <v>65</v>
      </c>
      <c r="L974" s="77">
        <v>974</v>
      </c>
      <c r="M974" s="77"/>
      <c r="N974" s="72"/>
      <c r="O974" s="79" t="s">
        <v>610</v>
      </c>
      <c r="P974" s="79">
        <v>1</v>
      </c>
      <c r="Q974" s="78" t="str">
        <f>REPLACE(INDEX(GroupVertices[Group],MATCH(Edges[[#This Row],[Vertex 1]],GroupVertices[Vertex],0)),1,1,"")</f>
        <v>2Z OF HEALTH</v>
      </c>
      <c r="R974" s="78" t="str">
        <f>REPLACE(INDEX(GroupVertices[Group],MATCH(Edges[[#This Row],[Vertex 2]],GroupVertices[Vertex],0)),1,1,"")</f>
        <v>AMI Global Network</v>
      </c>
    </row>
    <row r="975" spans="1:18" ht="15">
      <c r="A975" s="64" t="s">
        <v>213</v>
      </c>
      <c r="B975" s="64" t="s">
        <v>382</v>
      </c>
      <c r="C975" s="65" t="s">
        <v>4443</v>
      </c>
      <c r="D975" s="66">
        <v>3</v>
      </c>
      <c r="E975" s="67"/>
      <c r="F975" s="68">
        <v>40</v>
      </c>
      <c r="G975" s="65"/>
      <c r="H975" s="69"/>
      <c r="I975" s="70"/>
      <c r="J975" s="70"/>
      <c r="K975" s="34" t="s">
        <v>65</v>
      </c>
      <c r="L975" s="77">
        <v>975</v>
      </c>
      <c r="M975" s="77"/>
      <c r="N975" s="72"/>
      <c r="O975" s="79" t="s">
        <v>610</v>
      </c>
      <c r="P975" s="79">
        <v>1</v>
      </c>
      <c r="Q975" s="78" t="str">
        <f>REPLACE(INDEX(GroupVertices[Group],MATCH(Edges[[#This Row],[Vertex 1]],GroupVertices[Vertex],0)),1,1,"")</f>
        <v>2Z OF HEALTH</v>
      </c>
      <c r="R975" s="78" t="str">
        <f>REPLACE(INDEX(GroupVertices[Group],MATCH(Edges[[#This Row],[Vertex 2]],GroupVertices[Vertex],0)),1,1,"")</f>
        <v>unger Solutions New York</v>
      </c>
    </row>
    <row r="976" spans="1:18" ht="15">
      <c r="A976" s="64" t="s">
        <v>213</v>
      </c>
      <c r="B976" s="64" t="s">
        <v>384</v>
      </c>
      <c r="C976" s="65" t="s">
        <v>4443</v>
      </c>
      <c r="D976" s="66">
        <v>3</v>
      </c>
      <c r="E976" s="67"/>
      <c r="F976" s="68">
        <v>40</v>
      </c>
      <c r="G976" s="65"/>
      <c r="H976" s="69"/>
      <c r="I976" s="70"/>
      <c r="J976" s="70"/>
      <c r="K976" s="34" t="s">
        <v>65</v>
      </c>
      <c r="L976" s="77">
        <v>976</v>
      </c>
      <c r="M976" s="77"/>
      <c r="N976" s="72"/>
      <c r="O976" s="79" t="s">
        <v>610</v>
      </c>
      <c r="P976" s="79">
        <v>1</v>
      </c>
      <c r="Q976" s="78" t="str">
        <f>REPLACE(INDEX(GroupVertices[Group],MATCH(Edges[[#This Row],[Vertex 1]],GroupVertices[Vertex],0)),1,1,"")</f>
        <v>2Z OF HEALTH</v>
      </c>
      <c r="R976" s="78" t="str">
        <f>REPLACE(INDEX(GroupVertices[Group],MATCH(Edges[[#This Row],[Vertex 2]],GroupVertices[Vertex],0)),1,1,"")</f>
        <v>2Z OF HEALTH</v>
      </c>
    </row>
    <row r="977" spans="1:18" ht="15">
      <c r="A977" s="64" t="s">
        <v>213</v>
      </c>
      <c r="B977" s="64" t="s">
        <v>378</v>
      </c>
      <c r="C977" s="65" t="s">
        <v>4443</v>
      </c>
      <c r="D977" s="66">
        <v>3</v>
      </c>
      <c r="E977" s="67"/>
      <c r="F977" s="68">
        <v>40</v>
      </c>
      <c r="G977" s="65"/>
      <c r="H977" s="69"/>
      <c r="I977" s="70"/>
      <c r="J977" s="70"/>
      <c r="K977" s="34" t="s">
        <v>65</v>
      </c>
      <c r="L977" s="77">
        <v>977</v>
      </c>
      <c r="M977" s="77"/>
      <c r="N977" s="72"/>
      <c r="O977" s="79" t="s">
        <v>610</v>
      </c>
      <c r="P977" s="79">
        <v>1</v>
      </c>
      <c r="Q977" s="78" t="str">
        <f>REPLACE(INDEX(GroupVertices[Group],MATCH(Edges[[#This Row],[Vertex 1]],GroupVertices[Vertex],0)),1,1,"")</f>
        <v>2Z OF HEALTH</v>
      </c>
      <c r="R977" s="78" t="str">
        <f>REPLACE(INDEX(GroupVertices[Group],MATCH(Edges[[#This Row],[Vertex 2]],GroupVertices[Vertex],0)),1,1,"")</f>
        <v>2Z OF HEALTH</v>
      </c>
    </row>
    <row r="978" spans="1:18" ht="15">
      <c r="A978" s="64" t="s">
        <v>213</v>
      </c>
      <c r="B978" s="64" t="s">
        <v>383</v>
      </c>
      <c r="C978" s="65" t="s">
        <v>4443</v>
      </c>
      <c r="D978" s="66">
        <v>3</v>
      </c>
      <c r="E978" s="67"/>
      <c r="F978" s="68">
        <v>40</v>
      </c>
      <c r="G978" s="65"/>
      <c r="H978" s="69"/>
      <c r="I978" s="70"/>
      <c r="J978" s="70"/>
      <c r="K978" s="34" t="s">
        <v>65</v>
      </c>
      <c r="L978" s="77">
        <v>978</v>
      </c>
      <c r="M978" s="77"/>
      <c r="N978" s="72"/>
      <c r="O978" s="79" t="s">
        <v>610</v>
      </c>
      <c r="P978" s="79">
        <v>1</v>
      </c>
      <c r="Q978" s="78" t="str">
        <f>REPLACE(INDEX(GroupVertices[Group],MATCH(Edges[[#This Row],[Vertex 1]],GroupVertices[Vertex],0)),1,1,"")</f>
        <v>2Z OF HEALTH</v>
      </c>
      <c r="R978" s="78" t="str">
        <f>REPLACE(INDEX(GroupVertices[Group],MATCH(Edges[[#This Row],[Vertex 2]],GroupVertices[Vertex],0)),1,1,"")</f>
        <v>2Z OF HEALTH</v>
      </c>
    </row>
    <row r="979" spans="1:18" ht="15">
      <c r="A979" s="64" t="s">
        <v>213</v>
      </c>
      <c r="B979" s="64" t="s">
        <v>379</v>
      </c>
      <c r="C979" s="65" t="s">
        <v>4443</v>
      </c>
      <c r="D979" s="66">
        <v>3</v>
      </c>
      <c r="E979" s="67"/>
      <c r="F979" s="68">
        <v>40</v>
      </c>
      <c r="G979" s="65"/>
      <c r="H979" s="69"/>
      <c r="I979" s="70"/>
      <c r="J979" s="70"/>
      <c r="K979" s="34" t="s">
        <v>65</v>
      </c>
      <c r="L979" s="77">
        <v>979</v>
      </c>
      <c r="M979" s="77"/>
      <c r="N979" s="72"/>
      <c r="O979" s="79" t="s">
        <v>610</v>
      </c>
      <c r="P979" s="79">
        <v>1</v>
      </c>
      <c r="Q979" s="78" t="str">
        <f>REPLACE(INDEX(GroupVertices[Group],MATCH(Edges[[#This Row],[Vertex 1]],GroupVertices[Vertex],0)),1,1,"")</f>
        <v>2Z OF HEALTH</v>
      </c>
      <c r="R979" s="78" t="str">
        <f>REPLACE(INDEX(GroupVertices[Group],MATCH(Edges[[#This Row],[Vertex 2]],GroupVertices[Vertex],0)),1,1,"")</f>
        <v>2Z OF HEALTH</v>
      </c>
    </row>
    <row r="980" spans="1:18" ht="15">
      <c r="A980" s="64" t="s">
        <v>223</v>
      </c>
      <c r="B980" s="64" t="s">
        <v>2194</v>
      </c>
      <c r="C980" s="65" t="s">
        <v>4443</v>
      </c>
      <c r="D980" s="66">
        <v>3</v>
      </c>
      <c r="E980" s="67"/>
      <c r="F980" s="68">
        <v>40</v>
      </c>
      <c r="G980" s="65"/>
      <c r="H980" s="69"/>
      <c r="I980" s="70"/>
      <c r="J980" s="70"/>
      <c r="K980" s="34" t="s">
        <v>65</v>
      </c>
      <c r="L980" s="77">
        <v>980</v>
      </c>
      <c r="M980" s="77"/>
      <c r="N980" s="72"/>
      <c r="O980" s="79" t="s">
        <v>610</v>
      </c>
      <c r="P980" s="79">
        <v>1</v>
      </c>
      <c r="Q980" s="78" t="str">
        <f>REPLACE(INDEX(GroupVertices[Group],MATCH(Edges[[#This Row],[Vertex 1]],GroupVertices[Vertex],0)),1,1,"")</f>
        <v>amily Trauma Solutions with Dr. Scott Sells</v>
      </c>
      <c r="R980" s="78" t="str">
        <f>REPLACE(INDEX(GroupVertices[Group],MATCH(Edges[[#This Row],[Vertex 2]],GroupVertices[Vertex],0)),1,1,"")</f>
        <v xml:space="preserve"> moment in the Word  Galveston Texas</v>
      </c>
    </row>
    <row r="981" spans="1:18" ht="15">
      <c r="A981" s="64" t="s">
        <v>223</v>
      </c>
      <c r="B981" s="64" t="s">
        <v>412</v>
      </c>
      <c r="C981" s="65" t="s">
        <v>4443</v>
      </c>
      <c r="D981" s="66">
        <v>3</v>
      </c>
      <c r="E981" s="67"/>
      <c r="F981" s="68">
        <v>40</v>
      </c>
      <c r="G981" s="65"/>
      <c r="H981" s="69"/>
      <c r="I981" s="70"/>
      <c r="J981" s="70"/>
      <c r="K981" s="34" t="s">
        <v>65</v>
      </c>
      <c r="L981" s="77">
        <v>981</v>
      </c>
      <c r="M981" s="77"/>
      <c r="N981" s="72"/>
      <c r="O981" s="79" t="s">
        <v>610</v>
      </c>
      <c r="P981" s="79">
        <v>1</v>
      </c>
      <c r="Q981" s="78" t="str">
        <f>REPLACE(INDEX(GroupVertices[Group],MATCH(Edges[[#This Row],[Vertex 1]],GroupVertices[Vertex],0)),1,1,"")</f>
        <v>amily Trauma Solutions with Dr. Scott Sells</v>
      </c>
      <c r="R981" s="78" t="str">
        <f>REPLACE(INDEX(GroupVertices[Group],MATCH(Edges[[#This Row],[Vertex 2]],GroupVertices[Vertex],0)),1,1,"")</f>
        <v>ark Barney</v>
      </c>
    </row>
    <row r="982" spans="1:18" ht="15">
      <c r="A982" s="64" t="s">
        <v>223</v>
      </c>
      <c r="B982" s="64" t="s">
        <v>413</v>
      </c>
      <c r="C982" s="65" t="s">
        <v>4443</v>
      </c>
      <c r="D982" s="66">
        <v>3</v>
      </c>
      <c r="E982" s="67"/>
      <c r="F982" s="68">
        <v>40</v>
      </c>
      <c r="G982" s="65"/>
      <c r="H982" s="69"/>
      <c r="I982" s="70"/>
      <c r="J982" s="70"/>
      <c r="K982" s="34" t="s">
        <v>65</v>
      </c>
      <c r="L982" s="77">
        <v>982</v>
      </c>
      <c r="M982" s="77"/>
      <c r="N982" s="72"/>
      <c r="O982" s="79" t="s">
        <v>610</v>
      </c>
      <c r="P982" s="79">
        <v>1</v>
      </c>
      <c r="Q982" s="78" t="str">
        <f>REPLACE(INDEX(GroupVertices[Group],MATCH(Edges[[#This Row],[Vertex 1]],GroupVertices[Vertex],0)),1,1,"")</f>
        <v>amily Trauma Solutions with Dr. Scott Sells</v>
      </c>
      <c r="R982" s="78" t="str">
        <f>REPLACE(INDEX(GroupVertices[Group],MATCH(Edges[[#This Row],[Vertex 2]],GroupVertices[Vertex],0)),1,1,"")</f>
        <v>entral Schwenkfelder Church</v>
      </c>
    </row>
    <row r="983" spans="1:18" ht="15">
      <c r="A983" s="64" t="s">
        <v>223</v>
      </c>
      <c r="B983" s="64" t="s">
        <v>414</v>
      </c>
      <c r="C983" s="65" t="s">
        <v>4443</v>
      </c>
      <c r="D983" s="66">
        <v>3</v>
      </c>
      <c r="E983" s="67"/>
      <c r="F983" s="68">
        <v>40</v>
      </c>
      <c r="G983" s="65"/>
      <c r="H983" s="69"/>
      <c r="I983" s="70"/>
      <c r="J983" s="70"/>
      <c r="K983" s="34" t="s">
        <v>65</v>
      </c>
      <c r="L983" s="77">
        <v>983</v>
      </c>
      <c r="M983" s="77"/>
      <c r="N983" s="72"/>
      <c r="O983" s="79" t="s">
        <v>610</v>
      </c>
      <c r="P983" s="79">
        <v>1</v>
      </c>
      <c r="Q983" s="78" t="str">
        <f>REPLACE(INDEX(GroupVertices[Group],MATCH(Edges[[#This Row],[Vertex 1]],GroupVertices[Vertex],0)),1,1,"")</f>
        <v>amily Trauma Solutions with Dr. Scott Sells</v>
      </c>
      <c r="R983" s="78" t="str">
        <f>REPLACE(INDEX(GroupVertices[Group],MATCH(Edges[[#This Row],[Vertex 2]],GroupVertices[Vertex],0)),1,1,"")</f>
        <v>amily Trauma Solutions with Dr. Scott Sells</v>
      </c>
    </row>
    <row r="984" spans="1:18" ht="15">
      <c r="A984" s="64" t="s">
        <v>223</v>
      </c>
      <c r="B984" s="64" t="s">
        <v>252</v>
      </c>
      <c r="C984" s="65" t="s">
        <v>4443</v>
      </c>
      <c r="D984" s="66">
        <v>3</v>
      </c>
      <c r="E984" s="67"/>
      <c r="F984" s="68">
        <v>40</v>
      </c>
      <c r="G984" s="65"/>
      <c r="H984" s="69"/>
      <c r="I984" s="70"/>
      <c r="J984" s="70"/>
      <c r="K984" s="34" t="s">
        <v>65</v>
      </c>
      <c r="L984" s="77">
        <v>984</v>
      </c>
      <c r="M984" s="77"/>
      <c r="N984" s="72"/>
      <c r="O984" s="79" t="s">
        <v>610</v>
      </c>
      <c r="P984" s="79">
        <v>1</v>
      </c>
      <c r="Q984" s="78" t="str">
        <f>REPLACE(INDEX(GroupVertices[Group],MATCH(Edges[[#This Row],[Vertex 1]],GroupVertices[Vertex],0)),1,1,"")</f>
        <v>amily Trauma Solutions with Dr. Scott Sells</v>
      </c>
      <c r="R984" s="78" t="str">
        <f>REPLACE(INDEX(GroupVertices[Group],MATCH(Edges[[#This Row],[Vertex 2]],GroupVertices[Vertex],0)),1,1,"")</f>
        <v>G)I-DLE (여자)아이들 (Official YouTube Channel)</v>
      </c>
    </row>
    <row r="985" spans="1:18" ht="15">
      <c r="A985" s="64" t="s">
        <v>223</v>
      </c>
      <c r="B985" s="64" t="s">
        <v>253</v>
      </c>
      <c r="C985" s="65" t="s">
        <v>4443</v>
      </c>
      <c r="D985" s="66">
        <v>3</v>
      </c>
      <c r="E985" s="67"/>
      <c r="F985" s="68">
        <v>40</v>
      </c>
      <c r="G985" s="65"/>
      <c r="H985" s="69"/>
      <c r="I985" s="70"/>
      <c r="J985" s="70"/>
      <c r="K985" s="34" t="s">
        <v>65</v>
      </c>
      <c r="L985" s="77">
        <v>985</v>
      </c>
      <c r="M985" s="77"/>
      <c r="N985" s="72"/>
      <c r="O985" s="79" t="s">
        <v>610</v>
      </c>
      <c r="P985" s="79">
        <v>1</v>
      </c>
      <c r="Q985" s="78" t="str">
        <f>REPLACE(INDEX(GroupVertices[Group],MATCH(Edges[[#This Row],[Vertex 1]],GroupVertices[Vertex],0)),1,1,"")</f>
        <v>amily Trauma Solutions with Dr. Scott Sells</v>
      </c>
      <c r="R985" s="78" t="str">
        <f>REPLACE(INDEX(GroupVertices[Group],MATCH(Edges[[#This Row],[Vertex 2]],GroupVertices[Vertex],0)),1,1,"")</f>
        <v>etflix</v>
      </c>
    </row>
    <row r="986" spans="1:18" ht="15">
      <c r="A986" s="64" t="s">
        <v>223</v>
      </c>
      <c r="B986" s="64" t="s">
        <v>261</v>
      </c>
      <c r="C986" s="65" t="s">
        <v>4443</v>
      </c>
      <c r="D986" s="66">
        <v>3</v>
      </c>
      <c r="E986" s="67"/>
      <c r="F986" s="68">
        <v>40</v>
      </c>
      <c r="G986" s="65"/>
      <c r="H986" s="69"/>
      <c r="I986" s="70"/>
      <c r="J986" s="70"/>
      <c r="K986" s="34" t="s">
        <v>65</v>
      </c>
      <c r="L986" s="77">
        <v>986</v>
      </c>
      <c r="M986" s="77"/>
      <c r="N986" s="72"/>
      <c r="O986" s="79" t="s">
        <v>610</v>
      </c>
      <c r="P986" s="79">
        <v>1</v>
      </c>
      <c r="Q986" s="78" t="str">
        <f>REPLACE(INDEX(GroupVertices[Group],MATCH(Edges[[#This Row],[Vertex 1]],GroupVertices[Vertex],0)),1,1,"")</f>
        <v>amily Trauma Solutions with Dr. Scott Sells</v>
      </c>
      <c r="R986" s="78" t="str">
        <f>REPLACE(INDEX(GroupVertices[Group],MATCH(Edges[[#This Row],[Vertex 2]],GroupVertices[Vertex],0)),1,1,"")</f>
        <v>arkiplier</v>
      </c>
    </row>
    <row r="987" spans="1:18" ht="15">
      <c r="A987" s="64" t="s">
        <v>223</v>
      </c>
      <c r="B987" s="64" t="s">
        <v>262</v>
      </c>
      <c r="C987" s="65" t="s">
        <v>4443</v>
      </c>
      <c r="D987" s="66">
        <v>3</v>
      </c>
      <c r="E987" s="67"/>
      <c r="F987" s="68">
        <v>40</v>
      </c>
      <c r="G987" s="65"/>
      <c r="H987" s="69"/>
      <c r="I987" s="70"/>
      <c r="J987" s="70"/>
      <c r="K987" s="34" t="s">
        <v>65</v>
      </c>
      <c r="L987" s="77">
        <v>987</v>
      </c>
      <c r="M987" s="77"/>
      <c r="N987" s="72"/>
      <c r="O987" s="79" t="s">
        <v>610</v>
      </c>
      <c r="P987" s="79">
        <v>1</v>
      </c>
      <c r="Q987" s="78" t="str">
        <f>REPLACE(INDEX(GroupVertices[Group],MATCH(Edges[[#This Row],[Vertex 1]],GroupVertices[Vertex],0)),1,1,"")</f>
        <v>amily Trauma Solutions with Dr. Scott Sells</v>
      </c>
      <c r="R987" s="78" t="str">
        <f>REPLACE(INDEX(GroupVertices[Group],MATCH(Edges[[#This Row],[Vertex 2]],GroupVertices[Vertex],0)),1,1,"")</f>
        <v>ractical Engineering</v>
      </c>
    </row>
    <row r="988" spans="1:18" ht="15">
      <c r="A988" s="64" t="s">
        <v>223</v>
      </c>
      <c r="B988" s="64" t="s">
        <v>254</v>
      </c>
      <c r="C988" s="65" t="s">
        <v>4443</v>
      </c>
      <c r="D988" s="66">
        <v>3</v>
      </c>
      <c r="E988" s="67"/>
      <c r="F988" s="68">
        <v>40</v>
      </c>
      <c r="G988" s="65"/>
      <c r="H988" s="69"/>
      <c r="I988" s="70"/>
      <c r="J988" s="70"/>
      <c r="K988" s="34" t="s">
        <v>65</v>
      </c>
      <c r="L988" s="77">
        <v>988</v>
      </c>
      <c r="M988" s="77"/>
      <c r="N988" s="72"/>
      <c r="O988" s="79" t="s">
        <v>610</v>
      </c>
      <c r="P988" s="79">
        <v>1</v>
      </c>
      <c r="Q988" s="78" t="str">
        <f>REPLACE(INDEX(GroupVertices[Group],MATCH(Edges[[#This Row],[Vertex 1]],GroupVertices[Vertex],0)),1,1,"")</f>
        <v>amily Trauma Solutions with Dr. Scott Sells</v>
      </c>
      <c r="R988" s="78" t="str">
        <f>REPLACE(INDEX(GroupVertices[Group],MATCH(Edges[[#This Row],[Vertex 2]],GroupVertices[Vertex],0)),1,1,"")</f>
        <v>lash of Clans</v>
      </c>
    </row>
    <row r="989" spans="1:18" ht="15">
      <c r="A989" s="64" t="s">
        <v>223</v>
      </c>
      <c r="B989" s="64" t="s">
        <v>255</v>
      </c>
      <c r="C989" s="65" t="s">
        <v>4443</v>
      </c>
      <c r="D989" s="66">
        <v>3</v>
      </c>
      <c r="E989" s="67"/>
      <c r="F989" s="68">
        <v>40</v>
      </c>
      <c r="G989" s="65"/>
      <c r="H989" s="69"/>
      <c r="I989" s="70"/>
      <c r="J989" s="70"/>
      <c r="K989" s="34" t="s">
        <v>65</v>
      </c>
      <c r="L989" s="77">
        <v>989</v>
      </c>
      <c r="M989" s="77"/>
      <c r="N989" s="72"/>
      <c r="O989" s="79" t="s">
        <v>610</v>
      </c>
      <c r="P989" s="79">
        <v>1</v>
      </c>
      <c r="Q989" s="78" t="str">
        <f>REPLACE(INDEX(GroupVertices[Group],MATCH(Edges[[#This Row],[Vertex 1]],GroupVertices[Vertex],0)),1,1,"")</f>
        <v>amily Trauma Solutions with Dr. Scott Sells</v>
      </c>
      <c r="R989" s="78" t="str">
        <f>REPLACE(INDEX(GroupVertices[Group],MATCH(Edges[[#This Row],[Vertex 2]],GroupVertices[Vertex],0)),1,1,"")</f>
        <v>et's Game It Out</v>
      </c>
    </row>
    <row r="990" spans="1:18" ht="15">
      <c r="A990" s="64" t="s">
        <v>223</v>
      </c>
      <c r="B990" s="64" t="s">
        <v>263</v>
      </c>
      <c r="C990" s="65" t="s">
        <v>4443</v>
      </c>
      <c r="D990" s="66">
        <v>3</v>
      </c>
      <c r="E990" s="67"/>
      <c r="F990" s="68">
        <v>40</v>
      </c>
      <c r="G990" s="65"/>
      <c r="H990" s="69"/>
      <c r="I990" s="70"/>
      <c r="J990" s="70"/>
      <c r="K990" s="34" t="s">
        <v>65</v>
      </c>
      <c r="L990" s="77">
        <v>990</v>
      </c>
      <c r="M990" s="77"/>
      <c r="N990" s="72"/>
      <c r="O990" s="79" t="s">
        <v>610</v>
      </c>
      <c r="P990" s="79">
        <v>1</v>
      </c>
      <c r="Q990" s="78" t="str">
        <f>REPLACE(INDEX(GroupVertices[Group],MATCH(Edges[[#This Row],[Vertex 1]],GroupVertices[Vertex],0)),1,1,"")</f>
        <v>amily Trauma Solutions with Dr. Scott Sells</v>
      </c>
      <c r="R990" s="78" t="str">
        <f>REPLACE(INDEX(GroupVertices[Group],MATCH(Edges[[#This Row],[Vertex 2]],GroupVertices[Vertex],0)),1,1,"")</f>
        <v>ncognito Mode</v>
      </c>
    </row>
    <row r="991" spans="1:18" ht="15">
      <c r="A991" s="64" t="s">
        <v>223</v>
      </c>
      <c r="B991" s="64" t="s">
        <v>256</v>
      </c>
      <c r="C991" s="65" t="s">
        <v>4443</v>
      </c>
      <c r="D991" s="66">
        <v>3</v>
      </c>
      <c r="E991" s="67"/>
      <c r="F991" s="68">
        <v>40</v>
      </c>
      <c r="G991" s="65"/>
      <c r="H991" s="69"/>
      <c r="I991" s="70"/>
      <c r="J991" s="70"/>
      <c r="K991" s="34" t="s">
        <v>65</v>
      </c>
      <c r="L991" s="77">
        <v>991</v>
      </c>
      <c r="M991" s="77"/>
      <c r="N991" s="72"/>
      <c r="O991" s="79" t="s">
        <v>610</v>
      </c>
      <c r="P991" s="79">
        <v>1</v>
      </c>
      <c r="Q991" s="78" t="str">
        <f>REPLACE(INDEX(GroupVertices[Group],MATCH(Edges[[#This Row],[Vertex 1]],GroupVertices[Vertex],0)),1,1,"")</f>
        <v>amily Trauma Solutions with Dr. Scott Sells</v>
      </c>
      <c r="R991" s="78" t="str">
        <f>REPLACE(INDEX(GroupVertices[Group],MATCH(Edges[[#This Row],[Vertex 2]],GroupVertices[Vertex],0)),1,1,"")</f>
        <v>arques Brownlee</v>
      </c>
    </row>
    <row r="992" spans="1:18" ht="15">
      <c r="A992" s="64" t="s">
        <v>223</v>
      </c>
      <c r="B992" s="64" t="s">
        <v>257</v>
      </c>
      <c r="C992" s="65" t="s">
        <v>4443</v>
      </c>
      <c r="D992" s="66">
        <v>3</v>
      </c>
      <c r="E992" s="67"/>
      <c r="F992" s="68">
        <v>40</v>
      </c>
      <c r="G992" s="65"/>
      <c r="H992" s="69"/>
      <c r="I992" s="70"/>
      <c r="J992" s="70"/>
      <c r="K992" s="34" t="s">
        <v>65</v>
      </c>
      <c r="L992" s="77">
        <v>992</v>
      </c>
      <c r="M992" s="77"/>
      <c r="N992" s="72"/>
      <c r="O992" s="79" t="s">
        <v>610</v>
      </c>
      <c r="P992" s="79">
        <v>1</v>
      </c>
      <c r="Q992" s="78" t="str">
        <f>REPLACE(INDEX(GroupVertices[Group],MATCH(Edges[[#This Row],[Vertex 1]],GroupVertices[Vertex],0)),1,1,"")</f>
        <v>amily Trauma Solutions with Dr. Scott Sells</v>
      </c>
      <c r="R992" s="78" t="str">
        <f>REPLACE(INDEX(GroupVertices[Group],MATCH(Edges[[#This Row],[Vertex 2]],GroupVertices[Vertex],0)),1,1,"")</f>
        <v>rchitectural Digest</v>
      </c>
    </row>
    <row r="993" spans="1:18" ht="15">
      <c r="A993" s="64" t="s">
        <v>223</v>
      </c>
      <c r="B993" s="64" t="s">
        <v>258</v>
      </c>
      <c r="C993" s="65" t="s">
        <v>4443</v>
      </c>
      <c r="D993" s="66">
        <v>3</v>
      </c>
      <c r="E993" s="67"/>
      <c r="F993" s="68">
        <v>40</v>
      </c>
      <c r="G993" s="65"/>
      <c r="H993" s="69"/>
      <c r="I993" s="70"/>
      <c r="J993" s="70"/>
      <c r="K993" s="34" t="s">
        <v>65</v>
      </c>
      <c r="L993" s="77">
        <v>993</v>
      </c>
      <c r="M993" s="77"/>
      <c r="N993" s="72"/>
      <c r="O993" s="79" t="s">
        <v>610</v>
      </c>
      <c r="P993" s="79">
        <v>1</v>
      </c>
      <c r="Q993" s="78" t="str">
        <f>REPLACE(INDEX(GroupVertices[Group],MATCH(Edges[[#This Row],[Vertex 1]],GroupVertices[Vertex],0)),1,1,"")</f>
        <v>amily Trauma Solutions with Dr. Scott Sells</v>
      </c>
      <c r="R993" s="78" t="str">
        <f>REPLACE(INDEX(GroupVertices[Group],MATCH(Edges[[#This Row],[Vertex 2]],GroupVertices[Vertex],0)),1,1,"")</f>
        <v>alt Disney Studios</v>
      </c>
    </row>
    <row r="994" spans="1:18" ht="15">
      <c r="A994" s="64" t="s">
        <v>223</v>
      </c>
      <c r="B994" s="64" t="s">
        <v>259</v>
      </c>
      <c r="C994" s="65" t="s">
        <v>4443</v>
      </c>
      <c r="D994" s="66">
        <v>3</v>
      </c>
      <c r="E994" s="67"/>
      <c r="F994" s="68">
        <v>40</v>
      </c>
      <c r="G994" s="65"/>
      <c r="H994" s="69"/>
      <c r="I994" s="70"/>
      <c r="J994" s="70"/>
      <c r="K994" s="34" t="s">
        <v>65</v>
      </c>
      <c r="L994" s="77">
        <v>994</v>
      </c>
      <c r="M994" s="77"/>
      <c r="N994" s="72"/>
      <c r="O994" s="79" t="s">
        <v>610</v>
      </c>
      <c r="P994" s="79">
        <v>1</v>
      </c>
      <c r="Q994" s="78" t="str">
        <f>REPLACE(INDEX(GroupVertices[Group],MATCH(Edges[[#This Row],[Vertex 1]],GroupVertices[Vertex],0)),1,1,"")</f>
        <v>amily Trauma Solutions with Dr. Scott Sells</v>
      </c>
      <c r="R994" s="78" t="str">
        <f>REPLACE(INDEX(GroupVertices[Group],MATCH(Edges[[#This Row],[Vertex 2]],GroupVertices[Vertex],0)),1,1,"")</f>
        <v>kip and Shannon: UNDISPUTED</v>
      </c>
    </row>
    <row r="995" spans="1:18" ht="15">
      <c r="A995" s="64" t="s">
        <v>223</v>
      </c>
      <c r="B995" s="64" t="s">
        <v>260</v>
      </c>
      <c r="C995" s="65" t="s">
        <v>4443</v>
      </c>
      <c r="D995" s="66">
        <v>3</v>
      </c>
      <c r="E995" s="67"/>
      <c r="F995" s="68">
        <v>40</v>
      </c>
      <c r="G995" s="65"/>
      <c r="H995" s="69"/>
      <c r="I995" s="70"/>
      <c r="J995" s="70"/>
      <c r="K995" s="34" t="s">
        <v>65</v>
      </c>
      <c r="L995" s="77">
        <v>995</v>
      </c>
      <c r="M995" s="77"/>
      <c r="N995" s="72"/>
      <c r="O995" s="79" t="s">
        <v>610</v>
      </c>
      <c r="P995" s="79">
        <v>1</v>
      </c>
      <c r="Q995" s="78" t="str">
        <f>REPLACE(INDEX(GroupVertices[Group],MATCH(Edges[[#This Row],[Vertex 1]],GroupVertices[Vertex],0)),1,1,"")</f>
        <v>amily Trauma Solutions with Dr. Scott Sells</v>
      </c>
      <c r="R995" s="78" t="str">
        <f>REPLACE(INDEX(GroupVertices[Group],MATCH(Edges[[#This Row],[Vertex 2]],GroupVertices[Vertex],0)),1,1,"")</f>
        <v>hakira</v>
      </c>
    </row>
    <row r="996" spans="1:18" ht="15">
      <c r="A996" s="64" t="s">
        <v>228</v>
      </c>
      <c r="B996" s="64" t="s">
        <v>2316</v>
      </c>
      <c r="C996" s="65" t="s">
        <v>4443</v>
      </c>
      <c r="D996" s="66">
        <v>3</v>
      </c>
      <c r="E996" s="67"/>
      <c r="F996" s="68">
        <v>40</v>
      </c>
      <c r="G996" s="65"/>
      <c r="H996" s="69"/>
      <c r="I996" s="70"/>
      <c r="J996" s="70"/>
      <c r="K996" s="34" t="s">
        <v>65</v>
      </c>
      <c r="L996" s="77">
        <v>996</v>
      </c>
      <c r="M996" s="77"/>
      <c r="N996" s="72"/>
      <c r="O996" s="79" t="s">
        <v>610</v>
      </c>
      <c r="P996" s="79">
        <v>1</v>
      </c>
      <c r="Q996" s="78" t="str">
        <f>REPLACE(INDEX(GroupVertices[Group],MATCH(Edges[[#This Row],[Vertex 1]],GroupVertices[Vertex],0)),1,1,"")</f>
        <v>ip in the Bud</v>
      </c>
      <c r="R996" s="78" t="str">
        <f>REPLACE(INDEX(GroupVertices[Group],MATCH(Edges[[#This Row],[Vertex 2]],GroupVertices[Vertex],0)),1,1,"")</f>
        <v>uture Finance Training Ltd</v>
      </c>
    </row>
    <row r="997" spans="1:18" ht="15">
      <c r="A997" s="64" t="s">
        <v>228</v>
      </c>
      <c r="B997" s="64" t="s">
        <v>2317</v>
      </c>
      <c r="C997" s="65" t="s">
        <v>4443</v>
      </c>
      <c r="D997" s="66">
        <v>3</v>
      </c>
      <c r="E997" s="67"/>
      <c r="F997" s="68">
        <v>40</v>
      </c>
      <c r="G997" s="65"/>
      <c r="H997" s="69"/>
      <c r="I997" s="70"/>
      <c r="J997" s="70"/>
      <c r="K997" s="34" t="s">
        <v>65</v>
      </c>
      <c r="L997" s="77">
        <v>997</v>
      </c>
      <c r="M997" s="77"/>
      <c r="N997" s="72"/>
      <c r="O997" s="79" t="s">
        <v>610</v>
      </c>
      <c r="P997" s="79">
        <v>1</v>
      </c>
      <c r="Q997" s="78" t="str">
        <f>REPLACE(INDEX(GroupVertices[Group],MATCH(Edges[[#This Row],[Vertex 1]],GroupVertices[Vertex],0)),1,1,"")</f>
        <v>ip in the Bud</v>
      </c>
      <c r="R997" s="78" t="str">
        <f>REPLACE(INDEX(GroupVertices[Group],MATCH(Edges[[#This Row],[Vertex 2]],GroupVertices[Vertex],0)),1,1,"")</f>
        <v>racticeHub</v>
      </c>
    </row>
    <row r="998" spans="1:18" ht="15">
      <c r="A998" s="64" t="s">
        <v>228</v>
      </c>
      <c r="B998" s="64" t="s">
        <v>2318</v>
      </c>
      <c r="C998" s="65" t="s">
        <v>4443</v>
      </c>
      <c r="D998" s="66">
        <v>3</v>
      </c>
      <c r="E998" s="67"/>
      <c r="F998" s="68">
        <v>40</v>
      </c>
      <c r="G998" s="65"/>
      <c r="H998" s="69"/>
      <c r="I998" s="70"/>
      <c r="J998" s="70"/>
      <c r="K998" s="34" t="s">
        <v>65</v>
      </c>
      <c r="L998" s="77">
        <v>998</v>
      </c>
      <c r="M998" s="77"/>
      <c r="N998" s="72"/>
      <c r="O998" s="79" t="s">
        <v>610</v>
      </c>
      <c r="P998" s="79">
        <v>1</v>
      </c>
      <c r="Q998" s="78" t="str">
        <f>REPLACE(INDEX(GroupVertices[Group],MATCH(Edges[[#This Row],[Vertex 1]],GroupVertices[Vertex],0)),1,1,"")</f>
        <v>ip in the Bud</v>
      </c>
      <c r="R998" s="78" t="str">
        <f>REPLACE(INDEX(GroupVertices[Group],MATCH(Edges[[#This Row],[Vertex 2]],GroupVertices[Vertex],0)),1,1,"")</f>
        <v>isa Townsend</v>
      </c>
    </row>
    <row r="999" spans="1:18" ht="15">
      <c r="A999" s="64" t="s">
        <v>228</v>
      </c>
      <c r="B999" s="64" t="s">
        <v>2319</v>
      </c>
      <c r="C999" s="65" t="s">
        <v>4443</v>
      </c>
      <c r="D999" s="66">
        <v>3</v>
      </c>
      <c r="E999" s="67"/>
      <c r="F999" s="68">
        <v>40</v>
      </c>
      <c r="G999" s="65"/>
      <c r="H999" s="69"/>
      <c r="I999" s="70"/>
      <c r="J999" s="70"/>
      <c r="K999" s="34" t="s">
        <v>65</v>
      </c>
      <c r="L999" s="77">
        <v>999</v>
      </c>
      <c r="M999" s="77"/>
      <c r="N999" s="72"/>
      <c r="O999" s="79" t="s">
        <v>610</v>
      </c>
      <c r="P999" s="79">
        <v>1</v>
      </c>
      <c r="Q999" s="78" t="str">
        <f>REPLACE(INDEX(GroupVertices[Group],MATCH(Edges[[#This Row],[Vertex 1]],GroupVertices[Vertex],0)),1,1,"")</f>
        <v>ip in the Bud</v>
      </c>
      <c r="R999" s="78" t="str">
        <f>REPLACE(INDEX(GroupVertices[Group],MATCH(Edges[[#This Row],[Vertex 2]],GroupVertices[Vertex],0)),1,1,"")</f>
        <v>ade Caballero</v>
      </c>
    </row>
    <row r="1000" spans="1:18" ht="15">
      <c r="A1000" s="64" t="s">
        <v>228</v>
      </c>
      <c r="B1000" s="64" t="s">
        <v>2320</v>
      </c>
      <c r="C1000" s="65" t="s">
        <v>4443</v>
      </c>
      <c r="D1000" s="66">
        <v>3</v>
      </c>
      <c r="E1000" s="67"/>
      <c r="F1000" s="68">
        <v>40</v>
      </c>
      <c r="G1000" s="65"/>
      <c r="H1000" s="69"/>
      <c r="I1000" s="70"/>
      <c r="J1000" s="70"/>
      <c r="K1000" s="34" t="s">
        <v>65</v>
      </c>
      <c r="L1000" s="77">
        <v>1000</v>
      </c>
      <c r="M1000" s="77"/>
      <c r="N1000" s="72"/>
      <c r="O1000" s="79" t="s">
        <v>610</v>
      </c>
      <c r="P1000" s="79">
        <v>1</v>
      </c>
      <c r="Q1000" s="78" t="str">
        <f>REPLACE(INDEX(GroupVertices[Group],MATCH(Edges[[#This Row],[Vertex 1]],GroupVertices[Vertex],0)),1,1,"")</f>
        <v>ip in the Bud</v>
      </c>
      <c r="R1000" s="78" t="str">
        <f>REPLACE(INDEX(GroupVertices[Group],MATCH(Edges[[#This Row],[Vertex 2]],GroupVertices[Vertex],0)),1,1,"")</f>
        <v>VR - Finnish Vaccine Research</v>
      </c>
    </row>
    <row r="1001" spans="1:18" ht="15">
      <c r="A1001" s="64" t="s">
        <v>228</v>
      </c>
      <c r="B1001" s="64" t="s">
        <v>2321</v>
      </c>
      <c r="C1001" s="65" t="s">
        <v>4443</v>
      </c>
      <c r="D1001" s="66">
        <v>3</v>
      </c>
      <c r="E1001" s="67"/>
      <c r="F1001" s="68">
        <v>40</v>
      </c>
      <c r="G1001" s="65"/>
      <c r="H1001" s="69"/>
      <c r="I1001" s="70"/>
      <c r="J1001" s="70"/>
      <c r="K1001" s="34" t="s">
        <v>65</v>
      </c>
      <c r="L1001" s="77">
        <v>1001</v>
      </c>
      <c r="M1001" s="77"/>
      <c r="N1001" s="72"/>
      <c r="O1001" s="79" t="s">
        <v>610</v>
      </c>
      <c r="P1001" s="79">
        <v>1</v>
      </c>
      <c r="Q1001" s="78" t="str">
        <f>REPLACE(INDEX(GroupVertices[Group],MATCH(Edges[[#This Row],[Vertex 1]],GroupVertices[Vertex],0)),1,1,"")</f>
        <v>ip in the Bud</v>
      </c>
      <c r="R1001" s="78" t="str">
        <f>REPLACE(INDEX(GroupVertices[Group],MATCH(Edges[[#This Row],[Vertex 2]],GroupVertices[Vertex],0)),1,1,"")</f>
        <v>ure Public Relations</v>
      </c>
    </row>
    <row r="1002" spans="1:18" ht="15">
      <c r="A1002" s="64" t="s">
        <v>228</v>
      </c>
      <c r="B1002" s="64" t="s">
        <v>2322</v>
      </c>
      <c r="C1002" s="65" t="s">
        <v>4443</v>
      </c>
      <c r="D1002" s="66">
        <v>3</v>
      </c>
      <c r="E1002" s="67"/>
      <c r="F1002" s="68">
        <v>40</v>
      </c>
      <c r="G1002" s="65"/>
      <c r="H1002" s="69"/>
      <c r="I1002" s="70"/>
      <c r="J1002" s="70"/>
      <c r="K1002" s="34" t="s">
        <v>65</v>
      </c>
      <c r="L1002" s="77">
        <v>1002</v>
      </c>
      <c r="M1002" s="77"/>
      <c r="N1002" s="72"/>
      <c r="O1002" s="79" t="s">
        <v>610</v>
      </c>
      <c r="P1002" s="79">
        <v>1</v>
      </c>
      <c r="Q1002" s="78" t="str">
        <f>REPLACE(INDEX(GroupVertices[Group],MATCH(Edges[[#This Row],[Vertex 1]],GroupVertices[Vertex],0)),1,1,"")</f>
        <v>ip in the Bud</v>
      </c>
      <c r="R1002" s="78" t="str">
        <f>REPLACE(INDEX(GroupVertices[Group],MATCH(Edges[[#This Row],[Vertex 2]],GroupVertices[Vertex],0)),1,1,"")</f>
        <v>ure Public Relations</v>
      </c>
    </row>
    <row r="1003" spans="1:18" ht="15">
      <c r="A1003" s="64" t="s">
        <v>228</v>
      </c>
      <c r="B1003" s="64" t="s">
        <v>2323</v>
      </c>
      <c r="C1003" s="65" t="s">
        <v>4443</v>
      </c>
      <c r="D1003" s="66">
        <v>3</v>
      </c>
      <c r="E1003" s="67"/>
      <c r="F1003" s="68">
        <v>40</v>
      </c>
      <c r="G1003" s="65"/>
      <c r="H1003" s="69"/>
      <c r="I1003" s="70"/>
      <c r="J1003" s="70"/>
      <c r="K1003" s="34" t="s">
        <v>65</v>
      </c>
      <c r="L1003" s="77">
        <v>1003</v>
      </c>
      <c r="M1003" s="77"/>
      <c r="N1003" s="72"/>
      <c r="O1003" s="79" t="s">
        <v>610</v>
      </c>
      <c r="P1003" s="79">
        <v>1</v>
      </c>
      <c r="Q1003" s="78" t="str">
        <f>REPLACE(INDEX(GroupVertices[Group],MATCH(Edges[[#This Row],[Vertex 1]],GroupVertices[Vertex],0)),1,1,"")</f>
        <v>ip in the Bud</v>
      </c>
      <c r="R1003" s="78" t="str">
        <f>REPLACE(INDEX(GroupVertices[Group],MATCH(Edges[[#This Row],[Vertex 2]],GroupVertices[Vertex],0)),1,1,"")</f>
        <v>pecial Education Cambodia</v>
      </c>
    </row>
    <row r="1004" spans="1:18" ht="15">
      <c r="A1004" s="64" t="s">
        <v>228</v>
      </c>
      <c r="B1004" s="64" t="s">
        <v>2324</v>
      </c>
      <c r="C1004" s="65" t="s">
        <v>4443</v>
      </c>
      <c r="D1004" s="66">
        <v>3</v>
      </c>
      <c r="E1004" s="67"/>
      <c r="F1004" s="68">
        <v>40</v>
      </c>
      <c r="G1004" s="65"/>
      <c r="H1004" s="69"/>
      <c r="I1004" s="70"/>
      <c r="J1004" s="70"/>
      <c r="K1004" s="34" t="s">
        <v>65</v>
      </c>
      <c r="L1004" s="77">
        <v>1004</v>
      </c>
      <c r="M1004" s="77"/>
      <c r="N1004" s="72"/>
      <c r="O1004" s="79" t="s">
        <v>610</v>
      </c>
      <c r="P1004" s="79">
        <v>1</v>
      </c>
      <c r="Q1004" s="78" t="str">
        <f>REPLACE(INDEX(GroupVertices[Group],MATCH(Edges[[#This Row],[Vertex 1]],GroupVertices[Vertex],0)),1,1,"")</f>
        <v>ip in the Bud</v>
      </c>
      <c r="R1004" s="78" t="str">
        <f>REPLACE(INDEX(GroupVertices[Group],MATCH(Edges[[#This Row],[Vertex 2]],GroupVertices[Vertex],0)),1,1,"")</f>
        <v>eazley Group</v>
      </c>
    </row>
    <row r="1005" spans="1:18" ht="15">
      <c r="A1005" s="64" t="s">
        <v>228</v>
      </c>
      <c r="B1005" s="64" t="s">
        <v>2325</v>
      </c>
      <c r="C1005" s="65" t="s">
        <v>4443</v>
      </c>
      <c r="D1005" s="66">
        <v>3</v>
      </c>
      <c r="E1005" s="67"/>
      <c r="F1005" s="68">
        <v>40</v>
      </c>
      <c r="G1005" s="65"/>
      <c r="H1005" s="69"/>
      <c r="I1005" s="70"/>
      <c r="J1005" s="70"/>
      <c r="K1005" s="34" t="s">
        <v>65</v>
      </c>
      <c r="L1005" s="77">
        <v>1005</v>
      </c>
      <c r="M1005" s="77"/>
      <c r="N1005" s="72"/>
      <c r="O1005" s="79" t="s">
        <v>610</v>
      </c>
      <c r="P1005" s="79">
        <v>1</v>
      </c>
      <c r="Q1005" s="78" t="str">
        <f>REPLACE(INDEX(GroupVertices[Group],MATCH(Edges[[#This Row],[Vertex 1]],GroupVertices[Vertex],0)),1,1,"")</f>
        <v>ip in the Bud</v>
      </c>
      <c r="R1005" s="78" t="str">
        <f>REPLACE(INDEX(GroupVertices[Group],MATCH(Edges[[#This Row],[Vertex 2]],GroupVertices[Vertex],0)),1,1,"")</f>
        <v>SC Victoria</v>
      </c>
    </row>
    <row r="1006" spans="1:18" ht="15">
      <c r="A1006" s="64" t="s">
        <v>228</v>
      </c>
      <c r="B1006" s="64" t="s">
        <v>2326</v>
      </c>
      <c r="C1006" s="65" t="s">
        <v>4443</v>
      </c>
      <c r="D1006" s="66">
        <v>3</v>
      </c>
      <c r="E1006" s="67"/>
      <c r="F1006" s="68">
        <v>40</v>
      </c>
      <c r="G1006" s="65"/>
      <c r="H1006" s="69"/>
      <c r="I1006" s="70"/>
      <c r="J1006" s="70"/>
      <c r="K1006" s="34" t="s">
        <v>65</v>
      </c>
      <c r="L1006" s="77">
        <v>1006</v>
      </c>
      <c r="M1006" s="77"/>
      <c r="N1006" s="72"/>
      <c r="O1006" s="79" t="s">
        <v>610</v>
      </c>
      <c r="P1006" s="79">
        <v>1</v>
      </c>
      <c r="Q1006" s="78" t="str">
        <f>REPLACE(INDEX(GroupVertices[Group],MATCH(Edges[[#This Row],[Vertex 1]],GroupVertices[Vertex],0)),1,1,"")</f>
        <v>ip in the Bud</v>
      </c>
      <c r="R1006" s="78" t="str">
        <f>REPLACE(INDEX(GroupVertices[Group],MATCH(Edges[[#This Row],[Vertex 2]],GroupVertices[Vertex],0)),1,1,"")</f>
        <v>onnectivity Traumatic Brain Injury Australia</v>
      </c>
    </row>
    <row r="1007" spans="1:18" ht="15">
      <c r="A1007" s="64" t="s">
        <v>228</v>
      </c>
      <c r="B1007" s="64" t="s">
        <v>2327</v>
      </c>
      <c r="C1007" s="65" t="s">
        <v>4443</v>
      </c>
      <c r="D1007" s="66">
        <v>3</v>
      </c>
      <c r="E1007" s="67"/>
      <c r="F1007" s="68">
        <v>40</v>
      </c>
      <c r="G1007" s="65"/>
      <c r="H1007" s="69"/>
      <c r="I1007" s="70"/>
      <c r="J1007" s="70"/>
      <c r="K1007" s="34" t="s">
        <v>65</v>
      </c>
      <c r="L1007" s="77">
        <v>1007</v>
      </c>
      <c r="M1007" s="77"/>
      <c r="N1007" s="72"/>
      <c r="O1007" s="79" t="s">
        <v>610</v>
      </c>
      <c r="P1007" s="79">
        <v>1</v>
      </c>
      <c r="Q1007" s="78" t="str">
        <f>REPLACE(INDEX(GroupVertices[Group],MATCH(Edges[[#This Row],[Vertex 1]],GroupVertices[Vertex],0)),1,1,"")</f>
        <v>ip in the Bud</v>
      </c>
      <c r="R1007" s="78" t="str">
        <f>REPLACE(INDEX(GroupVertices[Group],MATCH(Edges[[#This Row],[Vertex 2]],GroupVertices[Vertex],0)),1,1,"")</f>
        <v>ooki</v>
      </c>
    </row>
    <row r="1008" spans="1:18" ht="15">
      <c r="A1008" s="64" t="s">
        <v>228</v>
      </c>
      <c r="B1008" s="64" t="s">
        <v>2328</v>
      </c>
      <c r="C1008" s="65" t="s">
        <v>4443</v>
      </c>
      <c r="D1008" s="66">
        <v>3</v>
      </c>
      <c r="E1008" s="67"/>
      <c r="F1008" s="68">
        <v>40</v>
      </c>
      <c r="G1008" s="65"/>
      <c r="H1008" s="69"/>
      <c r="I1008" s="70"/>
      <c r="J1008" s="70"/>
      <c r="K1008" s="34" t="s">
        <v>65</v>
      </c>
      <c r="L1008" s="77">
        <v>1008</v>
      </c>
      <c r="M1008" s="77"/>
      <c r="N1008" s="72"/>
      <c r="O1008" s="79" t="s">
        <v>610</v>
      </c>
      <c r="P1008" s="79">
        <v>1</v>
      </c>
      <c r="Q1008" s="78" t="str">
        <f>REPLACE(INDEX(GroupVertices[Group],MATCH(Edges[[#This Row],[Vertex 1]],GroupVertices[Vertex],0)),1,1,"")</f>
        <v>ip in the Bud</v>
      </c>
      <c r="R1008" s="78" t="str">
        <f>REPLACE(INDEX(GroupVertices[Group],MATCH(Edges[[#This Row],[Vertex 2]],GroupVertices[Vertex],0)),1,1,"")</f>
        <v>ooki</v>
      </c>
    </row>
    <row r="1009" spans="1:18" ht="15">
      <c r="A1009" s="64" t="s">
        <v>228</v>
      </c>
      <c r="B1009" s="64" t="s">
        <v>2329</v>
      </c>
      <c r="C1009" s="65" t="s">
        <v>4443</v>
      </c>
      <c r="D1009" s="66">
        <v>3</v>
      </c>
      <c r="E1009" s="67"/>
      <c r="F1009" s="68">
        <v>40</v>
      </c>
      <c r="G1009" s="65"/>
      <c r="H1009" s="69"/>
      <c r="I1009" s="70"/>
      <c r="J1009" s="70"/>
      <c r="K1009" s="34" t="s">
        <v>65</v>
      </c>
      <c r="L1009" s="77">
        <v>1009</v>
      </c>
      <c r="M1009" s="77"/>
      <c r="N1009" s="72"/>
      <c r="O1009" s="79" t="s">
        <v>610</v>
      </c>
      <c r="P1009" s="79">
        <v>1</v>
      </c>
      <c r="Q1009" s="78" t="str">
        <f>REPLACE(INDEX(GroupVertices[Group],MATCH(Edges[[#This Row],[Vertex 1]],GroupVertices[Vertex],0)),1,1,"")</f>
        <v>ip in the Bud</v>
      </c>
      <c r="R1009" s="78" t="str">
        <f>REPLACE(INDEX(GroupVertices[Group],MATCH(Edges[[#This Row],[Vertex 2]],GroupVertices[Vertex],0)),1,1,"")</f>
        <v>ooki</v>
      </c>
    </row>
    <row r="1010" spans="1:18" ht="15">
      <c r="A1010" s="64" t="s">
        <v>228</v>
      </c>
      <c r="B1010" s="64" t="s">
        <v>349</v>
      </c>
      <c r="C1010" s="65" t="s">
        <v>4443</v>
      </c>
      <c r="D1010" s="66">
        <v>3</v>
      </c>
      <c r="E1010" s="67"/>
      <c r="F1010" s="68">
        <v>40</v>
      </c>
      <c r="G1010" s="65"/>
      <c r="H1010" s="69"/>
      <c r="I1010" s="70"/>
      <c r="J1010" s="70"/>
      <c r="K1010" s="34" t="s">
        <v>65</v>
      </c>
      <c r="L1010" s="77">
        <v>1010</v>
      </c>
      <c r="M1010" s="77"/>
      <c r="N1010" s="72"/>
      <c r="O1010" s="79" t="s">
        <v>610</v>
      </c>
      <c r="P1010" s="79">
        <v>1</v>
      </c>
      <c r="Q1010" s="78" t="str">
        <f>REPLACE(INDEX(GroupVertices[Group],MATCH(Edges[[#This Row],[Vertex 1]],GroupVertices[Vertex],0)),1,1,"")</f>
        <v>ip in the Bud</v>
      </c>
      <c r="R1010" s="78" t="str">
        <f>REPLACE(INDEX(GroupVertices[Group],MATCH(Edges[[#This Row],[Vertex 2]],GroupVertices[Vertex],0)),1,1,"")</f>
        <v>ip in the Bud</v>
      </c>
    </row>
    <row r="1011" spans="1:18" ht="15">
      <c r="A1011" s="64" t="s">
        <v>228</v>
      </c>
      <c r="B1011" s="64" t="s">
        <v>370</v>
      </c>
      <c r="C1011" s="65" t="s">
        <v>4443</v>
      </c>
      <c r="D1011" s="66">
        <v>3</v>
      </c>
      <c r="E1011" s="67"/>
      <c r="F1011" s="68">
        <v>40</v>
      </c>
      <c r="G1011" s="65"/>
      <c r="H1011" s="69"/>
      <c r="I1011" s="70"/>
      <c r="J1011" s="70"/>
      <c r="K1011" s="34" t="s">
        <v>65</v>
      </c>
      <c r="L1011" s="77">
        <v>1011</v>
      </c>
      <c r="M1011" s="77"/>
      <c r="N1011" s="72"/>
      <c r="O1011" s="79" t="s">
        <v>610</v>
      </c>
      <c r="P1011" s="79">
        <v>1</v>
      </c>
      <c r="Q1011" s="78" t="str">
        <f>REPLACE(INDEX(GroupVertices[Group],MATCH(Edges[[#This Row],[Vertex 1]],GroupVertices[Vertex],0)),1,1,"")</f>
        <v>ip in the Bud</v>
      </c>
      <c r="R1011" s="78" t="str">
        <f>REPLACE(INDEX(GroupVertices[Group],MATCH(Edges[[#This Row],[Vertex 2]],GroupVertices[Vertex],0)),1,1,"")</f>
        <v>ip in the Bud</v>
      </c>
    </row>
    <row r="1012" spans="1:18" ht="15">
      <c r="A1012" s="64" t="s">
        <v>228</v>
      </c>
      <c r="B1012" s="64" t="s">
        <v>448</v>
      </c>
      <c r="C1012" s="65" t="s">
        <v>4443</v>
      </c>
      <c r="D1012" s="66">
        <v>3</v>
      </c>
      <c r="E1012" s="67"/>
      <c r="F1012" s="68">
        <v>40</v>
      </c>
      <c r="G1012" s="65"/>
      <c r="H1012" s="69"/>
      <c r="I1012" s="70"/>
      <c r="J1012" s="70"/>
      <c r="K1012" s="34" t="s">
        <v>65</v>
      </c>
      <c r="L1012" s="77">
        <v>1012</v>
      </c>
      <c r="M1012" s="77"/>
      <c r="N1012" s="72"/>
      <c r="O1012" s="79" t="s">
        <v>610</v>
      </c>
      <c r="P1012" s="79">
        <v>1</v>
      </c>
      <c r="Q1012" s="78" t="str">
        <f>REPLACE(INDEX(GroupVertices[Group],MATCH(Edges[[#This Row],[Vertex 1]],GroupVertices[Vertex],0)),1,1,"")</f>
        <v>ip in the Bud</v>
      </c>
      <c r="R1012" s="78" t="str">
        <f>REPLACE(INDEX(GroupVertices[Group],MATCH(Edges[[#This Row],[Vertex 2]],GroupVertices[Vertex],0)),1,1,"")</f>
        <v>ip in the Bud</v>
      </c>
    </row>
    <row r="1013" spans="1:18" ht="15">
      <c r="A1013" s="64" t="s">
        <v>228</v>
      </c>
      <c r="B1013" s="64" t="s">
        <v>2593</v>
      </c>
      <c r="C1013" s="65" t="s">
        <v>4443</v>
      </c>
      <c r="D1013" s="66">
        <v>3</v>
      </c>
      <c r="E1013" s="67"/>
      <c r="F1013" s="68">
        <v>40</v>
      </c>
      <c r="G1013" s="65"/>
      <c r="H1013" s="69"/>
      <c r="I1013" s="70"/>
      <c r="J1013" s="70"/>
      <c r="K1013" s="34" t="s">
        <v>65</v>
      </c>
      <c r="L1013" s="77">
        <v>1013</v>
      </c>
      <c r="M1013" s="77"/>
      <c r="N1013" s="72"/>
      <c r="O1013" s="79" t="s">
        <v>610</v>
      </c>
      <c r="P1013" s="79">
        <v>1</v>
      </c>
      <c r="Q1013" s="78" t="str">
        <f>REPLACE(INDEX(GroupVertices[Group],MATCH(Edges[[#This Row],[Vertex 1]],GroupVertices[Vertex],0)),1,1,"")</f>
        <v>ip in the Bud</v>
      </c>
      <c r="R1013" s="78" t="str">
        <f>REPLACE(INDEX(GroupVertices[Group],MATCH(Edges[[#This Row],[Vertex 2]],GroupVertices[Vertex],0)),1,1,"")</f>
        <v>uths Straight Talk</v>
      </c>
    </row>
    <row r="1014" spans="1:18" ht="15">
      <c r="A1014" s="64" t="s">
        <v>228</v>
      </c>
      <c r="B1014" s="64" t="s">
        <v>2594</v>
      </c>
      <c r="C1014" s="65" t="s">
        <v>4443</v>
      </c>
      <c r="D1014" s="66">
        <v>3</v>
      </c>
      <c r="E1014" s="67"/>
      <c r="F1014" s="68">
        <v>40</v>
      </c>
      <c r="G1014" s="65"/>
      <c r="H1014" s="69"/>
      <c r="I1014" s="70"/>
      <c r="J1014" s="70"/>
      <c r="K1014" s="34" t="s">
        <v>65</v>
      </c>
      <c r="L1014" s="77">
        <v>1014</v>
      </c>
      <c r="M1014" s="77"/>
      <c r="N1014" s="72"/>
      <c r="O1014" s="79" t="s">
        <v>610</v>
      </c>
      <c r="P1014" s="79">
        <v>1</v>
      </c>
      <c r="Q1014" s="78" t="str">
        <f>REPLACE(INDEX(GroupVertices[Group],MATCH(Edges[[#This Row],[Vertex 1]],GroupVertices[Vertex],0)),1,1,"")</f>
        <v>ip in the Bud</v>
      </c>
      <c r="R1014" s="78" t="str">
        <f>REPLACE(INDEX(GroupVertices[Group],MATCH(Edges[[#This Row],[Vertex 2]],GroupVertices[Vertex],0)),1,1,"")</f>
        <v>ll Day Dreaming</v>
      </c>
    </row>
    <row r="1015" spans="1:18" ht="15">
      <c r="A1015" s="64" t="s">
        <v>228</v>
      </c>
      <c r="B1015" s="64" t="s">
        <v>2595</v>
      </c>
      <c r="C1015" s="65" t="s">
        <v>4443</v>
      </c>
      <c r="D1015" s="66">
        <v>3</v>
      </c>
      <c r="E1015" s="67"/>
      <c r="F1015" s="68">
        <v>40</v>
      </c>
      <c r="G1015" s="65"/>
      <c r="H1015" s="69"/>
      <c r="I1015" s="70"/>
      <c r="J1015" s="70"/>
      <c r="K1015" s="34" t="s">
        <v>65</v>
      </c>
      <c r="L1015" s="77">
        <v>1015</v>
      </c>
      <c r="M1015" s="77"/>
      <c r="N1015" s="72"/>
      <c r="O1015" s="79" t="s">
        <v>610</v>
      </c>
      <c r="P1015" s="79">
        <v>1</v>
      </c>
      <c r="Q1015" s="78" t="str">
        <f>REPLACE(INDEX(GroupVertices[Group],MATCH(Edges[[#This Row],[Vertex 1]],GroupVertices[Vertex],0)),1,1,"")</f>
        <v>ip in the Bud</v>
      </c>
      <c r="R1015" s="78" t="str">
        <f>REPLACE(INDEX(GroupVertices[Group],MATCH(Edges[[#This Row],[Vertex 2]],GroupVertices[Vertex],0)),1,1,"")</f>
        <v>J Pictures</v>
      </c>
    </row>
    <row r="1016" spans="1:18" ht="15">
      <c r="A1016" s="64" t="s">
        <v>228</v>
      </c>
      <c r="B1016" s="64" t="s">
        <v>2596</v>
      </c>
      <c r="C1016" s="65" t="s">
        <v>4443</v>
      </c>
      <c r="D1016" s="66">
        <v>3</v>
      </c>
      <c r="E1016" s="67"/>
      <c r="F1016" s="68">
        <v>40</v>
      </c>
      <c r="G1016" s="65"/>
      <c r="H1016" s="69"/>
      <c r="I1016" s="70"/>
      <c r="J1016" s="70"/>
      <c r="K1016" s="34" t="s">
        <v>65</v>
      </c>
      <c r="L1016" s="77">
        <v>1016</v>
      </c>
      <c r="M1016" s="77"/>
      <c r="N1016" s="72"/>
      <c r="O1016" s="79" t="s">
        <v>610</v>
      </c>
      <c r="P1016" s="79">
        <v>1</v>
      </c>
      <c r="Q1016" s="78" t="str">
        <f>REPLACE(INDEX(GroupVertices[Group],MATCH(Edges[[#This Row],[Vertex 1]],GroupVertices[Vertex],0)),1,1,"")</f>
        <v>ip in the Bud</v>
      </c>
      <c r="R1016" s="78" t="str">
        <f>REPLACE(INDEX(GroupVertices[Group],MATCH(Edges[[#This Row],[Vertex 2]],GroupVertices[Vertex],0)),1,1,"")</f>
        <v>oVaDC CHADD</v>
      </c>
    </row>
    <row r="1017" spans="1:18" ht="15">
      <c r="A1017" s="64" t="s">
        <v>228</v>
      </c>
      <c r="B1017" s="64" t="s">
        <v>364</v>
      </c>
      <c r="C1017" s="65" t="s">
        <v>4443</v>
      </c>
      <c r="D1017" s="66">
        <v>3</v>
      </c>
      <c r="E1017" s="67"/>
      <c r="F1017" s="68">
        <v>40</v>
      </c>
      <c r="G1017" s="65"/>
      <c r="H1017" s="69"/>
      <c r="I1017" s="70"/>
      <c r="J1017" s="70"/>
      <c r="K1017" s="34" t="s">
        <v>65</v>
      </c>
      <c r="L1017" s="77">
        <v>1017</v>
      </c>
      <c r="M1017" s="77"/>
      <c r="N1017" s="72"/>
      <c r="O1017" s="79" t="s">
        <v>610</v>
      </c>
      <c r="P1017" s="79">
        <v>1</v>
      </c>
      <c r="Q1017" s="78" t="str">
        <f>REPLACE(INDEX(GroupVertices[Group],MATCH(Edges[[#This Row],[Vertex 1]],GroupVertices[Vertex],0)),1,1,"")</f>
        <v>ip in the Bud</v>
      </c>
      <c r="R1017" s="78" t="str">
        <f>REPLACE(INDEX(GroupVertices[Group],MATCH(Edges[[#This Row],[Vertex 2]],GroupVertices[Vertex],0)),1,1,"")</f>
        <v>arolyn Carrara-Live With Joy Now-ADHD Recovery</v>
      </c>
    </row>
    <row r="1018" spans="1:18" ht="15">
      <c r="A1018" s="64" t="s">
        <v>228</v>
      </c>
      <c r="B1018" s="64" t="s">
        <v>2598</v>
      </c>
      <c r="C1018" s="65" t="s">
        <v>4443</v>
      </c>
      <c r="D1018" s="66">
        <v>3</v>
      </c>
      <c r="E1018" s="67"/>
      <c r="F1018" s="68">
        <v>40</v>
      </c>
      <c r="G1018" s="65"/>
      <c r="H1018" s="69"/>
      <c r="I1018" s="70"/>
      <c r="J1018" s="70"/>
      <c r="K1018" s="34" t="s">
        <v>65</v>
      </c>
      <c r="L1018" s="77">
        <v>1018</v>
      </c>
      <c r="M1018" s="77"/>
      <c r="N1018" s="72"/>
      <c r="O1018" s="79" t="s">
        <v>610</v>
      </c>
      <c r="P1018" s="79">
        <v>1</v>
      </c>
      <c r="Q1018" s="78" t="str">
        <f>REPLACE(INDEX(GroupVertices[Group],MATCH(Edges[[#This Row],[Vertex 1]],GroupVertices[Vertex],0)),1,1,"")</f>
        <v>ip in the Bud</v>
      </c>
      <c r="R1018" s="78" t="str">
        <f>REPLACE(INDEX(GroupVertices[Group],MATCH(Edges[[#This Row],[Vertex 2]],GroupVertices[Vertex],0)),1,1,"")</f>
        <v>ip in the Bud</v>
      </c>
    </row>
    <row r="1019" spans="1:18" ht="15">
      <c r="A1019" s="64" t="s">
        <v>228</v>
      </c>
      <c r="B1019" s="64" t="s">
        <v>2599</v>
      </c>
      <c r="C1019" s="65" t="s">
        <v>4443</v>
      </c>
      <c r="D1019" s="66">
        <v>3</v>
      </c>
      <c r="E1019" s="67"/>
      <c r="F1019" s="68">
        <v>40</v>
      </c>
      <c r="G1019" s="65"/>
      <c r="H1019" s="69"/>
      <c r="I1019" s="70"/>
      <c r="J1019" s="70"/>
      <c r="K1019" s="34" t="s">
        <v>65</v>
      </c>
      <c r="L1019" s="77">
        <v>1019</v>
      </c>
      <c r="M1019" s="77"/>
      <c r="N1019" s="72"/>
      <c r="O1019" s="79" t="s">
        <v>610</v>
      </c>
      <c r="P1019" s="79">
        <v>1</v>
      </c>
      <c r="Q1019" s="78" t="str">
        <f>REPLACE(INDEX(GroupVertices[Group],MATCH(Edges[[#This Row],[Vertex 1]],GroupVertices[Vertex],0)),1,1,"")</f>
        <v>ip in the Bud</v>
      </c>
      <c r="R1019" s="78" t="str">
        <f>REPLACE(INDEX(GroupVertices[Group],MATCH(Edges[[#This Row],[Vertex 2]],GroupVertices[Vertex],0)),1,1,"")</f>
        <v>ip in the Bud</v>
      </c>
    </row>
    <row r="1020" spans="1:18" ht="15">
      <c r="A1020" s="64" t="s">
        <v>228</v>
      </c>
      <c r="B1020" s="64" t="s">
        <v>361</v>
      </c>
      <c r="C1020" s="65" t="s">
        <v>4443</v>
      </c>
      <c r="D1020" s="66">
        <v>3</v>
      </c>
      <c r="E1020" s="67"/>
      <c r="F1020" s="68">
        <v>40</v>
      </c>
      <c r="G1020" s="65"/>
      <c r="H1020" s="69"/>
      <c r="I1020" s="70"/>
      <c r="J1020" s="70"/>
      <c r="K1020" s="34" t="s">
        <v>65</v>
      </c>
      <c r="L1020" s="77">
        <v>1020</v>
      </c>
      <c r="M1020" s="77"/>
      <c r="N1020" s="72"/>
      <c r="O1020" s="79" t="s">
        <v>610</v>
      </c>
      <c r="P1020" s="79">
        <v>1</v>
      </c>
      <c r="Q1020" s="78" t="str">
        <f>REPLACE(INDEX(GroupVertices[Group],MATCH(Edges[[#This Row],[Vertex 1]],GroupVertices[Vertex],0)),1,1,"")</f>
        <v>ip in the Bud</v>
      </c>
      <c r="R1020" s="78" t="str">
        <f>REPLACE(INDEX(GroupVertices[Group],MATCH(Edges[[#This Row],[Vertex 2]],GroupVertices[Vertex],0)),1,1,"")</f>
        <v>ip in the Bud</v>
      </c>
    </row>
    <row r="1021" spans="1:18" ht="15">
      <c r="A1021" s="64" t="s">
        <v>228</v>
      </c>
      <c r="B1021" s="64" t="s">
        <v>609</v>
      </c>
      <c r="C1021" s="65" t="s">
        <v>4443</v>
      </c>
      <c r="D1021" s="66">
        <v>3</v>
      </c>
      <c r="E1021" s="67"/>
      <c r="F1021" s="68">
        <v>40</v>
      </c>
      <c r="G1021" s="65"/>
      <c r="H1021" s="69"/>
      <c r="I1021" s="70"/>
      <c r="J1021" s="70"/>
      <c r="K1021" s="34" t="s">
        <v>65</v>
      </c>
      <c r="L1021" s="77">
        <v>1021</v>
      </c>
      <c r="M1021" s="77"/>
      <c r="N1021" s="72"/>
      <c r="O1021" s="79" t="s">
        <v>610</v>
      </c>
      <c r="P1021" s="79">
        <v>1</v>
      </c>
      <c r="Q1021" s="78" t="str">
        <f>REPLACE(INDEX(GroupVertices[Group],MATCH(Edges[[#This Row],[Vertex 1]],GroupVertices[Vertex],0)),1,1,"")</f>
        <v>ip in the Bud</v>
      </c>
      <c r="R1021" s="78" t="str">
        <f>REPLACE(INDEX(GroupVertices[Group],MATCH(Edges[[#This Row],[Vertex 2]],GroupVertices[Vertex],0)),1,1,"")</f>
        <v>HADIS</v>
      </c>
    </row>
    <row r="1022" spans="1:18" ht="15">
      <c r="A1022" s="64" t="s">
        <v>228</v>
      </c>
      <c r="B1022" s="64" t="s">
        <v>369</v>
      </c>
      <c r="C1022" s="65" t="s">
        <v>4443</v>
      </c>
      <c r="D1022" s="66">
        <v>3</v>
      </c>
      <c r="E1022" s="67"/>
      <c r="F1022" s="68">
        <v>40</v>
      </c>
      <c r="G1022" s="65"/>
      <c r="H1022" s="69"/>
      <c r="I1022" s="70"/>
      <c r="J1022" s="70"/>
      <c r="K1022" s="34" t="s">
        <v>65</v>
      </c>
      <c r="L1022" s="77">
        <v>1022</v>
      </c>
      <c r="M1022" s="77"/>
      <c r="N1022" s="72"/>
      <c r="O1022" s="79" t="s">
        <v>610</v>
      </c>
      <c r="P1022" s="79">
        <v>1</v>
      </c>
      <c r="Q1022" s="78" t="str">
        <f>REPLACE(INDEX(GroupVertices[Group],MATCH(Edges[[#This Row],[Vertex 1]],GroupVertices[Vertex],0)),1,1,"")</f>
        <v>ip in the Bud</v>
      </c>
      <c r="R1022" s="78" t="str">
        <f>REPLACE(INDEX(GroupVertices[Group],MATCH(Edges[[#This Row],[Vertex 2]],GroupVertices[Vertex],0)),1,1,"")</f>
        <v>ip in the Bud</v>
      </c>
    </row>
    <row r="1023" spans="1:18" ht="15">
      <c r="A1023" s="64" t="s">
        <v>228</v>
      </c>
      <c r="B1023" s="64" t="s">
        <v>2601</v>
      </c>
      <c r="C1023" s="65" t="s">
        <v>4443</v>
      </c>
      <c r="D1023" s="66">
        <v>3</v>
      </c>
      <c r="E1023" s="67"/>
      <c r="F1023" s="68">
        <v>40</v>
      </c>
      <c r="G1023" s="65"/>
      <c r="H1023" s="69"/>
      <c r="I1023" s="70"/>
      <c r="J1023" s="70"/>
      <c r="K1023" s="34" t="s">
        <v>65</v>
      </c>
      <c r="L1023" s="77">
        <v>1023</v>
      </c>
      <c r="M1023" s="77"/>
      <c r="N1023" s="72"/>
      <c r="O1023" s="79" t="s">
        <v>610</v>
      </c>
      <c r="P1023" s="79">
        <v>1</v>
      </c>
      <c r="Q1023" s="78" t="str">
        <f>REPLACE(INDEX(GroupVertices[Group],MATCH(Edges[[#This Row],[Vertex 1]],GroupVertices[Vertex],0)),1,1,"")</f>
        <v>ip in the Bud</v>
      </c>
      <c r="R1023" s="78" t="str">
        <f>REPLACE(INDEX(GroupVertices[Group],MATCH(Edges[[#This Row],[Vertex 2]],GroupVertices[Vertex],0)),1,1,"")</f>
        <v>ip in the Bud</v>
      </c>
    </row>
    <row r="1024" spans="1:18" ht="15">
      <c r="A1024" s="64" t="s">
        <v>228</v>
      </c>
      <c r="B1024" s="64" t="s">
        <v>447</v>
      </c>
      <c r="C1024" s="65" t="s">
        <v>4443</v>
      </c>
      <c r="D1024" s="66">
        <v>3</v>
      </c>
      <c r="E1024" s="67"/>
      <c r="F1024" s="68">
        <v>40</v>
      </c>
      <c r="G1024" s="65"/>
      <c r="H1024" s="69"/>
      <c r="I1024" s="70"/>
      <c r="J1024" s="70"/>
      <c r="K1024" s="34" t="s">
        <v>65</v>
      </c>
      <c r="L1024" s="77">
        <v>1024</v>
      </c>
      <c r="M1024" s="77"/>
      <c r="N1024" s="72"/>
      <c r="O1024" s="79" t="s">
        <v>610</v>
      </c>
      <c r="P1024" s="79">
        <v>1</v>
      </c>
      <c r="Q1024" s="78" t="str">
        <f>REPLACE(INDEX(GroupVertices[Group],MATCH(Edges[[#This Row],[Vertex 1]],GroupVertices[Vertex],0)),1,1,"")</f>
        <v>ip in the Bud</v>
      </c>
      <c r="R1024" s="78" t="str">
        <f>REPLACE(INDEX(GroupVertices[Group],MATCH(Edges[[#This Row],[Vertex 2]],GroupVertices[Vertex],0)),1,1,"")</f>
        <v>ip in the Bud</v>
      </c>
    </row>
    <row r="1025" spans="1:18" ht="15">
      <c r="A1025" s="64" t="s">
        <v>228</v>
      </c>
      <c r="B1025" s="64" t="s">
        <v>607</v>
      </c>
      <c r="C1025" s="65" t="s">
        <v>4443</v>
      </c>
      <c r="D1025" s="66">
        <v>3</v>
      </c>
      <c r="E1025" s="67"/>
      <c r="F1025" s="68">
        <v>40</v>
      </c>
      <c r="G1025" s="65"/>
      <c r="H1025" s="69"/>
      <c r="I1025" s="70"/>
      <c r="J1025" s="70"/>
      <c r="K1025" s="34" t="s">
        <v>65</v>
      </c>
      <c r="L1025" s="77">
        <v>1025</v>
      </c>
      <c r="M1025" s="77"/>
      <c r="N1025" s="72"/>
      <c r="O1025" s="79" t="s">
        <v>610</v>
      </c>
      <c r="P1025" s="79">
        <v>1</v>
      </c>
      <c r="Q1025" s="78" t="str">
        <f>REPLACE(INDEX(GroupVertices[Group],MATCH(Edges[[#This Row],[Vertex 1]],GroupVertices[Vertex],0)),1,1,"")</f>
        <v>ip in the Bud</v>
      </c>
      <c r="R1025" s="78" t="str">
        <f>REPLACE(INDEX(GroupVertices[Group],MATCH(Edges[[#This Row],[Vertex 2]],GroupVertices[Vertex],0)),1,1,"")</f>
        <v>ip in the Bud</v>
      </c>
    </row>
    <row r="1026" spans="1:18" ht="15">
      <c r="A1026" s="64" t="s">
        <v>228</v>
      </c>
      <c r="B1026" s="64" t="s">
        <v>372</v>
      </c>
      <c r="C1026" s="65" t="s">
        <v>4443</v>
      </c>
      <c r="D1026" s="66">
        <v>3</v>
      </c>
      <c r="E1026" s="67"/>
      <c r="F1026" s="68">
        <v>40</v>
      </c>
      <c r="G1026" s="65"/>
      <c r="H1026" s="69"/>
      <c r="I1026" s="70"/>
      <c r="J1026" s="70"/>
      <c r="K1026" s="34" t="s">
        <v>65</v>
      </c>
      <c r="L1026" s="77">
        <v>1026</v>
      </c>
      <c r="M1026" s="77"/>
      <c r="N1026" s="72"/>
      <c r="O1026" s="79" t="s">
        <v>610</v>
      </c>
      <c r="P1026" s="79">
        <v>1</v>
      </c>
      <c r="Q1026" s="78" t="str">
        <f>REPLACE(INDEX(GroupVertices[Group],MATCH(Edges[[#This Row],[Vertex 1]],GroupVertices[Vertex],0)),1,1,"")</f>
        <v>ip in the Bud</v>
      </c>
      <c r="R1026" s="78" t="str">
        <f>REPLACE(INDEX(GroupVertices[Group],MATCH(Edges[[#This Row],[Vertex 2]],GroupVertices[Vertex],0)),1,1,"")</f>
        <v>ip in the Bud</v>
      </c>
    </row>
    <row r="1027" spans="1:18" ht="15">
      <c r="A1027" s="64" t="s">
        <v>228</v>
      </c>
      <c r="B1027" s="64" t="s">
        <v>365</v>
      </c>
      <c r="C1027" s="65" t="s">
        <v>4443</v>
      </c>
      <c r="D1027" s="66">
        <v>3</v>
      </c>
      <c r="E1027" s="67"/>
      <c r="F1027" s="68">
        <v>40</v>
      </c>
      <c r="G1027" s="65"/>
      <c r="H1027" s="69"/>
      <c r="I1027" s="70"/>
      <c r="J1027" s="70"/>
      <c r="K1027" s="34" t="s">
        <v>65</v>
      </c>
      <c r="L1027" s="77">
        <v>1027</v>
      </c>
      <c r="M1027" s="77"/>
      <c r="N1027" s="72"/>
      <c r="O1027" s="79" t="s">
        <v>610</v>
      </c>
      <c r="P1027" s="79">
        <v>1</v>
      </c>
      <c r="Q1027" s="78" t="str">
        <f>REPLACE(INDEX(GroupVertices[Group],MATCH(Edges[[#This Row],[Vertex 1]],GroupVertices[Vertex],0)),1,1,"")</f>
        <v>ip in the Bud</v>
      </c>
      <c r="R1027" s="78" t="str">
        <f>REPLACE(INDEX(GroupVertices[Group],MATCH(Edges[[#This Row],[Vertex 2]],GroupVertices[Vertex],0)),1,1,"")</f>
        <v>ip in the Bud</v>
      </c>
    </row>
    <row r="1028" spans="1:18" ht="15">
      <c r="A1028" s="64" t="s">
        <v>228</v>
      </c>
      <c r="B1028" s="64" t="s">
        <v>368</v>
      </c>
      <c r="C1028" s="65" t="s">
        <v>4443</v>
      </c>
      <c r="D1028" s="66">
        <v>3</v>
      </c>
      <c r="E1028" s="67"/>
      <c r="F1028" s="68">
        <v>40</v>
      </c>
      <c r="G1028" s="65"/>
      <c r="H1028" s="69"/>
      <c r="I1028" s="70"/>
      <c r="J1028" s="70"/>
      <c r="K1028" s="34" t="s">
        <v>65</v>
      </c>
      <c r="L1028" s="77">
        <v>1028</v>
      </c>
      <c r="M1028" s="77"/>
      <c r="N1028" s="72"/>
      <c r="O1028" s="79" t="s">
        <v>610</v>
      </c>
      <c r="P1028" s="79">
        <v>1</v>
      </c>
      <c r="Q1028" s="78" t="str">
        <f>REPLACE(INDEX(GroupVertices[Group],MATCH(Edges[[#This Row],[Vertex 1]],GroupVertices[Vertex],0)),1,1,"")</f>
        <v>ip in the Bud</v>
      </c>
      <c r="R1028" s="78" t="str">
        <f>REPLACE(INDEX(GroupVertices[Group],MATCH(Edges[[#This Row],[Vertex 2]],GroupVertices[Vertex],0)),1,1,"")</f>
        <v>ip in the Bud</v>
      </c>
    </row>
    <row r="1029" spans="1:18" ht="15">
      <c r="A1029" s="64" t="s">
        <v>228</v>
      </c>
      <c r="B1029" s="64" t="s">
        <v>363</v>
      </c>
      <c r="C1029" s="65" t="s">
        <v>4443</v>
      </c>
      <c r="D1029" s="66">
        <v>3</v>
      </c>
      <c r="E1029" s="67"/>
      <c r="F1029" s="68">
        <v>40</v>
      </c>
      <c r="G1029" s="65"/>
      <c r="H1029" s="69"/>
      <c r="I1029" s="70"/>
      <c r="J1029" s="70"/>
      <c r="K1029" s="34" t="s">
        <v>65</v>
      </c>
      <c r="L1029" s="77">
        <v>1029</v>
      </c>
      <c r="M1029" s="77"/>
      <c r="N1029" s="72"/>
      <c r="O1029" s="79" t="s">
        <v>610</v>
      </c>
      <c r="P1029" s="79">
        <v>1</v>
      </c>
      <c r="Q1029" s="78" t="str">
        <f>REPLACE(INDEX(GroupVertices[Group],MATCH(Edges[[#This Row],[Vertex 1]],GroupVertices[Vertex],0)),1,1,"")</f>
        <v>ip in the Bud</v>
      </c>
      <c r="R1029" s="78" t="str">
        <f>REPLACE(INDEX(GroupVertices[Group],MATCH(Edges[[#This Row],[Vertex 2]],GroupVertices[Vertex],0)),1,1,"")</f>
        <v>ip in the Bud</v>
      </c>
    </row>
    <row r="1030" spans="1:18" ht="15">
      <c r="A1030" s="64" t="s">
        <v>228</v>
      </c>
      <c r="B1030" s="64" t="s">
        <v>367</v>
      </c>
      <c r="C1030" s="65" t="s">
        <v>4443</v>
      </c>
      <c r="D1030" s="66">
        <v>3</v>
      </c>
      <c r="E1030" s="67"/>
      <c r="F1030" s="68">
        <v>40</v>
      </c>
      <c r="G1030" s="65"/>
      <c r="H1030" s="69"/>
      <c r="I1030" s="70"/>
      <c r="J1030" s="70"/>
      <c r="K1030" s="34" t="s">
        <v>65</v>
      </c>
      <c r="L1030" s="77">
        <v>1030</v>
      </c>
      <c r="M1030" s="77"/>
      <c r="N1030" s="72"/>
      <c r="O1030" s="79" t="s">
        <v>610</v>
      </c>
      <c r="P1030" s="79">
        <v>1</v>
      </c>
      <c r="Q1030" s="78" t="str">
        <f>REPLACE(INDEX(GroupVertices[Group],MATCH(Edges[[#This Row],[Vertex 1]],GroupVertices[Vertex],0)),1,1,"")</f>
        <v>ip in the Bud</v>
      </c>
      <c r="R1030" s="78" t="str">
        <f>REPLACE(INDEX(GroupVertices[Group],MATCH(Edges[[#This Row],[Vertex 2]],GroupVertices[Vertex],0)),1,1,"")</f>
        <v>ip in the Bud</v>
      </c>
    </row>
    <row r="1031" spans="1:18" ht="15">
      <c r="A1031" s="64" t="s">
        <v>228</v>
      </c>
      <c r="B1031" s="64" t="s">
        <v>371</v>
      </c>
      <c r="C1031" s="65" t="s">
        <v>4443</v>
      </c>
      <c r="D1031" s="66">
        <v>3</v>
      </c>
      <c r="E1031" s="67"/>
      <c r="F1031" s="68">
        <v>40</v>
      </c>
      <c r="G1031" s="65"/>
      <c r="H1031" s="69"/>
      <c r="I1031" s="70"/>
      <c r="J1031" s="70"/>
      <c r="K1031" s="34" t="s">
        <v>65</v>
      </c>
      <c r="L1031" s="77">
        <v>1031</v>
      </c>
      <c r="M1031" s="77"/>
      <c r="N1031" s="72"/>
      <c r="O1031" s="79" t="s">
        <v>610</v>
      </c>
      <c r="P1031" s="79">
        <v>1</v>
      </c>
      <c r="Q1031" s="78" t="str">
        <f>REPLACE(INDEX(GroupVertices[Group],MATCH(Edges[[#This Row],[Vertex 1]],GroupVertices[Vertex],0)),1,1,"")</f>
        <v>ip in the Bud</v>
      </c>
      <c r="R1031" s="78" t="str">
        <f>REPLACE(INDEX(GroupVertices[Group],MATCH(Edges[[#This Row],[Vertex 2]],GroupVertices[Vertex],0)),1,1,"")</f>
        <v>ip in the Bud</v>
      </c>
    </row>
    <row r="1032" spans="1:18" ht="15">
      <c r="A1032" s="64" t="s">
        <v>228</v>
      </c>
      <c r="B1032" s="64" t="s">
        <v>608</v>
      </c>
      <c r="C1032" s="65" t="s">
        <v>4443</v>
      </c>
      <c r="D1032" s="66">
        <v>3</v>
      </c>
      <c r="E1032" s="67"/>
      <c r="F1032" s="68">
        <v>40</v>
      </c>
      <c r="G1032" s="65"/>
      <c r="H1032" s="69"/>
      <c r="I1032" s="70"/>
      <c r="J1032" s="70"/>
      <c r="K1032" s="34" t="s">
        <v>65</v>
      </c>
      <c r="L1032" s="77">
        <v>1032</v>
      </c>
      <c r="M1032" s="77"/>
      <c r="N1032" s="72"/>
      <c r="O1032" s="79" t="s">
        <v>610</v>
      </c>
      <c r="P1032" s="79">
        <v>1</v>
      </c>
      <c r="Q1032" s="78" t="str">
        <f>REPLACE(INDEX(GroupVertices[Group],MATCH(Edges[[#This Row],[Vertex 1]],GroupVertices[Vertex],0)),1,1,"")</f>
        <v>ip in the Bud</v>
      </c>
      <c r="R1032" s="78" t="str">
        <f>REPLACE(INDEX(GroupVertices[Group],MATCH(Edges[[#This Row],[Vertex 2]],GroupVertices[Vertex],0)),1,1,"")</f>
        <v>ip in the Bud</v>
      </c>
    </row>
    <row r="1033" spans="1:18" ht="15">
      <c r="A1033" s="64" t="s">
        <v>242</v>
      </c>
      <c r="B1033" s="64" t="s">
        <v>252</v>
      </c>
      <c r="C1033" s="65" t="s">
        <v>4443</v>
      </c>
      <c r="D1033" s="66">
        <v>3</v>
      </c>
      <c r="E1033" s="67"/>
      <c r="F1033" s="68">
        <v>40</v>
      </c>
      <c r="G1033" s="65"/>
      <c r="H1033" s="69"/>
      <c r="I1033" s="70"/>
      <c r="J1033" s="70"/>
      <c r="K1033" s="34" t="s">
        <v>65</v>
      </c>
      <c r="L1033" s="77">
        <v>1033</v>
      </c>
      <c r="M1033" s="77"/>
      <c r="N1033" s="72"/>
      <c r="O1033" s="79" t="s">
        <v>610</v>
      </c>
      <c r="P1033" s="79">
        <v>1</v>
      </c>
      <c r="Q1033" s="78" t="str">
        <f>REPLACE(INDEX(GroupVertices[Group],MATCH(Edges[[#This Row],[Vertex 1]],GroupVertices[Vertex],0)),1,1,"")</f>
        <v>en Joyce Ackerson</v>
      </c>
      <c r="R1033" s="78" t="str">
        <f>REPLACE(INDEX(GroupVertices[Group],MATCH(Edges[[#This Row],[Vertex 2]],GroupVertices[Vertex],0)),1,1,"")</f>
        <v>G)I-DLE (여자)아이들 (Official YouTube Channel)</v>
      </c>
    </row>
    <row r="1034" spans="1:18" ht="15">
      <c r="A1034" s="64" t="s">
        <v>242</v>
      </c>
      <c r="B1034" s="64" t="s">
        <v>253</v>
      </c>
      <c r="C1034" s="65" t="s">
        <v>4443</v>
      </c>
      <c r="D1034" s="66">
        <v>3</v>
      </c>
      <c r="E1034" s="67"/>
      <c r="F1034" s="68">
        <v>40</v>
      </c>
      <c r="G1034" s="65"/>
      <c r="H1034" s="69"/>
      <c r="I1034" s="70"/>
      <c r="J1034" s="70"/>
      <c r="K1034" s="34" t="s">
        <v>65</v>
      </c>
      <c r="L1034" s="77">
        <v>1034</v>
      </c>
      <c r="M1034" s="77"/>
      <c r="N1034" s="72"/>
      <c r="O1034" s="79" t="s">
        <v>610</v>
      </c>
      <c r="P1034" s="79">
        <v>1</v>
      </c>
      <c r="Q1034" s="78" t="str">
        <f>REPLACE(INDEX(GroupVertices[Group],MATCH(Edges[[#This Row],[Vertex 1]],GroupVertices[Vertex],0)),1,1,"")</f>
        <v>en Joyce Ackerson</v>
      </c>
      <c r="R1034" s="78" t="str">
        <f>REPLACE(INDEX(GroupVertices[Group],MATCH(Edges[[#This Row],[Vertex 2]],GroupVertices[Vertex],0)),1,1,"")</f>
        <v>etflix</v>
      </c>
    </row>
    <row r="1035" spans="1:18" ht="15">
      <c r="A1035" s="64" t="s">
        <v>242</v>
      </c>
      <c r="B1035" s="64" t="s">
        <v>261</v>
      </c>
      <c r="C1035" s="65" t="s">
        <v>4443</v>
      </c>
      <c r="D1035" s="66">
        <v>3</v>
      </c>
      <c r="E1035" s="67"/>
      <c r="F1035" s="68">
        <v>40</v>
      </c>
      <c r="G1035" s="65"/>
      <c r="H1035" s="69"/>
      <c r="I1035" s="70"/>
      <c r="J1035" s="70"/>
      <c r="K1035" s="34" t="s">
        <v>65</v>
      </c>
      <c r="L1035" s="77">
        <v>1035</v>
      </c>
      <c r="M1035" s="77"/>
      <c r="N1035" s="72"/>
      <c r="O1035" s="79" t="s">
        <v>610</v>
      </c>
      <c r="P1035" s="79">
        <v>1</v>
      </c>
      <c r="Q1035" s="78" t="str">
        <f>REPLACE(INDEX(GroupVertices[Group],MATCH(Edges[[#This Row],[Vertex 1]],GroupVertices[Vertex],0)),1,1,"")</f>
        <v>en Joyce Ackerson</v>
      </c>
      <c r="R1035" s="78" t="str">
        <f>REPLACE(INDEX(GroupVertices[Group],MATCH(Edges[[#This Row],[Vertex 2]],GroupVertices[Vertex],0)),1,1,"")</f>
        <v>arkiplier</v>
      </c>
    </row>
    <row r="1036" spans="1:18" ht="15">
      <c r="A1036" s="64" t="s">
        <v>242</v>
      </c>
      <c r="B1036" s="64" t="s">
        <v>262</v>
      </c>
      <c r="C1036" s="65" t="s">
        <v>4443</v>
      </c>
      <c r="D1036" s="66">
        <v>3</v>
      </c>
      <c r="E1036" s="67"/>
      <c r="F1036" s="68">
        <v>40</v>
      </c>
      <c r="G1036" s="65"/>
      <c r="H1036" s="69"/>
      <c r="I1036" s="70"/>
      <c r="J1036" s="70"/>
      <c r="K1036" s="34" t="s">
        <v>65</v>
      </c>
      <c r="L1036" s="77">
        <v>1036</v>
      </c>
      <c r="M1036" s="77"/>
      <c r="N1036" s="72"/>
      <c r="O1036" s="79" t="s">
        <v>610</v>
      </c>
      <c r="P1036" s="79">
        <v>1</v>
      </c>
      <c r="Q1036" s="78" t="str">
        <f>REPLACE(INDEX(GroupVertices[Group],MATCH(Edges[[#This Row],[Vertex 1]],GroupVertices[Vertex],0)),1,1,"")</f>
        <v>en Joyce Ackerson</v>
      </c>
      <c r="R1036" s="78" t="str">
        <f>REPLACE(INDEX(GroupVertices[Group],MATCH(Edges[[#This Row],[Vertex 2]],GroupVertices[Vertex],0)),1,1,"")</f>
        <v>ractical Engineering</v>
      </c>
    </row>
    <row r="1037" spans="1:18" ht="15">
      <c r="A1037" s="64" t="s">
        <v>242</v>
      </c>
      <c r="B1037" s="64" t="s">
        <v>254</v>
      </c>
      <c r="C1037" s="65" t="s">
        <v>4443</v>
      </c>
      <c r="D1037" s="66">
        <v>3</v>
      </c>
      <c r="E1037" s="67"/>
      <c r="F1037" s="68">
        <v>40</v>
      </c>
      <c r="G1037" s="65"/>
      <c r="H1037" s="69"/>
      <c r="I1037" s="70"/>
      <c r="J1037" s="70"/>
      <c r="K1037" s="34" t="s">
        <v>65</v>
      </c>
      <c r="L1037" s="77">
        <v>1037</v>
      </c>
      <c r="M1037" s="77"/>
      <c r="N1037" s="72"/>
      <c r="O1037" s="79" t="s">
        <v>610</v>
      </c>
      <c r="P1037" s="79">
        <v>1</v>
      </c>
      <c r="Q1037" s="78" t="str">
        <f>REPLACE(INDEX(GroupVertices[Group],MATCH(Edges[[#This Row],[Vertex 1]],GroupVertices[Vertex],0)),1,1,"")</f>
        <v>en Joyce Ackerson</v>
      </c>
      <c r="R1037" s="78" t="str">
        <f>REPLACE(INDEX(GroupVertices[Group],MATCH(Edges[[#This Row],[Vertex 2]],GroupVertices[Vertex],0)),1,1,"")</f>
        <v>lash of Clans</v>
      </c>
    </row>
    <row r="1038" spans="1:18" ht="15">
      <c r="A1038" s="64" t="s">
        <v>242</v>
      </c>
      <c r="B1038" s="64" t="s">
        <v>255</v>
      </c>
      <c r="C1038" s="65" t="s">
        <v>4443</v>
      </c>
      <c r="D1038" s="66">
        <v>3</v>
      </c>
      <c r="E1038" s="67"/>
      <c r="F1038" s="68">
        <v>40</v>
      </c>
      <c r="G1038" s="65"/>
      <c r="H1038" s="69"/>
      <c r="I1038" s="70"/>
      <c r="J1038" s="70"/>
      <c r="K1038" s="34" t="s">
        <v>65</v>
      </c>
      <c r="L1038" s="77">
        <v>1038</v>
      </c>
      <c r="M1038" s="77"/>
      <c r="N1038" s="72"/>
      <c r="O1038" s="79" t="s">
        <v>610</v>
      </c>
      <c r="P1038" s="79">
        <v>1</v>
      </c>
      <c r="Q1038" s="78" t="str">
        <f>REPLACE(INDEX(GroupVertices[Group],MATCH(Edges[[#This Row],[Vertex 1]],GroupVertices[Vertex],0)),1,1,"")</f>
        <v>en Joyce Ackerson</v>
      </c>
      <c r="R1038" s="78" t="str">
        <f>REPLACE(INDEX(GroupVertices[Group],MATCH(Edges[[#This Row],[Vertex 2]],GroupVertices[Vertex],0)),1,1,"")</f>
        <v>et's Game It Out</v>
      </c>
    </row>
    <row r="1039" spans="1:18" ht="15">
      <c r="A1039" s="64" t="s">
        <v>242</v>
      </c>
      <c r="B1039" s="64" t="s">
        <v>263</v>
      </c>
      <c r="C1039" s="65" t="s">
        <v>4443</v>
      </c>
      <c r="D1039" s="66">
        <v>3</v>
      </c>
      <c r="E1039" s="67"/>
      <c r="F1039" s="68">
        <v>40</v>
      </c>
      <c r="G1039" s="65"/>
      <c r="H1039" s="69"/>
      <c r="I1039" s="70"/>
      <c r="J1039" s="70"/>
      <c r="K1039" s="34" t="s">
        <v>65</v>
      </c>
      <c r="L1039" s="77">
        <v>1039</v>
      </c>
      <c r="M1039" s="77"/>
      <c r="N1039" s="72"/>
      <c r="O1039" s="79" t="s">
        <v>610</v>
      </c>
      <c r="P1039" s="79">
        <v>1</v>
      </c>
      <c r="Q1039" s="78" t="str">
        <f>REPLACE(INDEX(GroupVertices[Group],MATCH(Edges[[#This Row],[Vertex 1]],GroupVertices[Vertex],0)),1,1,"")</f>
        <v>en Joyce Ackerson</v>
      </c>
      <c r="R1039" s="78" t="str">
        <f>REPLACE(INDEX(GroupVertices[Group],MATCH(Edges[[#This Row],[Vertex 2]],GroupVertices[Vertex],0)),1,1,"")</f>
        <v>ncognito Mode</v>
      </c>
    </row>
    <row r="1040" spans="1:18" ht="15">
      <c r="A1040" s="64" t="s">
        <v>242</v>
      </c>
      <c r="B1040" s="64" t="s">
        <v>256</v>
      </c>
      <c r="C1040" s="65" t="s">
        <v>4443</v>
      </c>
      <c r="D1040" s="66">
        <v>3</v>
      </c>
      <c r="E1040" s="67"/>
      <c r="F1040" s="68">
        <v>40</v>
      </c>
      <c r="G1040" s="65"/>
      <c r="H1040" s="69"/>
      <c r="I1040" s="70"/>
      <c r="J1040" s="70"/>
      <c r="K1040" s="34" t="s">
        <v>65</v>
      </c>
      <c r="L1040" s="77">
        <v>1040</v>
      </c>
      <c r="M1040" s="77"/>
      <c r="N1040" s="72"/>
      <c r="O1040" s="79" t="s">
        <v>610</v>
      </c>
      <c r="P1040" s="79">
        <v>1</v>
      </c>
      <c r="Q1040" s="78" t="str">
        <f>REPLACE(INDEX(GroupVertices[Group],MATCH(Edges[[#This Row],[Vertex 1]],GroupVertices[Vertex],0)),1,1,"")</f>
        <v>en Joyce Ackerson</v>
      </c>
      <c r="R1040" s="78" t="str">
        <f>REPLACE(INDEX(GroupVertices[Group],MATCH(Edges[[#This Row],[Vertex 2]],GroupVertices[Vertex],0)),1,1,"")</f>
        <v>arques Brownlee</v>
      </c>
    </row>
    <row r="1041" spans="1:18" ht="15">
      <c r="A1041" s="64" t="s">
        <v>242</v>
      </c>
      <c r="B1041" s="64" t="s">
        <v>257</v>
      </c>
      <c r="C1041" s="65" t="s">
        <v>4443</v>
      </c>
      <c r="D1041" s="66">
        <v>3</v>
      </c>
      <c r="E1041" s="67"/>
      <c r="F1041" s="68">
        <v>40</v>
      </c>
      <c r="G1041" s="65"/>
      <c r="H1041" s="69"/>
      <c r="I1041" s="70"/>
      <c r="J1041" s="70"/>
      <c r="K1041" s="34" t="s">
        <v>65</v>
      </c>
      <c r="L1041" s="77">
        <v>1041</v>
      </c>
      <c r="M1041" s="77"/>
      <c r="N1041" s="72"/>
      <c r="O1041" s="79" t="s">
        <v>610</v>
      </c>
      <c r="P1041" s="79">
        <v>1</v>
      </c>
      <c r="Q1041" s="78" t="str">
        <f>REPLACE(INDEX(GroupVertices[Group],MATCH(Edges[[#This Row],[Vertex 1]],GroupVertices[Vertex],0)),1,1,"")</f>
        <v>en Joyce Ackerson</v>
      </c>
      <c r="R1041" s="78" t="str">
        <f>REPLACE(INDEX(GroupVertices[Group],MATCH(Edges[[#This Row],[Vertex 2]],GroupVertices[Vertex],0)),1,1,"")</f>
        <v>rchitectural Digest</v>
      </c>
    </row>
    <row r="1042" spans="1:18" ht="15">
      <c r="A1042" s="64" t="s">
        <v>242</v>
      </c>
      <c r="B1042" s="64" t="s">
        <v>258</v>
      </c>
      <c r="C1042" s="65" t="s">
        <v>4443</v>
      </c>
      <c r="D1042" s="66">
        <v>3</v>
      </c>
      <c r="E1042" s="67"/>
      <c r="F1042" s="68">
        <v>40</v>
      </c>
      <c r="G1042" s="65"/>
      <c r="H1042" s="69"/>
      <c r="I1042" s="70"/>
      <c r="J1042" s="70"/>
      <c r="K1042" s="34" t="s">
        <v>65</v>
      </c>
      <c r="L1042" s="77">
        <v>1042</v>
      </c>
      <c r="M1042" s="77"/>
      <c r="N1042" s="72"/>
      <c r="O1042" s="79" t="s">
        <v>610</v>
      </c>
      <c r="P1042" s="79">
        <v>1</v>
      </c>
      <c r="Q1042" s="78" t="str">
        <f>REPLACE(INDEX(GroupVertices[Group],MATCH(Edges[[#This Row],[Vertex 1]],GroupVertices[Vertex],0)),1,1,"")</f>
        <v>en Joyce Ackerson</v>
      </c>
      <c r="R1042" s="78" t="str">
        <f>REPLACE(INDEX(GroupVertices[Group],MATCH(Edges[[#This Row],[Vertex 2]],GroupVertices[Vertex],0)),1,1,"")</f>
        <v>alt Disney Studios</v>
      </c>
    </row>
    <row r="1043" spans="1:18" ht="15">
      <c r="A1043" s="64" t="s">
        <v>242</v>
      </c>
      <c r="B1043" s="64" t="s">
        <v>259</v>
      </c>
      <c r="C1043" s="65" t="s">
        <v>4443</v>
      </c>
      <c r="D1043" s="66">
        <v>3</v>
      </c>
      <c r="E1043" s="67"/>
      <c r="F1043" s="68">
        <v>40</v>
      </c>
      <c r="G1043" s="65"/>
      <c r="H1043" s="69"/>
      <c r="I1043" s="70"/>
      <c r="J1043" s="70"/>
      <c r="K1043" s="34" t="s">
        <v>65</v>
      </c>
      <c r="L1043" s="77">
        <v>1043</v>
      </c>
      <c r="M1043" s="77"/>
      <c r="N1043" s="72"/>
      <c r="O1043" s="79" t="s">
        <v>610</v>
      </c>
      <c r="P1043" s="79">
        <v>1</v>
      </c>
      <c r="Q1043" s="78" t="str">
        <f>REPLACE(INDEX(GroupVertices[Group],MATCH(Edges[[#This Row],[Vertex 1]],GroupVertices[Vertex],0)),1,1,"")</f>
        <v>en Joyce Ackerson</v>
      </c>
      <c r="R1043" s="78" t="str">
        <f>REPLACE(INDEX(GroupVertices[Group],MATCH(Edges[[#This Row],[Vertex 2]],GroupVertices[Vertex],0)),1,1,"")</f>
        <v>kip and Shannon: UNDISPUTED</v>
      </c>
    </row>
    <row r="1044" spans="1:18" ht="15">
      <c r="A1044" s="64" t="s">
        <v>242</v>
      </c>
      <c r="B1044" s="64" t="s">
        <v>260</v>
      </c>
      <c r="C1044" s="65" t="s">
        <v>4443</v>
      </c>
      <c r="D1044" s="66">
        <v>3</v>
      </c>
      <c r="E1044" s="67"/>
      <c r="F1044" s="68">
        <v>40</v>
      </c>
      <c r="G1044" s="65"/>
      <c r="H1044" s="69"/>
      <c r="I1044" s="70"/>
      <c r="J1044" s="70"/>
      <c r="K1044" s="34" t="s">
        <v>65</v>
      </c>
      <c r="L1044" s="77">
        <v>1044</v>
      </c>
      <c r="M1044" s="77"/>
      <c r="N1044" s="72"/>
      <c r="O1044" s="79" t="s">
        <v>610</v>
      </c>
      <c r="P1044" s="79">
        <v>1</v>
      </c>
      <c r="Q1044" s="78" t="str">
        <f>REPLACE(INDEX(GroupVertices[Group],MATCH(Edges[[#This Row],[Vertex 1]],GroupVertices[Vertex],0)),1,1,"")</f>
        <v>en Joyce Ackerson</v>
      </c>
      <c r="R1044" s="78" t="str">
        <f>REPLACE(INDEX(GroupVertices[Group],MATCH(Edges[[#This Row],[Vertex 2]],GroupVertices[Vertex],0)),1,1,"")</f>
        <v>hakira</v>
      </c>
    </row>
    <row r="1045" spans="1:18" ht="15">
      <c r="A1045" s="64" t="s">
        <v>242</v>
      </c>
      <c r="B1045" s="64" t="s">
        <v>573</v>
      </c>
      <c r="C1045" s="65" t="s">
        <v>4443</v>
      </c>
      <c r="D1045" s="66">
        <v>3</v>
      </c>
      <c r="E1045" s="67"/>
      <c r="F1045" s="68">
        <v>40</v>
      </c>
      <c r="G1045" s="65"/>
      <c r="H1045" s="69"/>
      <c r="I1045" s="70"/>
      <c r="J1045" s="70"/>
      <c r="K1045" s="34" t="s">
        <v>65</v>
      </c>
      <c r="L1045" s="77">
        <v>1045</v>
      </c>
      <c r="M1045" s="77"/>
      <c r="N1045" s="72"/>
      <c r="O1045" s="79" t="s">
        <v>610</v>
      </c>
      <c r="P1045" s="79">
        <v>1</v>
      </c>
      <c r="Q1045" s="78" t="str">
        <f>REPLACE(INDEX(GroupVertices[Group],MATCH(Edges[[#This Row],[Vertex 1]],GroupVertices[Vertex],0)),1,1,"")</f>
        <v>en Joyce Ackerson</v>
      </c>
      <c r="R1045" s="78" t="str">
        <f>REPLACE(INDEX(GroupVertices[Group],MATCH(Edges[[#This Row],[Vertex 2]],GroupVertices[Vertex],0)),1,1,"")</f>
        <v>iayi Yu</v>
      </c>
    </row>
    <row r="1046" spans="1:18" ht="15">
      <c r="A1046" s="64" t="s">
        <v>242</v>
      </c>
      <c r="B1046" s="64" t="s">
        <v>574</v>
      </c>
      <c r="C1046" s="65" t="s">
        <v>4443</v>
      </c>
      <c r="D1046" s="66">
        <v>3</v>
      </c>
      <c r="E1046" s="67"/>
      <c r="F1046" s="68">
        <v>40</v>
      </c>
      <c r="G1046" s="65"/>
      <c r="H1046" s="69"/>
      <c r="I1046" s="70"/>
      <c r="J1046" s="70"/>
      <c r="K1046" s="34" t="s">
        <v>65</v>
      </c>
      <c r="L1046" s="77">
        <v>1046</v>
      </c>
      <c r="M1046" s="77"/>
      <c r="N1046" s="72"/>
      <c r="O1046" s="79" t="s">
        <v>610</v>
      </c>
      <c r="P1046" s="79">
        <v>1</v>
      </c>
      <c r="Q1046" s="78" t="str">
        <f>REPLACE(INDEX(GroupVertices[Group],MATCH(Edges[[#This Row],[Vertex 1]],GroupVertices[Vertex],0)),1,1,"")</f>
        <v>en Joyce Ackerson</v>
      </c>
      <c r="R1046" s="78" t="str">
        <f>REPLACE(INDEX(GroupVertices[Group],MATCH(Edges[[#This Row],[Vertex 2]],GroupVertices[Vertex],0)),1,1,"")</f>
        <v>ebecca Reed</v>
      </c>
    </row>
    <row r="1047" spans="1:18" ht="15">
      <c r="A1047" s="64" t="s">
        <v>242</v>
      </c>
      <c r="B1047" s="64" t="s">
        <v>571</v>
      </c>
      <c r="C1047" s="65" t="s">
        <v>4443</v>
      </c>
      <c r="D1047" s="66">
        <v>3</v>
      </c>
      <c r="E1047" s="67"/>
      <c r="F1047" s="68">
        <v>40</v>
      </c>
      <c r="G1047" s="65"/>
      <c r="H1047" s="69"/>
      <c r="I1047" s="70"/>
      <c r="J1047" s="70"/>
      <c r="K1047" s="34" t="s">
        <v>65</v>
      </c>
      <c r="L1047" s="77">
        <v>1047</v>
      </c>
      <c r="M1047" s="77"/>
      <c r="N1047" s="72"/>
      <c r="O1047" s="79" t="s">
        <v>610</v>
      </c>
      <c r="P1047" s="79">
        <v>1</v>
      </c>
      <c r="Q1047" s="78" t="str">
        <f>REPLACE(INDEX(GroupVertices[Group],MATCH(Edges[[#This Row],[Vertex 1]],GroupVertices[Vertex],0)),1,1,"")</f>
        <v>en Joyce Ackerson</v>
      </c>
      <c r="R1047" s="78" t="str">
        <f>REPLACE(INDEX(GroupVertices[Group],MATCH(Edges[[#This Row],[Vertex 2]],GroupVertices[Vertex],0)),1,1,"")</f>
        <v>llison Reid</v>
      </c>
    </row>
    <row r="1048" spans="1:18" ht="15">
      <c r="A1048" s="64" t="s">
        <v>242</v>
      </c>
      <c r="B1048" s="64" t="s">
        <v>575</v>
      </c>
      <c r="C1048" s="65" t="s">
        <v>4443</v>
      </c>
      <c r="D1048" s="66">
        <v>3</v>
      </c>
      <c r="E1048" s="67"/>
      <c r="F1048" s="68">
        <v>40</v>
      </c>
      <c r="G1048" s="65"/>
      <c r="H1048" s="69"/>
      <c r="I1048" s="70"/>
      <c r="J1048" s="70"/>
      <c r="K1048" s="34" t="s">
        <v>65</v>
      </c>
      <c r="L1048" s="77">
        <v>1048</v>
      </c>
      <c r="M1048" s="77"/>
      <c r="N1048" s="72"/>
      <c r="O1048" s="79" t="s">
        <v>610</v>
      </c>
      <c r="P1048" s="79">
        <v>1</v>
      </c>
      <c r="Q1048" s="78" t="str">
        <f>REPLACE(INDEX(GroupVertices[Group],MATCH(Edges[[#This Row],[Vertex 1]],GroupVertices[Vertex],0)),1,1,"")</f>
        <v>en Joyce Ackerson</v>
      </c>
      <c r="R1048" s="78" t="str">
        <f>REPLACE(INDEX(GroupVertices[Group],MATCH(Edges[[#This Row],[Vertex 2]],GroupVertices[Vertex],0)),1,1,"")</f>
        <v>rofessor Capron</v>
      </c>
    </row>
    <row r="1049" spans="1:18" ht="15">
      <c r="A1049" s="64" t="s">
        <v>242</v>
      </c>
      <c r="B1049" s="64" t="s">
        <v>576</v>
      </c>
      <c r="C1049" s="65" t="s">
        <v>4443</v>
      </c>
      <c r="D1049" s="66">
        <v>3</v>
      </c>
      <c r="E1049" s="67"/>
      <c r="F1049" s="68">
        <v>40</v>
      </c>
      <c r="G1049" s="65"/>
      <c r="H1049" s="69"/>
      <c r="I1049" s="70"/>
      <c r="J1049" s="70"/>
      <c r="K1049" s="34" t="s">
        <v>65</v>
      </c>
      <c r="L1049" s="77">
        <v>1049</v>
      </c>
      <c r="M1049" s="77"/>
      <c r="N1049" s="72"/>
      <c r="O1049" s="79" t="s">
        <v>610</v>
      </c>
      <c r="P1049" s="79">
        <v>1</v>
      </c>
      <c r="Q1049" s="78" t="str">
        <f>REPLACE(INDEX(GroupVertices[Group],MATCH(Edges[[#This Row],[Vertex 1]],GroupVertices[Vertex],0)),1,1,"")</f>
        <v>en Joyce Ackerson</v>
      </c>
      <c r="R1049" s="78" t="str">
        <f>REPLACE(INDEX(GroupVertices[Group],MATCH(Edges[[#This Row],[Vertex 2]],GroupVertices[Vertex],0)),1,1,"")</f>
        <v>en Joyce Ackerson</v>
      </c>
    </row>
    <row r="1050" spans="1:18" ht="15">
      <c r="A1050" s="64" t="s">
        <v>242</v>
      </c>
      <c r="B1050" s="64" t="s">
        <v>578</v>
      </c>
      <c r="C1050" s="65" t="s">
        <v>4443</v>
      </c>
      <c r="D1050" s="66">
        <v>3</v>
      </c>
      <c r="E1050" s="67"/>
      <c r="F1050" s="68">
        <v>40</v>
      </c>
      <c r="G1050" s="65"/>
      <c r="H1050" s="69"/>
      <c r="I1050" s="70"/>
      <c r="J1050" s="70"/>
      <c r="K1050" s="34" t="s">
        <v>65</v>
      </c>
      <c r="L1050" s="77">
        <v>1050</v>
      </c>
      <c r="M1050" s="77"/>
      <c r="N1050" s="72"/>
      <c r="O1050" s="79" t="s">
        <v>610</v>
      </c>
      <c r="P1050" s="79">
        <v>1</v>
      </c>
      <c r="Q1050" s="78" t="str">
        <f>REPLACE(INDEX(GroupVertices[Group],MATCH(Edges[[#This Row],[Vertex 1]],GroupVertices[Vertex],0)),1,1,"")</f>
        <v>en Joyce Ackerson</v>
      </c>
      <c r="R1050" s="78" t="str">
        <f>REPLACE(INDEX(GroupVertices[Group],MATCH(Edges[[#This Row],[Vertex 2]],GroupVertices[Vertex],0)),1,1,"")</f>
        <v>en Joyce Ackerson</v>
      </c>
    </row>
    <row r="1051" spans="1:18" ht="15">
      <c r="A1051" s="64" t="s">
        <v>242</v>
      </c>
      <c r="B1051" s="64" t="s">
        <v>273</v>
      </c>
      <c r="C1051" s="65" t="s">
        <v>4443</v>
      </c>
      <c r="D1051" s="66">
        <v>3</v>
      </c>
      <c r="E1051" s="67"/>
      <c r="F1051" s="68">
        <v>40</v>
      </c>
      <c r="G1051" s="65"/>
      <c r="H1051" s="69"/>
      <c r="I1051" s="70"/>
      <c r="J1051" s="70"/>
      <c r="K1051" s="34" t="s">
        <v>65</v>
      </c>
      <c r="L1051" s="77">
        <v>1051</v>
      </c>
      <c r="M1051" s="77"/>
      <c r="N1051" s="72"/>
      <c r="O1051" s="79" t="s">
        <v>610</v>
      </c>
      <c r="P1051" s="79">
        <v>1</v>
      </c>
      <c r="Q1051" s="78" t="str">
        <f>REPLACE(INDEX(GroupVertices[Group],MATCH(Edges[[#This Row],[Vertex 1]],GroupVertices[Vertex],0)),1,1,"")</f>
        <v>en Joyce Ackerson</v>
      </c>
      <c r="R1051" s="78" t="str">
        <f>REPLACE(INDEX(GroupVertices[Group],MATCH(Edges[[#This Row],[Vertex 2]],GroupVertices[Vertex],0)),1,1,"")</f>
        <v>en Joyce Ackerson</v>
      </c>
    </row>
    <row r="1052" spans="1:18" ht="15">
      <c r="A1052" s="64" t="s">
        <v>242</v>
      </c>
      <c r="B1052" s="64" t="s">
        <v>579</v>
      </c>
      <c r="C1052" s="65" t="s">
        <v>4443</v>
      </c>
      <c r="D1052" s="66">
        <v>3</v>
      </c>
      <c r="E1052" s="67"/>
      <c r="F1052" s="68">
        <v>40</v>
      </c>
      <c r="G1052" s="65"/>
      <c r="H1052" s="69"/>
      <c r="I1052" s="70"/>
      <c r="J1052" s="70"/>
      <c r="K1052" s="34" t="s">
        <v>65</v>
      </c>
      <c r="L1052" s="77">
        <v>1052</v>
      </c>
      <c r="M1052" s="77"/>
      <c r="N1052" s="72"/>
      <c r="O1052" s="79" t="s">
        <v>610</v>
      </c>
      <c r="P1052" s="79">
        <v>1</v>
      </c>
      <c r="Q1052" s="78" t="str">
        <f>REPLACE(INDEX(GroupVertices[Group],MATCH(Edges[[#This Row],[Vertex 1]],GroupVertices[Vertex],0)),1,1,"")</f>
        <v>en Joyce Ackerson</v>
      </c>
      <c r="R1052" s="78" t="str">
        <f>REPLACE(INDEX(GroupVertices[Group],MATCH(Edges[[#This Row],[Vertex 2]],GroupVertices[Vertex],0)),1,1,"")</f>
        <v>en Joyce Ackerson</v>
      </c>
    </row>
    <row r="1053" spans="1:18" ht="15">
      <c r="A1053" s="64" t="s">
        <v>196</v>
      </c>
      <c r="B1053" s="64" t="s">
        <v>295</v>
      </c>
      <c r="C1053" s="65" t="s">
        <v>4443</v>
      </c>
      <c r="D1053" s="66">
        <v>3</v>
      </c>
      <c r="E1053" s="67"/>
      <c r="F1053" s="68">
        <v>40</v>
      </c>
      <c r="G1053" s="65"/>
      <c r="H1053" s="69"/>
      <c r="I1053" s="70"/>
      <c r="J1053" s="70"/>
      <c r="K1053" s="34" t="s">
        <v>65</v>
      </c>
      <c r="L1053" s="77">
        <v>1053</v>
      </c>
      <c r="M1053" s="77"/>
      <c r="N1053" s="72"/>
      <c r="O1053" s="79" t="s">
        <v>610</v>
      </c>
      <c r="P1053" s="79">
        <v>1</v>
      </c>
      <c r="Q1053" s="78" t="str">
        <f>REPLACE(INDEX(GroupVertices[Group],MATCH(Edges[[#This Row],[Vertex 1]],GroupVertices[Vertex],0)),1,1,"")</f>
        <v>ogi's NURSING- NEST</v>
      </c>
      <c r="R1053" s="78" t="str">
        <f>REPLACE(INDEX(GroupVertices[Group],MATCH(Edges[[#This Row],[Vertex 2]],GroupVertices[Vertex],0)),1,1,"")</f>
        <v>ai maji kalubai</v>
      </c>
    </row>
    <row r="1054" spans="1:18" ht="15">
      <c r="A1054" s="64" t="s">
        <v>196</v>
      </c>
      <c r="B1054" s="64" t="s">
        <v>296</v>
      </c>
      <c r="C1054" s="65" t="s">
        <v>4443</v>
      </c>
      <c r="D1054" s="66">
        <v>3</v>
      </c>
      <c r="E1054" s="67"/>
      <c r="F1054" s="68">
        <v>40</v>
      </c>
      <c r="G1054" s="65"/>
      <c r="H1054" s="69"/>
      <c r="I1054" s="70"/>
      <c r="J1054" s="70"/>
      <c r="K1054" s="34" t="s">
        <v>65</v>
      </c>
      <c r="L1054" s="77">
        <v>1054</v>
      </c>
      <c r="M1054" s="77"/>
      <c r="N1054" s="72"/>
      <c r="O1054" s="79" t="s">
        <v>610</v>
      </c>
      <c r="P1054" s="79">
        <v>1</v>
      </c>
      <c r="Q1054" s="78" t="str">
        <f>REPLACE(INDEX(GroupVertices[Group],MATCH(Edges[[#This Row],[Vertex 1]],GroupVertices[Vertex],0)),1,1,"")</f>
        <v>ogi's NURSING- NEST</v>
      </c>
      <c r="R1054" s="78" t="str">
        <f>REPLACE(INDEX(GroupVertices[Group],MATCH(Edges[[#This Row],[Vertex 2]],GroupVertices[Vertex],0)),1,1,"")</f>
        <v>umpa roy</v>
      </c>
    </row>
    <row r="1055" spans="1:18" ht="15">
      <c r="A1055" s="64" t="s">
        <v>196</v>
      </c>
      <c r="B1055" s="64" t="s">
        <v>2156</v>
      </c>
      <c r="C1055" s="65" t="s">
        <v>4443</v>
      </c>
      <c r="D1055" s="66">
        <v>3</v>
      </c>
      <c r="E1055" s="67"/>
      <c r="F1055" s="68">
        <v>40</v>
      </c>
      <c r="G1055" s="65"/>
      <c r="H1055" s="69"/>
      <c r="I1055" s="70"/>
      <c r="J1055" s="70"/>
      <c r="K1055" s="34" t="s">
        <v>65</v>
      </c>
      <c r="L1055" s="77">
        <v>1055</v>
      </c>
      <c r="M1055" s="77"/>
      <c r="N1055" s="72"/>
      <c r="O1055" s="79" t="s">
        <v>610</v>
      </c>
      <c r="P1055" s="79">
        <v>1</v>
      </c>
      <c r="Q1055" s="78" t="str">
        <f>REPLACE(INDEX(GroupVertices[Group],MATCH(Edges[[#This Row],[Vertex 1]],GroupVertices[Vertex],0)),1,1,"")</f>
        <v>ogi's NURSING- NEST</v>
      </c>
      <c r="R1055" s="78" t="str">
        <f>REPLACE(INDEX(GroupVertices[Group],MATCH(Edges[[#This Row],[Vertex 2]],GroupVertices[Vertex],0)),1,1,"")</f>
        <v>nsuiya Singh</v>
      </c>
    </row>
    <row r="1056" spans="1:18" ht="15">
      <c r="A1056" s="64" t="s">
        <v>196</v>
      </c>
      <c r="B1056" s="64" t="s">
        <v>297</v>
      </c>
      <c r="C1056" s="65" t="s">
        <v>4443</v>
      </c>
      <c r="D1056" s="66">
        <v>3</v>
      </c>
      <c r="E1056" s="67"/>
      <c r="F1056" s="68">
        <v>40</v>
      </c>
      <c r="G1056" s="65"/>
      <c r="H1056" s="69"/>
      <c r="I1056" s="70"/>
      <c r="J1056" s="70"/>
      <c r="K1056" s="34" t="s">
        <v>65</v>
      </c>
      <c r="L1056" s="77">
        <v>1056</v>
      </c>
      <c r="M1056" s="77"/>
      <c r="N1056" s="72"/>
      <c r="O1056" s="79" t="s">
        <v>610</v>
      </c>
      <c r="P1056" s="79">
        <v>1</v>
      </c>
      <c r="Q1056" s="78" t="str">
        <f>REPLACE(INDEX(GroupVertices[Group],MATCH(Edges[[#This Row],[Vertex 1]],GroupVertices[Vertex],0)),1,1,"")</f>
        <v>ogi's NURSING- NEST</v>
      </c>
      <c r="R1056" s="78" t="str">
        <f>REPLACE(INDEX(GroupVertices[Group],MATCH(Edges[[#This Row],[Vertex 2]],GroupVertices[Vertex],0)),1,1,"")</f>
        <v>ita Arvind</v>
      </c>
    </row>
    <row r="1057" spans="1:18" ht="15">
      <c r="A1057" s="64" t="s">
        <v>196</v>
      </c>
      <c r="B1057" s="64" t="s">
        <v>2157</v>
      </c>
      <c r="C1057" s="65" t="s">
        <v>4443</v>
      </c>
      <c r="D1057" s="66">
        <v>3</v>
      </c>
      <c r="E1057" s="67"/>
      <c r="F1057" s="68">
        <v>40</v>
      </c>
      <c r="G1057" s="65"/>
      <c r="H1057" s="69"/>
      <c r="I1057" s="70"/>
      <c r="J1057" s="70"/>
      <c r="K1057" s="34" t="s">
        <v>65</v>
      </c>
      <c r="L1057" s="77">
        <v>1057</v>
      </c>
      <c r="M1057" s="77"/>
      <c r="N1057" s="72"/>
      <c r="O1057" s="79" t="s">
        <v>610</v>
      </c>
      <c r="P1057" s="79">
        <v>1</v>
      </c>
      <c r="Q1057" s="78" t="str">
        <f>REPLACE(INDEX(GroupVertices[Group],MATCH(Edges[[#This Row],[Vertex 1]],GroupVertices[Vertex],0)),1,1,"")</f>
        <v>ogi's NURSING- NEST</v>
      </c>
      <c r="R1057" s="78" t="str">
        <f>REPLACE(INDEX(GroupVertices[Group],MATCH(Edges[[#This Row],[Vertex 2]],GroupVertices[Vertex],0)),1,1,"")</f>
        <v>EERTHANA'S English club.</v>
      </c>
    </row>
    <row r="1058" spans="1:18" ht="15">
      <c r="A1058" s="64" t="s">
        <v>196</v>
      </c>
      <c r="B1058" s="64" t="s">
        <v>298</v>
      </c>
      <c r="C1058" s="65" t="s">
        <v>4443</v>
      </c>
      <c r="D1058" s="66">
        <v>3</v>
      </c>
      <c r="E1058" s="67"/>
      <c r="F1058" s="68">
        <v>40</v>
      </c>
      <c r="G1058" s="65"/>
      <c r="H1058" s="69"/>
      <c r="I1058" s="70"/>
      <c r="J1058" s="70"/>
      <c r="K1058" s="34" t="s">
        <v>65</v>
      </c>
      <c r="L1058" s="77">
        <v>1058</v>
      </c>
      <c r="M1058" s="77"/>
      <c r="N1058" s="72"/>
      <c r="O1058" s="79" t="s">
        <v>610</v>
      </c>
      <c r="P1058" s="79">
        <v>1</v>
      </c>
      <c r="Q1058" s="78" t="str">
        <f>REPLACE(INDEX(GroupVertices[Group],MATCH(Edges[[#This Row],[Vertex 1]],GroupVertices[Vertex],0)),1,1,"")</f>
        <v>ogi's NURSING- NEST</v>
      </c>
      <c r="R1058" s="78" t="str">
        <f>REPLACE(INDEX(GroupVertices[Group],MATCH(Edges[[#This Row],[Vertex 2]],GroupVertices[Vertex],0)),1,1,"")</f>
        <v>itara Dewan</v>
      </c>
    </row>
    <row r="1059" spans="1:18" ht="15">
      <c r="A1059" s="64" t="s">
        <v>196</v>
      </c>
      <c r="B1059" s="64" t="s">
        <v>299</v>
      </c>
      <c r="C1059" s="65" t="s">
        <v>4443</v>
      </c>
      <c r="D1059" s="66">
        <v>3</v>
      </c>
      <c r="E1059" s="67"/>
      <c r="F1059" s="68">
        <v>40</v>
      </c>
      <c r="G1059" s="65"/>
      <c r="H1059" s="69"/>
      <c r="I1059" s="70"/>
      <c r="J1059" s="70"/>
      <c r="K1059" s="34" t="s">
        <v>65</v>
      </c>
      <c r="L1059" s="77">
        <v>1059</v>
      </c>
      <c r="M1059" s="77"/>
      <c r="N1059" s="72"/>
      <c r="O1059" s="79" t="s">
        <v>610</v>
      </c>
      <c r="P1059" s="79">
        <v>1</v>
      </c>
      <c r="Q1059" s="78" t="str">
        <f>REPLACE(INDEX(GroupVertices[Group],MATCH(Edges[[#This Row],[Vertex 1]],GroupVertices[Vertex],0)),1,1,"")</f>
        <v>ogi's NURSING- NEST</v>
      </c>
      <c r="R1059" s="78" t="str">
        <f>REPLACE(INDEX(GroupVertices[Group],MATCH(Edges[[#This Row],[Vertex 2]],GroupVertices[Vertex],0)),1,1,"")</f>
        <v>ishu</v>
      </c>
    </row>
    <row r="1060" spans="1:18" ht="15">
      <c r="A1060" s="64" t="s">
        <v>196</v>
      </c>
      <c r="B1060" s="64" t="s">
        <v>300</v>
      </c>
      <c r="C1060" s="65" t="s">
        <v>4443</v>
      </c>
      <c r="D1060" s="66">
        <v>3</v>
      </c>
      <c r="E1060" s="67"/>
      <c r="F1060" s="68">
        <v>40</v>
      </c>
      <c r="G1060" s="65"/>
      <c r="H1060" s="69"/>
      <c r="I1060" s="70"/>
      <c r="J1060" s="70"/>
      <c r="K1060" s="34" t="s">
        <v>65</v>
      </c>
      <c r="L1060" s="77">
        <v>1060</v>
      </c>
      <c r="M1060" s="77"/>
      <c r="N1060" s="72"/>
      <c r="O1060" s="79" t="s">
        <v>610</v>
      </c>
      <c r="P1060" s="79">
        <v>1</v>
      </c>
      <c r="Q1060" s="78" t="str">
        <f>REPLACE(INDEX(GroupVertices[Group],MATCH(Edges[[#This Row],[Vertex 1]],GroupVertices[Vertex],0)),1,1,"")</f>
        <v>ogi's NURSING- NEST</v>
      </c>
      <c r="R1060" s="78" t="str">
        <f>REPLACE(INDEX(GroupVertices[Group],MATCH(Edges[[#This Row],[Vertex 2]],GroupVertices[Vertex],0)),1,1,"")</f>
        <v>EERTHANA'S English club.</v>
      </c>
    </row>
    <row r="1061" spans="1:18" ht="15">
      <c r="A1061" s="64" t="s">
        <v>196</v>
      </c>
      <c r="B1061" s="64" t="s">
        <v>301</v>
      </c>
      <c r="C1061" s="65" t="s">
        <v>4443</v>
      </c>
      <c r="D1061" s="66">
        <v>3</v>
      </c>
      <c r="E1061" s="67"/>
      <c r="F1061" s="68">
        <v>40</v>
      </c>
      <c r="G1061" s="65"/>
      <c r="H1061" s="69"/>
      <c r="I1061" s="70"/>
      <c r="J1061" s="70"/>
      <c r="K1061" s="34" t="s">
        <v>65</v>
      </c>
      <c r="L1061" s="77">
        <v>1061</v>
      </c>
      <c r="M1061" s="77"/>
      <c r="N1061" s="72"/>
      <c r="O1061" s="79" t="s">
        <v>610</v>
      </c>
      <c r="P1061" s="79">
        <v>1</v>
      </c>
      <c r="Q1061" s="78" t="str">
        <f>REPLACE(INDEX(GroupVertices[Group],MATCH(Edges[[#This Row],[Vertex 1]],GroupVertices[Vertex],0)),1,1,"")</f>
        <v>ogi's NURSING- NEST</v>
      </c>
      <c r="R1061" s="78" t="str">
        <f>REPLACE(INDEX(GroupVertices[Group],MATCH(Edges[[#This Row],[Vertex 2]],GroupVertices[Vertex],0)),1,1,"")</f>
        <v>014 Ankita Gujran</v>
      </c>
    </row>
    <row r="1062" spans="1:18" ht="15">
      <c r="A1062" s="64" t="s">
        <v>196</v>
      </c>
      <c r="B1062" s="64" t="s">
        <v>302</v>
      </c>
      <c r="C1062" s="65" t="s">
        <v>4443</v>
      </c>
      <c r="D1062" s="66">
        <v>3</v>
      </c>
      <c r="E1062" s="67"/>
      <c r="F1062" s="68">
        <v>40</v>
      </c>
      <c r="G1062" s="65"/>
      <c r="H1062" s="69"/>
      <c r="I1062" s="70"/>
      <c r="J1062" s="70"/>
      <c r="K1062" s="34" t="s">
        <v>65</v>
      </c>
      <c r="L1062" s="77">
        <v>1062</v>
      </c>
      <c r="M1062" s="77"/>
      <c r="N1062" s="72"/>
      <c r="O1062" s="79" t="s">
        <v>610</v>
      </c>
      <c r="P1062" s="79">
        <v>1</v>
      </c>
      <c r="Q1062" s="78" t="str">
        <f>REPLACE(INDEX(GroupVertices[Group],MATCH(Edges[[#This Row],[Vertex 1]],GroupVertices[Vertex],0)),1,1,"")</f>
        <v>ogi's NURSING- NEST</v>
      </c>
      <c r="R1062" s="78" t="str">
        <f>REPLACE(INDEX(GroupVertices[Group],MATCH(Edges[[#This Row],[Vertex 2]],GroupVertices[Vertex],0)),1,1,"")</f>
        <v>aughtynehavlogs</v>
      </c>
    </row>
    <row r="1063" spans="1:18" ht="15">
      <c r="A1063" s="64" t="s">
        <v>196</v>
      </c>
      <c r="B1063" s="64" t="s">
        <v>303</v>
      </c>
      <c r="C1063" s="65" t="s">
        <v>4443</v>
      </c>
      <c r="D1063" s="66">
        <v>3</v>
      </c>
      <c r="E1063" s="67"/>
      <c r="F1063" s="68">
        <v>40</v>
      </c>
      <c r="G1063" s="65"/>
      <c r="H1063" s="69"/>
      <c r="I1063" s="70"/>
      <c r="J1063" s="70"/>
      <c r="K1063" s="34" t="s">
        <v>65</v>
      </c>
      <c r="L1063" s="77">
        <v>1063</v>
      </c>
      <c r="M1063" s="77"/>
      <c r="N1063" s="72"/>
      <c r="O1063" s="79" t="s">
        <v>610</v>
      </c>
      <c r="P1063" s="79">
        <v>1</v>
      </c>
      <c r="Q1063" s="78" t="str">
        <f>REPLACE(INDEX(GroupVertices[Group],MATCH(Edges[[#This Row],[Vertex 1]],GroupVertices[Vertex],0)),1,1,"")</f>
        <v>ogi's NURSING- NEST</v>
      </c>
      <c r="R1063" s="78" t="str">
        <f>REPLACE(INDEX(GroupVertices[Group],MATCH(Edges[[#This Row],[Vertex 2]],GroupVertices[Vertex],0)),1,1,"")</f>
        <v>neha Dongare</v>
      </c>
    </row>
    <row r="1064" spans="1:18" ht="15">
      <c r="A1064" s="64" t="s">
        <v>196</v>
      </c>
      <c r="B1064" s="64" t="s">
        <v>304</v>
      </c>
      <c r="C1064" s="65" t="s">
        <v>4443</v>
      </c>
      <c r="D1064" s="66">
        <v>3</v>
      </c>
      <c r="E1064" s="67"/>
      <c r="F1064" s="68">
        <v>40</v>
      </c>
      <c r="G1064" s="65"/>
      <c r="H1064" s="69"/>
      <c r="I1064" s="70"/>
      <c r="J1064" s="70"/>
      <c r="K1064" s="34" t="s">
        <v>65</v>
      </c>
      <c r="L1064" s="77">
        <v>1064</v>
      </c>
      <c r="M1064" s="77"/>
      <c r="N1064" s="72"/>
      <c r="O1064" s="79" t="s">
        <v>610</v>
      </c>
      <c r="P1064" s="79">
        <v>1</v>
      </c>
      <c r="Q1064" s="78" t="str">
        <f>REPLACE(INDEX(GroupVertices[Group],MATCH(Edges[[#This Row],[Vertex 1]],GroupVertices[Vertex],0)),1,1,"")</f>
        <v>ogi's NURSING- NEST</v>
      </c>
      <c r="R1064" s="78" t="str">
        <f>REPLACE(INDEX(GroupVertices[Group],MATCH(Edges[[#This Row],[Vertex 2]],GroupVertices[Vertex],0)),1,1,"")</f>
        <v>evnandha'</v>
      </c>
    </row>
    <row r="1065" spans="1:18" ht="15">
      <c r="A1065" s="64" t="s">
        <v>196</v>
      </c>
      <c r="B1065" s="64" t="s">
        <v>305</v>
      </c>
      <c r="C1065" s="65" t="s">
        <v>4443</v>
      </c>
      <c r="D1065" s="66">
        <v>3</v>
      </c>
      <c r="E1065" s="67"/>
      <c r="F1065" s="68">
        <v>40</v>
      </c>
      <c r="G1065" s="65"/>
      <c r="H1065" s="69"/>
      <c r="I1065" s="70"/>
      <c r="J1065" s="70"/>
      <c r="K1065" s="34" t="s">
        <v>65</v>
      </c>
      <c r="L1065" s="77">
        <v>1065</v>
      </c>
      <c r="M1065" s="77"/>
      <c r="N1065" s="72"/>
      <c r="O1065" s="79" t="s">
        <v>610</v>
      </c>
      <c r="P1065" s="79">
        <v>1</v>
      </c>
      <c r="Q1065" s="78" t="str">
        <f>REPLACE(INDEX(GroupVertices[Group],MATCH(Edges[[#This Row],[Vertex 1]],GroupVertices[Vertex],0)),1,1,"")</f>
        <v>ogi's NURSING- NEST</v>
      </c>
      <c r="R1065" s="78" t="str">
        <f>REPLACE(INDEX(GroupVertices[Group],MATCH(Edges[[#This Row],[Vertex 2]],GroupVertices[Vertex],0)),1,1,"")</f>
        <v>SHLEX</v>
      </c>
    </row>
    <row r="1066" spans="1:18" ht="15">
      <c r="A1066" s="64" t="s">
        <v>196</v>
      </c>
      <c r="B1066" s="64" t="s">
        <v>290</v>
      </c>
      <c r="C1066" s="65" t="s">
        <v>4443</v>
      </c>
      <c r="D1066" s="66">
        <v>3</v>
      </c>
      <c r="E1066" s="67"/>
      <c r="F1066" s="68">
        <v>40</v>
      </c>
      <c r="G1066" s="65"/>
      <c r="H1066" s="69"/>
      <c r="I1066" s="70"/>
      <c r="J1066" s="70"/>
      <c r="K1066" s="34" t="s">
        <v>65</v>
      </c>
      <c r="L1066" s="77">
        <v>1066</v>
      </c>
      <c r="M1066" s="77"/>
      <c r="N1066" s="72"/>
      <c r="O1066" s="79" t="s">
        <v>610</v>
      </c>
      <c r="P1066" s="79">
        <v>1</v>
      </c>
      <c r="Q1066" s="78" t="str">
        <f>REPLACE(INDEX(GroupVertices[Group],MATCH(Edges[[#This Row],[Vertex 1]],GroupVertices[Vertex],0)),1,1,"")</f>
        <v>ogi's NURSING- NEST</v>
      </c>
      <c r="R1066" s="78" t="str">
        <f>REPLACE(INDEX(GroupVertices[Group],MATCH(Edges[[#This Row],[Vertex 2]],GroupVertices[Vertex],0)),1,1,"")</f>
        <v>ogi's NURSING- NEST</v>
      </c>
    </row>
    <row r="1067" spans="1:18" ht="15">
      <c r="A1067" s="64" t="s">
        <v>196</v>
      </c>
      <c r="B1067" s="64" t="s">
        <v>2158</v>
      </c>
      <c r="C1067" s="65" t="s">
        <v>4443</v>
      </c>
      <c r="D1067" s="66">
        <v>3</v>
      </c>
      <c r="E1067" s="67"/>
      <c r="F1067" s="68">
        <v>40</v>
      </c>
      <c r="G1067" s="65"/>
      <c r="H1067" s="69"/>
      <c r="I1067" s="70"/>
      <c r="J1067" s="70"/>
      <c r="K1067" s="34" t="s">
        <v>65</v>
      </c>
      <c r="L1067" s="77">
        <v>1067</v>
      </c>
      <c r="M1067" s="77"/>
      <c r="N1067" s="72"/>
      <c r="O1067" s="79" t="s">
        <v>610</v>
      </c>
      <c r="P1067" s="79">
        <v>1</v>
      </c>
      <c r="Q1067" s="78" t="str">
        <f>REPLACE(INDEX(GroupVertices[Group],MATCH(Edges[[#This Row],[Vertex 1]],GroupVertices[Vertex],0)),1,1,"")</f>
        <v>ogi's NURSING- NEST</v>
      </c>
      <c r="R1067" s="78" t="str">
        <f>REPLACE(INDEX(GroupVertices[Group],MATCH(Edges[[#This Row],[Vertex 2]],GroupVertices[Vertex],0)),1,1,"")</f>
        <v>ogi's NURSING- NEST</v>
      </c>
    </row>
    <row r="1068" spans="1:18" ht="15">
      <c r="A1068" s="64" t="s">
        <v>196</v>
      </c>
      <c r="B1068" s="64" t="s">
        <v>291</v>
      </c>
      <c r="C1068" s="65" t="s">
        <v>4443</v>
      </c>
      <c r="D1068" s="66">
        <v>3</v>
      </c>
      <c r="E1068" s="67"/>
      <c r="F1068" s="68">
        <v>40</v>
      </c>
      <c r="G1068" s="65"/>
      <c r="H1068" s="69"/>
      <c r="I1068" s="70"/>
      <c r="J1068" s="70"/>
      <c r="K1068" s="34" t="s">
        <v>65</v>
      </c>
      <c r="L1068" s="77">
        <v>1068</v>
      </c>
      <c r="M1068" s="77"/>
      <c r="N1068" s="72"/>
      <c r="O1068" s="79" t="s">
        <v>610</v>
      </c>
      <c r="P1068" s="79">
        <v>1</v>
      </c>
      <c r="Q1068" s="78" t="str">
        <f>REPLACE(INDEX(GroupVertices[Group],MATCH(Edges[[#This Row],[Vertex 1]],GroupVertices[Vertex],0)),1,1,"")</f>
        <v>ogi's NURSING- NEST</v>
      </c>
      <c r="R1068" s="78" t="str">
        <f>REPLACE(INDEX(GroupVertices[Group],MATCH(Edges[[#This Row],[Vertex 2]],GroupVertices[Vertex],0)),1,1,"")</f>
        <v>ogi's NURSING- NEST</v>
      </c>
    </row>
    <row r="1069" spans="1:18" ht="15">
      <c r="A1069" s="64" t="s">
        <v>196</v>
      </c>
      <c r="B1069" s="64" t="s">
        <v>292</v>
      </c>
      <c r="C1069" s="65" t="s">
        <v>4443</v>
      </c>
      <c r="D1069" s="66">
        <v>3</v>
      </c>
      <c r="E1069" s="67"/>
      <c r="F1069" s="68">
        <v>40</v>
      </c>
      <c r="G1069" s="65"/>
      <c r="H1069" s="69"/>
      <c r="I1069" s="70"/>
      <c r="J1069" s="70"/>
      <c r="K1069" s="34" t="s">
        <v>65</v>
      </c>
      <c r="L1069" s="77">
        <v>1069</v>
      </c>
      <c r="M1069" s="77"/>
      <c r="N1069" s="72"/>
      <c r="O1069" s="79" t="s">
        <v>610</v>
      </c>
      <c r="P1069" s="79">
        <v>1</v>
      </c>
      <c r="Q1069" s="78" t="str">
        <f>REPLACE(INDEX(GroupVertices[Group],MATCH(Edges[[#This Row],[Vertex 1]],GroupVertices[Vertex],0)),1,1,"")</f>
        <v>ogi's NURSING- NEST</v>
      </c>
      <c r="R1069" s="78" t="str">
        <f>REPLACE(INDEX(GroupVertices[Group],MATCH(Edges[[#This Row],[Vertex 2]],GroupVertices[Vertex],0)),1,1,"")</f>
        <v>ogi's NURSING- NEST</v>
      </c>
    </row>
    <row r="1070" spans="1:18" ht="15">
      <c r="A1070" s="64" t="s">
        <v>196</v>
      </c>
      <c r="B1070" s="64" t="s">
        <v>293</v>
      </c>
      <c r="C1070" s="65" t="s">
        <v>4443</v>
      </c>
      <c r="D1070" s="66">
        <v>3</v>
      </c>
      <c r="E1070" s="67"/>
      <c r="F1070" s="68">
        <v>40</v>
      </c>
      <c r="G1070" s="65"/>
      <c r="H1070" s="69"/>
      <c r="I1070" s="70"/>
      <c r="J1070" s="70"/>
      <c r="K1070" s="34" t="s">
        <v>65</v>
      </c>
      <c r="L1070" s="77">
        <v>1070</v>
      </c>
      <c r="M1070" s="77"/>
      <c r="N1070" s="72"/>
      <c r="O1070" s="79" t="s">
        <v>610</v>
      </c>
      <c r="P1070" s="79">
        <v>1</v>
      </c>
      <c r="Q1070" s="78" t="str">
        <f>REPLACE(INDEX(GroupVertices[Group],MATCH(Edges[[#This Row],[Vertex 1]],GroupVertices[Vertex],0)),1,1,"")</f>
        <v>ogi's NURSING- NEST</v>
      </c>
      <c r="R1070" s="78" t="str">
        <f>REPLACE(INDEX(GroupVertices[Group],MATCH(Edges[[#This Row],[Vertex 2]],GroupVertices[Vertex],0)),1,1,"")</f>
        <v>ogi's NURSING- NEST</v>
      </c>
    </row>
    <row r="1071" spans="1:18" ht="15">
      <c r="A1071" s="64" t="s">
        <v>196</v>
      </c>
      <c r="B1071" s="64" t="s">
        <v>306</v>
      </c>
      <c r="C1071" s="65" t="s">
        <v>4443</v>
      </c>
      <c r="D1071" s="66">
        <v>3</v>
      </c>
      <c r="E1071" s="67"/>
      <c r="F1071" s="68">
        <v>40</v>
      </c>
      <c r="G1071" s="65"/>
      <c r="H1071" s="69"/>
      <c r="I1071" s="70"/>
      <c r="J1071" s="70"/>
      <c r="K1071" s="34" t="s">
        <v>65</v>
      </c>
      <c r="L1071" s="77">
        <v>1071</v>
      </c>
      <c r="M1071" s="77"/>
      <c r="N1071" s="72"/>
      <c r="O1071" s="79" t="s">
        <v>610</v>
      </c>
      <c r="P1071" s="79">
        <v>1</v>
      </c>
      <c r="Q1071" s="78" t="str">
        <f>REPLACE(INDEX(GroupVertices[Group],MATCH(Edges[[#This Row],[Vertex 1]],GroupVertices[Vertex],0)),1,1,"")</f>
        <v>ogi's NURSING- NEST</v>
      </c>
      <c r="R1071" s="78" t="str">
        <f>REPLACE(INDEX(GroupVertices[Group],MATCH(Edges[[#This Row],[Vertex 2]],GroupVertices[Vertex],0)),1,1,"")</f>
        <v>ogi's NURSING- NEST</v>
      </c>
    </row>
    <row r="1072" spans="1:18" ht="15">
      <c r="A1072" s="64" t="s">
        <v>196</v>
      </c>
      <c r="B1072" s="64" t="s">
        <v>294</v>
      </c>
      <c r="C1072" s="65" t="s">
        <v>4443</v>
      </c>
      <c r="D1072" s="66">
        <v>3</v>
      </c>
      <c r="E1072" s="67"/>
      <c r="F1072" s="68">
        <v>40</v>
      </c>
      <c r="G1072" s="65"/>
      <c r="H1072" s="69"/>
      <c r="I1072" s="70"/>
      <c r="J1072" s="70"/>
      <c r="K1072" s="34" t="s">
        <v>65</v>
      </c>
      <c r="L1072" s="77">
        <v>1072</v>
      </c>
      <c r="M1072" s="77"/>
      <c r="N1072" s="72"/>
      <c r="O1072" s="79" t="s">
        <v>610</v>
      </c>
      <c r="P1072" s="79">
        <v>1</v>
      </c>
      <c r="Q1072" s="78" t="str">
        <f>REPLACE(INDEX(GroupVertices[Group],MATCH(Edges[[#This Row],[Vertex 1]],GroupVertices[Vertex],0)),1,1,"")</f>
        <v>ogi's NURSING- NEST</v>
      </c>
      <c r="R1072" s="78" t="str">
        <f>REPLACE(INDEX(GroupVertices[Group],MATCH(Edges[[#This Row],[Vertex 2]],GroupVertices[Vertex],0)),1,1,"")</f>
        <v>ogi's NURSING- NEST</v>
      </c>
    </row>
    <row r="1073" spans="1:18" ht="15">
      <c r="A1073" s="64" t="s">
        <v>210</v>
      </c>
      <c r="B1073" s="64" t="s">
        <v>212</v>
      </c>
      <c r="C1073" s="65" t="s">
        <v>4443</v>
      </c>
      <c r="D1073" s="66">
        <v>3</v>
      </c>
      <c r="E1073" s="67"/>
      <c r="F1073" s="68">
        <v>40</v>
      </c>
      <c r="G1073" s="65"/>
      <c r="H1073" s="69"/>
      <c r="I1073" s="70"/>
      <c r="J1073" s="70"/>
      <c r="K1073" s="34" t="s">
        <v>65</v>
      </c>
      <c r="L1073" s="77">
        <v>1073</v>
      </c>
      <c r="M1073" s="77"/>
      <c r="N1073" s="72"/>
      <c r="O1073" s="79" t="s">
        <v>610</v>
      </c>
      <c r="P1073" s="79">
        <v>1</v>
      </c>
      <c r="Q1073" s="78" t="str">
        <f>REPLACE(INDEX(GroupVertices[Group],MATCH(Edges[[#This Row],[Vertex 1]],GroupVertices[Vertex],0)),1,1,"")</f>
        <v>nlineCEUCredit</v>
      </c>
      <c r="R1073" s="78" t="str">
        <f>REPLACE(INDEX(GroupVertices[Group],MATCH(Edges[[#This Row],[Vertex 2]],GroupVertices[Vertex],0)),1,1,"")</f>
        <v>nlineCEUCredit</v>
      </c>
    </row>
    <row r="1074" spans="1:18" ht="15">
      <c r="A1074" s="64" t="s">
        <v>210</v>
      </c>
      <c r="B1074" s="64" t="s">
        <v>326</v>
      </c>
      <c r="C1074" s="65" t="s">
        <v>4443</v>
      </c>
      <c r="D1074" s="66">
        <v>3</v>
      </c>
      <c r="E1074" s="67"/>
      <c r="F1074" s="68">
        <v>40</v>
      </c>
      <c r="G1074" s="65"/>
      <c r="H1074" s="69"/>
      <c r="I1074" s="70"/>
      <c r="J1074" s="70"/>
      <c r="K1074" s="34" t="s">
        <v>65</v>
      </c>
      <c r="L1074" s="77">
        <v>1074</v>
      </c>
      <c r="M1074" s="77"/>
      <c r="N1074" s="72"/>
      <c r="O1074" s="79" t="s">
        <v>610</v>
      </c>
      <c r="P1074" s="79">
        <v>1</v>
      </c>
      <c r="Q1074" s="78" t="str">
        <f>REPLACE(INDEX(GroupVertices[Group],MATCH(Edges[[#This Row],[Vertex 1]],GroupVertices[Vertex],0)),1,1,"")</f>
        <v>nlineCEUCredit</v>
      </c>
      <c r="R1074" s="78" t="str">
        <f>REPLACE(INDEX(GroupVertices[Group],MATCH(Edges[[#This Row],[Vertex 2]],GroupVertices[Vertex],0)),1,1,"")</f>
        <v>eady Study Go</v>
      </c>
    </row>
    <row r="1075" spans="1:18" ht="15">
      <c r="A1075" s="64" t="s">
        <v>210</v>
      </c>
      <c r="B1075" s="64" t="s">
        <v>346</v>
      </c>
      <c r="C1075" s="65" t="s">
        <v>4443</v>
      </c>
      <c r="D1075" s="66">
        <v>3</v>
      </c>
      <c r="E1075" s="67"/>
      <c r="F1075" s="68">
        <v>40</v>
      </c>
      <c r="G1075" s="65"/>
      <c r="H1075" s="69"/>
      <c r="I1075" s="70"/>
      <c r="J1075" s="70"/>
      <c r="K1075" s="34" t="s">
        <v>65</v>
      </c>
      <c r="L1075" s="77">
        <v>1075</v>
      </c>
      <c r="M1075" s="77"/>
      <c r="N1075" s="72"/>
      <c r="O1075" s="79" t="s">
        <v>610</v>
      </c>
      <c r="P1075" s="79">
        <v>1</v>
      </c>
      <c r="Q1075" s="78" t="str">
        <f>REPLACE(INDEX(GroupVertices[Group],MATCH(Edges[[#This Row],[Vertex 1]],GroupVertices[Vertex],0)),1,1,"")</f>
        <v>nlineCEUCredit</v>
      </c>
      <c r="R1075" s="78" t="str">
        <f>REPLACE(INDEX(GroupVertices[Group],MATCH(Edges[[#This Row],[Vertex 2]],GroupVertices[Vertex],0)),1,1,"")</f>
        <v>nlineCEUCredit</v>
      </c>
    </row>
    <row r="1076" spans="1:18" ht="15">
      <c r="A1076" s="64" t="s">
        <v>210</v>
      </c>
      <c r="B1076" s="64" t="s">
        <v>328</v>
      </c>
      <c r="C1076" s="65" t="s">
        <v>4443</v>
      </c>
      <c r="D1076" s="66">
        <v>3</v>
      </c>
      <c r="E1076" s="67"/>
      <c r="F1076" s="68">
        <v>40</v>
      </c>
      <c r="G1076" s="65"/>
      <c r="H1076" s="69"/>
      <c r="I1076" s="70"/>
      <c r="J1076" s="70"/>
      <c r="K1076" s="34" t="s">
        <v>65</v>
      </c>
      <c r="L1076" s="77">
        <v>1076</v>
      </c>
      <c r="M1076" s="77"/>
      <c r="N1076" s="72"/>
      <c r="O1076" s="79" t="s">
        <v>610</v>
      </c>
      <c r="P1076" s="79">
        <v>1</v>
      </c>
      <c r="Q1076" s="78" t="str">
        <f>REPLACE(INDEX(GroupVertices[Group],MATCH(Edges[[#This Row],[Vertex 1]],GroupVertices[Vertex],0)),1,1,"")</f>
        <v>nlineCEUCredit</v>
      </c>
      <c r="R1076" s="78" t="str">
        <f>REPLACE(INDEX(GroupVertices[Group],MATCH(Edges[[#This Row],[Vertex 2]],GroupVertices[Vertex],0)),1,1,"")</f>
        <v>nlineCEUCredit</v>
      </c>
    </row>
    <row r="1077" spans="1:18" ht="15">
      <c r="A1077" s="64" t="s">
        <v>210</v>
      </c>
      <c r="B1077" s="64" t="s">
        <v>327</v>
      </c>
      <c r="C1077" s="65" t="s">
        <v>4443</v>
      </c>
      <c r="D1077" s="66">
        <v>3</v>
      </c>
      <c r="E1077" s="67"/>
      <c r="F1077" s="68">
        <v>40</v>
      </c>
      <c r="G1077" s="65"/>
      <c r="H1077" s="69"/>
      <c r="I1077" s="70"/>
      <c r="J1077" s="70"/>
      <c r="K1077" s="34" t="s">
        <v>65</v>
      </c>
      <c r="L1077" s="77">
        <v>1077</v>
      </c>
      <c r="M1077" s="77"/>
      <c r="N1077" s="72"/>
      <c r="O1077" s="79" t="s">
        <v>610</v>
      </c>
      <c r="P1077" s="79">
        <v>1</v>
      </c>
      <c r="Q1077" s="78" t="str">
        <f>REPLACE(INDEX(GroupVertices[Group],MATCH(Edges[[#This Row],[Vertex 1]],GroupVertices[Vertex],0)),1,1,"")</f>
        <v>nlineCEUCredit</v>
      </c>
      <c r="R1077" s="78" t="str">
        <f>REPLACE(INDEX(GroupVertices[Group],MATCH(Edges[[#This Row],[Vertex 2]],GroupVertices[Vertex],0)),1,1,"")</f>
        <v>nlineCEUCredit</v>
      </c>
    </row>
    <row r="1078" spans="1:18" ht="15">
      <c r="A1078" s="64" t="s">
        <v>210</v>
      </c>
      <c r="B1078" s="64" t="s">
        <v>338</v>
      </c>
      <c r="C1078" s="65" t="s">
        <v>4443</v>
      </c>
      <c r="D1078" s="66">
        <v>3</v>
      </c>
      <c r="E1078" s="67"/>
      <c r="F1078" s="68">
        <v>40</v>
      </c>
      <c r="G1078" s="65"/>
      <c r="H1078" s="69"/>
      <c r="I1078" s="70"/>
      <c r="J1078" s="70"/>
      <c r="K1078" s="34" t="s">
        <v>65</v>
      </c>
      <c r="L1078" s="77">
        <v>1078</v>
      </c>
      <c r="M1078" s="77"/>
      <c r="N1078" s="72"/>
      <c r="O1078" s="79" t="s">
        <v>610</v>
      </c>
      <c r="P1078" s="79">
        <v>1</v>
      </c>
      <c r="Q1078" s="78" t="str">
        <f>REPLACE(INDEX(GroupVertices[Group],MATCH(Edges[[#This Row],[Vertex 1]],GroupVertices[Vertex],0)),1,1,"")</f>
        <v>nlineCEUCredit</v>
      </c>
      <c r="R1078" s="78" t="str">
        <f>REPLACE(INDEX(GroupVertices[Group],MATCH(Edges[[#This Row],[Vertex 2]],GroupVertices[Vertex],0)),1,1,"")</f>
        <v>nlineCEUCredit</v>
      </c>
    </row>
    <row r="1079" spans="1:18" ht="15">
      <c r="A1079" s="64" t="s">
        <v>210</v>
      </c>
      <c r="B1079" s="64" t="s">
        <v>344</v>
      </c>
      <c r="C1079" s="65" t="s">
        <v>4443</v>
      </c>
      <c r="D1079" s="66">
        <v>3</v>
      </c>
      <c r="E1079" s="67"/>
      <c r="F1079" s="68">
        <v>40</v>
      </c>
      <c r="G1079" s="65"/>
      <c r="H1079" s="69"/>
      <c r="I1079" s="70"/>
      <c r="J1079" s="70"/>
      <c r="K1079" s="34" t="s">
        <v>65</v>
      </c>
      <c r="L1079" s="77">
        <v>1079</v>
      </c>
      <c r="M1079" s="77"/>
      <c r="N1079" s="72"/>
      <c r="O1079" s="79" t="s">
        <v>610</v>
      </c>
      <c r="P1079" s="79">
        <v>1</v>
      </c>
      <c r="Q1079" s="78" t="str">
        <f>REPLACE(INDEX(GroupVertices[Group],MATCH(Edges[[#This Row],[Vertex 1]],GroupVertices[Vertex],0)),1,1,"")</f>
        <v>nlineCEUCredit</v>
      </c>
      <c r="R1079" s="78" t="str">
        <f>REPLACE(INDEX(GroupVertices[Group],MATCH(Edges[[#This Row],[Vertex 2]],GroupVertices[Vertex],0)),1,1,"")</f>
        <v>nlineCEUCredit</v>
      </c>
    </row>
    <row r="1080" spans="1:18" ht="15">
      <c r="A1080" s="64" t="s">
        <v>210</v>
      </c>
      <c r="B1080" s="64" t="s">
        <v>329</v>
      </c>
      <c r="C1080" s="65" t="s">
        <v>4443</v>
      </c>
      <c r="D1080" s="66">
        <v>3</v>
      </c>
      <c r="E1080" s="67"/>
      <c r="F1080" s="68">
        <v>40</v>
      </c>
      <c r="G1080" s="65"/>
      <c r="H1080" s="69"/>
      <c r="I1080" s="70"/>
      <c r="J1080" s="70"/>
      <c r="K1080" s="34" t="s">
        <v>65</v>
      </c>
      <c r="L1080" s="77">
        <v>1080</v>
      </c>
      <c r="M1080" s="77"/>
      <c r="N1080" s="72"/>
      <c r="O1080" s="79" t="s">
        <v>610</v>
      </c>
      <c r="P1080" s="79">
        <v>1</v>
      </c>
      <c r="Q1080" s="78" t="str">
        <f>REPLACE(INDEX(GroupVertices[Group],MATCH(Edges[[#This Row],[Vertex 1]],GroupVertices[Vertex],0)),1,1,"")</f>
        <v>nlineCEUCredit</v>
      </c>
      <c r="R1080" s="78" t="str">
        <f>REPLACE(INDEX(GroupVertices[Group],MATCH(Edges[[#This Row],[Vertex 2]],GroupVertices[Vertex],0)),1,1,"")</f>
        <v>nlineCEUCredit</v>
      </c>
    </row>
    <row r="1081" spans="1:18" ht="15">
      <c r="A1081" s="64" t="s">
        <v>210</v>
      </c>
      <c r="B1081" s="64" t="s">
        <v>332</v>
      </c>
      <c r="C1081" s="65" t="s">
        <v>4443</v>
      </c>
      <c r="D1081" s="66">
        <v>3</v>
      </c>
      <c r="E1081" s="67"/>
      <c r="F1081" s="68">
        <v>40</v>
      </c>
      <c r="G1081" s="65"/>
      <c r="H1081" s="69"/>
      <c r="I1081" s="70"/>
      <c r="J1081" s="70"/>
      <c r="K1081" s="34" t="s">
        <v>65</v>
      </c>
      <c r="L1081" s="77">
        <v>1081</v>
      </c>
      <c r="M1081" s="77"/>
      <c r="N1081" s="72"/>
      <c r="O1081" s="79" t="s">
        <v>610</v>
      </c>
      <c r="P1081" s="79">
        <v>1</v>
      </c>
      <c r="Q1081" s="78" t="str">
        <f>REPLACE(INDEX(GroupVertices[Group],MATCH(Edges[[#This Row],[Vertex 1]],GroupVertices[Vertex],0)),1,1,"")</f>
        <v>nlineCEUCredit</v>
      </c>
      <c r="R1081" s="78" t="str">
        <f>REPLACE(INDEX(GroupVertices[Group],MATCH(Edges[[#This Row],[Vertex 2]],GroupVertices[Vertex],0)),1,1,"")</f>
        <v>nlineCEUCredit</v>
      </c>
    </row>
    <row r="1082" spans="1:18" ht="15">
      <c r="A1082" s="64" t="s">
        <v>210</v>
      </c>
      <c r="B1082" s="64" t="s">
        <v>336</v>
      </c>
      <c r="C1082" s="65" t="s">
        <v>4443</v>
      </c>
      <c r="D1082" s="66">
        <v>3</v>
      </c>
      <c r="E1082" s="67"/>
      <c r="F1082" s="68">
        <v>40</v>
      </c>
      <c r="G1082" s="65"/>
      <c r="H1082" s="69"/>
      <c r="I1082" s="70"/>
      <c r="J1082" s="70"/>
      <c r="K1082" s="34" t="s">
        <v>65</v>
      </c>
      <c r="L1082" s="77">
        <v>1082</v>
      </c>
      <c r="M1082" s="77"/>
      <c r="N1082" s="72"/>
      <c r="O1082" s="79" t="s">
        <v>610</v>
      </c>
      <c r="P1082" s="79">
        <v>1</v>
      </c>
      <c r="Q1082" s="78" t="str">
        <f>REPLACE(INDEX(GroupVertices[Group],MATCH(Edges[[#This Row],[Vertex 1]],GroupVertices[Vertex],0)),1,1,"")</f>
        <v>nlineCEUCredit</v>
      </c>
      <c r="R1082" s="78" t="str">
        <f>REPLACE(INDEX(GroupVertices[Group],MATCH(Edges[[#This Row],[Vertex 2]],GroupVertices[Vertex],0)),1,1,"")</f>
        <v>nlineCEUCredit</v>
      </c>
    </row>
    <row r="1083" spans="1:18" ht="15">
      <c r="A1083" s="64" t="s">
        <v>210</v>
      </c>
      <c r="B1083" s="64" t="s">
        <v>334</v>
      </c>
      <c r="C1083" s="65" t="s">
        <v>4443</v>
      </c>
      <c r="D1083" s="66">
        <v>3</v>
      </c>
      <c r="E1083" s="67"/>
      <c r="F1083" s="68">
        <v>40</v>
      </c>
      <c r="G1083" s="65"/>
      <c r="H1083" s="69"/>
      <c r="I1083" s="70"/>
      <c r="J1083" s="70"/>
      <c r="K1083" s="34" t="s">
        <v>65</v>
      </c>
      <c r="L1083" s="77">
        <v>1083</v>
      </c>
      <c r="M1083" s="77"/>
      <c r="N1083" s="72"/>
      <c r="O1083" s="79" t="s">
        <v>610</v>
      </c>
      <c r="P1083" s="79">
        <v>1</v>
      </c>
      <c r="Q1083" s="78" t="str">
        <f>REPLACE(INDEX(GroupVertices[Group],MATCH(Edges[[#This Row],[Vertex 1]],GroupVertices[Vertex],0)),1,1,"")</f>
        <v>nlineCEUCredit</v>
      </c>
      <c r="R1083" s="78" t="str">
        <f>REPLACE(INDEX(GroupVertices[Group],MATCH(Edges[[#This Row],[Vertex 2]],GroupVertices[Vertex],0)),1,1,"")</f>
        <v>nlineCEUCredit</v>
      </c>
    </row>
    <row r="1084" spans="1:18" ht="15">
      <c r="A1084" s="64" t="s">
        <v>210</v>
      </c>
      <c r="B1084" s="64" t="s">
        <v>335</v>
      </c>
      <c r="C1084" s="65" t="s">
        <v>4443</v>
      </c>
      <c r="D1084" s="66">
        <v>3</v>
      </c>
      <c r="E1084" s="67"/>
      <c r="F1084" s="68">
        <v>40</v>
      </c>
      <c r="G1084" s="65"/>
      <c r="H1084" s="69"/>
      <c r="I1084" s="70"/>
      <c r="J1084" s="70"/>
      <c r="K1084" s="34" t="s">
        <v>65</v>
      </c>
      <c r="L1084" s="77">
        <v>1084</v>
      </c>
      <c r="M1084" s="77"/>
      <c r="N1084" s="72"/>
      <c r="O1084" s="79" t="s">
        <v>610</v>
      </c>
      <c r="P1084" s="79">
        <v>1</v>
      </c>
      <c r="Q1084" s="78" t="str">
        <f>REPLACE(INDEX(GroupVertices[Group],MATCH(Edges[[#This Row],[Vertex 1]],GroupVertices[Vertex],0)),1,1,"")</f>
        <v>nlineCEUCredit</v>
      </c>
      <c r="R1084" s="78" t="str">
        <f>REPLACE(INDEX(GroupVertices[Group],MATCH(Edges[[#This Row],[Vertex 2]],GroupVertices[Vertex],0)),1,1,"")</f>
        <v>nlineCEUCredit</v>
      </c>
    </row>
    <row r="1085" spans="1:18" ht="15">
      <c r="A1085" s="64" t="s">
        <v>210</v>
      </c>
      <c r="B1085" s="64" t="s">
        <v>333</v>
      </c>
      <c r="C1085" s="65" t="s">
        <v>4443</v>
      </c>
      <c r="D1085" s="66">
        <v>3</v>
      </c>
      <c r="E1085" s="67"/>
      <c r="F1085" s="68">
        <v>40</v>
      </c>
      <c r="G1085" s="65"/>
      <c r="H1085" s="69"/>
      <c r="I1085" s="70"/>
      <c r="J1085" s="70"/>
      <c r="K1085" s="34" t="s">
        <v>65</v>
      </c>
      <c r="L1085" s="77">
        <v>1085</v>
      </c>
      <c r="M1085" s="77"/>
      <c r="N1085" s="72"/>
      <c r="O1085" s="79" t="s">
        <v>610</v>
      </c>
      <c r="P1085" s="79">
        <v>1</v>
      </c>
      <c r="Q1085" s="78" t="str">
        <f>REPLACE(INDEX(GroupVertices[Group],MATCH(Edges[[#This Row],[Vertex 1]],GroupVertices[Vertex],0)),1,1,"")</f>
        <v>nlineCEUCredit</v>
      </c>
      <c r="R1085" s="78" t="str">
        <f>REPLACE(INDEX(GroupVertices[Group],MATCH(Edges[[#This Row],[Vertex 2]],GroupVertices[Vertex],0)),1,1,"")</f>
        <v>nlineCEUCredit</v>
      </c>
    </row>
    <row r="1086" spans="1:18" ht="15">
      <c r="A1086" s="64" t="s">
        <v>210</v>
      </c>
      <c r="B1086" s="64" t="s">
        <v>337</v>
      </c>
      <c r="C1086" s="65" t="s">
        <v>4443</v>
      </c>
      <c r="D1086" s="66">
        <v>3</v>
      </c>
      <c r="E1086" s="67"/>
      <c r="F1086" s="68">
        <v>40</v>
      </c>
      <c r="G1086" s="65"/>
      <c r="H1086" s="69"/>
      <c r="I1086" s="70"/>
      <c r="J1086" s="70"/>
      <c r="K1086" s="34" t="s">
        <v>65</v>
      </c>
      <c r="L1086" s="77">
        <v>1086</v>
      </c>
      <c r="M1086" s="77"/>
      <c r="N1086" s="72"/>
      <c r="O1086" s="79" t="s">
        <v>610</v>
      </c>
      <c r="P1086" s="79">
        <v>1</v>
      </c>
      <c r="Q1086" s="78" t="str">
        <f>REPLACE(INDEX(GroupVertices[Group],MATCH(Edges[[#This Row],[Vertex 1]],GroupVertices[Vertex],0)),1,1,"")</f>
        <v>nlineCEUCredit</v>
      </c>
      <c r="R1086" s="78" t="str">
        <f>REPLACE(INDEX(GroupVertices[Group],MATCH(Edges[[#This Row],[Vertex 2]],GroupVertices[Vertex],0)),1,1,"")</f>
        <v>nlineCEUCredit</v>
      </c>
    </row>
    <row r="1087" spans="1:18" ht="15">
      <c r="A1087" s="64" t="s">
        <v>210</v>
      </c>
      <c r="B1087" s="64" t="s">
        <v>348</v>
      </c>
      <c r="C1087" s="65" t="s">
        <v>4443</v>
      </c>
      <c r="D1087" s="66">
        <v>3</v>
      </c>
      <c r="E1087" s="67"/>
      <c r="F1087" s="68">
        <v>40</v>
      </c>
      <c r="G1087" s="65"/>
      <c r="H1087" s="69"/>
      <c r="I1087" s="70"/>
      <c r="J1087" s="70"/>
      <c r="K1087" s="34" t="s">
        <v>65</v>
      </c>
      <c r="L1087" s="77">
        <v>1087</v>
      </c>
      <c r="M1087" s="77"/>
      <c r="N1087" s="72"/>
      <c r="O1087" s="79" t="s">
        <v>610</v>
      </c>
      <c r="P1087" s="79">
        <v>1</v>
      </c>
      <c r="Q1087" s="78" t="str">
        <f>REPLACE(INDEX(GroupVertices[Group],MATCH(Edges[[#This Row],[Vertex 1]],GroupVertices[Vertex],0)),1,1,"")</f>
        <v>nlineCEUCredit</v>
      </c>
      <c r="R1087" s="78" t="str">
        <f>REPLACE(INDEX(GroupVertices[Group],MATCH(Edges[[#This Row],[Vertex 2]],GroupVertices[Vertex],0)),1,1,"")</f>
        <v>nlineCEUCredit</v>
      </c>
    </row>
    <row r="1088" spans="1:18" ht="15">
      <c r="A1088" s="64" t="s">
        <v>210</v>
      </c>
      <c r="B1088" s="64" t="s">
        <v>345</v>
      </c>
      <c r="C1088" s="65" t="s">
        <v>4443</v>
      </c>
      <c r="D1088" s="66">
        <v>3</v>
      </c>
      <c r="E1088" s="67"/>
      <c r="F1088" s="68">
        <v>40</v>
      </c>
      <c r="G1088" s="65"/>
      <c r="H1088" s="69"/>
      <c r="I1088" s="70"/>
      <c r="J1088" s="70"/>
      <c r="K1088" s="34" t="s">
        <v>65</v>
      </c>
      <c r="L1088" s="77">
        <v>1088</v>
      </c>
      <c r="M1088" s="77"/>
      <c r="N1088" s="72"/>
      <c r="O1088" s="79" t="s">
        <v>610</v>
      </c>
      <c r="P1088" s="79">
        <v>1</v>
      </c>
      <c r="Q1088" s="78" t="str">
        <f>REPLACE(INDEX(GroupVertices[Group],MATCH(Edges[[#This Row],[Vertex 1]],GroupVertices[Vertex],0)),1,1,"")</f>
        <v>nlineCEUCredit</v>
      </c>
      <c r="R1088" s="78" t="str">
        <f>REPLACE(INDEX(GroupVertices[Group],MATCH(Edges[[#This Row],[Vertex 2]],GroupVertices[Vertex],0)),1,1,"")</f>
        <v>nlineCEUCredit</v>
      </c>
    </row>
    <row r="1089" spans="1:18" ht="15">
      <c r="A1089" s="64" t="s">
        <v>210</v>
      </c>
      <c r="B1089" s="64" t="s">
        <v>331</v>
      </c>
      <c r="C1089" s="65" t="s">
        <v>4443</v>
      </c>
      <c r="D1089" s="66">
        <v>3</v>
      </c>
      <c r="E1089" s="67"/>
      <c r="F1089" s="68">
        <v>40</v>
      </c>
      <c r="G1089" s="65"/>
      <c r="H1089" s="69"/>
      <c r="I1089" s="70"/>
      <c r="J1089" s="70"/>
      <c r="K1089" s="34" t="s">
        <v>65</v>
      </c>
      <c r="L1089" s="77">
        <v>1089</v>
      </c>
      <c r="M1089" s="77"/>
      <c r="N1089" s="72"/>
      <c r="O1089" s="79" t="s">
        <v>610</v>
      </c>
      <c r="P1089" s="79">
        <v>1</v>
      </c>
      <c r="Q1089" s="78" t="str">
        <f>REPLACE(INDEX(GroupVertices[Group],MATCH(Edges[[#This Row],[Vertex 1]],GroupVertices[Vertex],0)),1,1,"")</f>
        <v>nlineCEUCredit</v>
      </c>
      <c r="R1089" s="78" t="str">
        <f>REPLACE(INDEX(GroupVertices[Group],MATCH(Edges[[#This Row],[Vertex 2]],GroupVertices[Vertex],0)),1,1,"")</f>
        <v>nlineCEUCredit</v>
      </c>
    </row>
    <row r="1090" spans="1:18" ht="15">
      <c r="A1090" s="64" t="s">
        <v>210</v>
      </c>
      <c r="B1090" s="64" t="s">
        <v>339</v>
      </c>
      <c r="C1090" s="65" t="s">
        <v>4443</v>
      </c>
      <c r="D1090" s="66">
        <v>3</v>
      </c>
      <c r="E1090" s="67"/>
      <c r="F1090" s="68">
        <v>40</v>
      </c>
      <c r="G1090" s="65"/>
      <c r="H1090" s="69"/>
      <c r="I1090" s="70"/>
      <c r="J1090" s="70"/>
      <c r="K1090" s="34" t="s">
        <v>65</v>
      </c>
      <c r="L1090" s="77">
        <v>1090</v>
      </c>
      <c r="M1090" s="77"/>
      <c r="N1090" s="72"/>
      <c r="O1090" s="79" t="s">
        <v>610</v>
      </c>
      <c r="P1090" s="79">
        <v>1</v>
      </c>
      <c r="Q1090" s="78" t="str">
        <f>REPLACE(INDEX(GroupVertices[Group],MATCH(Edges[[#This Row],[Vertex 1]],GroupVertices[Vertex],0)),1,1,"")</f>
        <v>nlineCEUCredit</v>
      </c>
      <c r="R1090" s="78" t="str">
        <f>REPLACE(INDEX(GroupVertices[Group],MATCH(Edges[[#This Row],[Vertex 2]],GroupVertices[Vertex],0)),1,1,"")</f>
        <v>nlineCEUCredit</v>
      </c>
    </row>
    <row r="1091" spans="1:18" ht="15">
      <c r="A1091" s="64" t="s">
        <v>210</v>
      </c>
      <c r="B1091" s="64" t="s">
        <v>340</v>
      </c>
      <c r="C1091" s="65" t="s">
        <v>4443</v>
      </c>
      <c r="D1091" s="66">
        <v>3</v>
      </c>
      <c r="E1091" s="67"/>
      <c r="F1091" s="68">
        <v>40</v>
      </c>
      <c r="G1091" s="65"/>
      <c r="H1091" s="69"/>
      <c r="I1091" s="70"/>
      <c r="J1091" s="70"/>
      <c r="K1091" s="34" t="s">
        <v>65</v>
      </c>
      <c r="L1091" s="77">
        <v>1091</v>
      </c>
      <c r="M1091" s="77"/>
      <c r="N1091" s="72"/>
      <c r="O1091" s="79" t="s">
        <v>610</v>
      </c>
      <c r="P1091" s="79">
        <v>1</v>
      </c>
      <c r="Q1091" s="78" t="str">
        <f>REPLACE(INDEX(GroupVertices[Group],MATCH(Edges[[#This Row],[Vertex 1]],GroupVertices[Vertex],0)),1,1,"")</f>
        <v>nlineCEUCredit</v>
      </c>
      <c r="R1091" s="78" t="str">
        <f>REPLACE(INDEX(GroupVertices[Group],MATCH(Edges[[#This Row],[Vertex 2]],GroupVertices[Vertex],0)),1,1,"")</f>
        <v>nlineCEUCredit</v>
      </c>
    </row>
    <row r="1092" spans="1:18" ht="15">
      <c r="A1092" s="64" t="s">
        <v>210</v>
      </c>
      <c r="B1092" s="64" t="s">
        <v>341</v>
      </c>
      <c r="C1092" s="65" t="s">
        <v>4443</v>
      </c>
      <c r="D1092" s="66">
        <v>3</v>
      </c>
      <c r="E1092" s="67"/>
      <c r="F1092" s="68">
        <v>40</v>
      </c>
      <c r="G1092" s="65"/>
      <c r="H1092" s="69"/>
      <c r="I1092" s="70"/>
      <c r="J1092" s="70"/>
      <c r="K1092" s="34" t="s">
        <v>65</v>
      </c>
      <c r="L1092" s="77">
        <v>1092</v>
      </c>
      <c r="M1092" s="77"/>
      <c r="N1092" s="72"/>
      <c r="O1092" s="79" t="s">
        <v>610</v>
      </c>
      <c r="P1092" s="79">
        <v>1</v>
      </c>
      <c r="Q1092" s="78" t="str">
        <f>REPLACE(INDEX(GroupVertices[Group],MATCH(Edges[[#This Row],[Vertex 1]],GroupVertices[Vertex],0)),1,1,"")</f>
        <v>nlineCEUCredit</v>
      </c>
      <c r="R1092" s="78" t="str">
        <f>REPLACE(INDEX(GroupVertices[Group],MATCH(Edges[[#This Row],[Vertex 2]],GroupVertices[Vertex],0)),1,1,"")</f>
        <v>nlineCEUCredit</v>
      </c>
    </row>
    <row r="1093" spans="1:18" ht="15">
      <c r="A1093" s="64" t="s">
        <v>232</v>
      </c>
      <c r="B1093" s="64" t="s">
        <v>2285</v>
      </c>
      <c r="C1093" s="65" t="s">
        <v>4443</v>
      </c>
      <c r="D1093" s="66">
        <v>3</v>
      </c>
      <c r="E1093" s="67"/>
      <c r="F1093" s="68">
        <v>40</v>
      </c>
      <c r="G1093" s="65"/>
      <c r="H1093" s="69"/>
      <c r="I1093" s="70"/>
      <c r="J1093" s="70"/>
      <c r="K1093" s="34" t="s">
        <v>65</v>
      </c>
      <c r="L1093" s="77">
        <v>1093</v>
      </c>
      <c r="M1093" s="77"/>
      <c r="N1093" s="72"/>
      <c r="O1093" s="79" t="s">
        <v>610</v>
      </c>
      <c r="P1093" s="79">
        <v>1</v>
      </c>
      <c r="Q1093" s="78" t="str">
        <f>REPLACE(INDEX(GroupVertices[Group],MATCH(Edges[[#This Row],[Vertex 1]],GroupVertices[Vertex],0)),1,1,"")</f>
        <v>ainford Kofi Amponsah</v>
      </c>
      <c r="R1093" s="78" t="str">
        <f>REPLACE(INDEX(GroupVertices[Group],MATCH(Edges[[#This Row],[Vertex 2]],GroupVertices[Vertex],0)),1,1,"")</f>
        <v>avid dindi</v>
      </c>
    </row>
    <row r="1094" spans="1:18" ht="15">
      <c r="A1094" s="64" t="s">
        <v>232</v>
      </c>
      <c r="B1094" s="64" t="s">
        <v>470</v>
      </c>
      <c r="C1094" s="65" t="s">
        <v>4443</v>
      </c>
      <c r="D1094" s="66">
        <v>3</v>
      </c>
      <c r="E1094" s="67"/>
      <c r="F1094" s="68">
        <v>40</v>
      </c>
      <c r="G1094" s="65"/>
      <c r="H1094" s="69"/>
      <c r="I1094" s="70"/>
      <c r="J1094" s="70"/>
      <c r="K1094" s="34" t="s">
        <v>65</v>
      </c>
      <c r="L1094" s="77">
        <v>1094</v>
      </c>
      <c r="M1094" s="77"/>
      <c r="N1094" s="72"/>
      <c r="O1094" s="79" t="s">
        <v>610</v>
      </c>
      <c r="P1094" s="79">
        <v>1</v>
      </c>
      <c r="Q1094" s="78" t="str">
        <f>REPLACE(INDEX(GroupVertices[Group],MATCH(Edges[[#This Row],[Vertex 1]],GroupVertices[Vertex],0)),1,1,"")</f>
        <v>ainford Kofi Amponsah</v>
      </c>
      <c r="R1094" s="78" t="str">
        <f>REPLACE(INDEX(GroupVertices[Group],MATCH(Edges[[#This Row],[Vertex 2]],GroupVertices[Vertex],0)),1,1,"")</f>
        <v>uteLage - A guide to learner</v>
      </c>
    </row>
    <row r="1095" spans="1:18" ht="15">
      <c r="A1095" s="64" t="s">
        <v>232</v>
      </c>
      <c r="B1095" s="64" t="s">
        <v>2286</v>
      </c>
      <c r="C1095" s="65" t="s">
        <v>4443</v>
      </c>
      <c r="D1095" s="66">
        <v>3</v>
      </c>
      <c r="E1095" s="67"/>
      <c r="F1095" s="68">
        <v>40</v>
      </c>
      <c r="G1095" s="65"/>
      <c r="H1095" s="69"/>
      <c r="I1095" s="70"/>
      <c r="J1095" s="70"/>
      <c r="K1095" s="34" t="s">
        <v>65</v>
      </c>
      <c r="L1095" s="77">
        <v>1095</v>
      </c>
      <c r="M1095" s="77"/>
      <c r="N1095" s="72"/>
      <c r="O1095" s="79" t="s">
        <v>610</v>
      </c>
      <c r="P1095" s="79">
        <v>1</v>
      </c>
      <c r="Q1095" s="78" t="str">
        <f>REPLACE(INDEX(GroupVertices[Group],MATCH(Edges[[#This Row],[Vertex 1]],GroupVertices[Vertex],0)),1,1,"")</f>
        <v>ainford Kofi Amponsah</v>
      </c>
      <c r="R1095" s="78" t="str">
        <f>REPLACE(INDEX(GroupVertices[Group],MATCH(Edges[[#This Row],[Vertex 2]],GroupVertices[Vertex],0)),1,1,"")</f>
        <v>PEC ZW</v>
      </c>
    </row>
    <row r="1096" spans="1:18" ht="15">
      <c r="A1096" s="64" t="s">
        <v>232</v>
      </c>
      <c r="B1096" s="64" t="s">
        <v>471</v>
      </c>
      <c r="C1096" s="65" t="s">
        <v>4443</v>
      </c>
      <c r="D1096" s="66">
        <v>3</v>
      </c>
      <c r="E1096" s="67"/>
      <c r="F1096" s="68">
        <v>40</v>
      </c>
      <c r="G1096" s="65"/>
      <c r="H1096" s="69"/>
      <c r="I1096" s="70"/>
      <c r="J1096" s="70"/>
      <c r="K1096" s="34" t="s">
        <v>65</v>
      </c>
      <c r="L1096" s="77">
        <v>1096</v>
      </c>
      <c r="M1096" s="77"/>
      <c r="N1096" s="72"/>
      <c r="O1096" s="79" t="s">
        <v>610</v>
      </c>
      <c r="P1096" s="79">
        <v>1</v>
      </c>
      <c r="Q1096" s="78" t="str">
        <f>REPLACE(INDEX(GroupVertices[Group],MATCH(Edges[[#This Row],[Vertex 1]],GroupVertices[Vertex],0)),1,1,"")</f>
        <v>ainford Kofi Amponsah</v>
      </c>
      <c r="R1096" s="78" t="str">
        <f>REPLACE(INDEX(GroupVertices[Group],MATCH(Edges[[#This Row],[Vertex 2]],GroupVertices[Vertex],0)),1,1,"")</f>
        <v>entre for Business &amp; Economic Research - CBER</v>
      </c>
    </row>
    <row r="1097" spans="1:18" ht="15">
      <c r="A1097" s="64" t="s">
        <v>232</v>
      </c>
      <c r="B1097" s="64" t="s">
        <v>469</v>
      </c>
      <c r="C1097" s="65" t="s">
        <v>4443</v>
      </c>
      <c r="D1097" s="66">
        <v>3</v>
      </c>
      <c r="E1097" s="67"/>
      <c r="F1097" s="68">
        <v>40</v>
      </c>
      <c r="G1097" s="65"/>
      <c r="H1097" s="69"/>
      <c r="I1097" s="70"/>
      <c r="J1097" s="70"/>
      <c r="K1097" s="34" t="s">
        <v>65</v>
      </c>
      <c r="L1097" s="77">
        <v>1097</v>
      </c>
      <c r="M1097" s="77"/>
      <c r="N1097" s="72"/>
      <c r="O1097" s="79" t="s">
        <v>610</v>
      </c>
      <c r="P1097" s="79">
        <v>1</v>
      </c>
      <c r="Q1097" s="78" t="str">
        <f>REPLACE(INDEX(GroupVertices[Group],MATCH(Edges[[#This Row],[Vertex 1]],GroupVertices[Vertex],0)),1,1,"")</f>
        <v>ainford Kofi Amponsah</v>
      </c>
      <c r="R1097" s="78" t="str">
        <f>REPLACE(INDEX(GroupVertices[Group],MATCH(Edges[[#This Row],[Vertex 2]],GroupVertices[Vertex],0)),1,1,"")</f>
        <v>MTV LASUCOM</v>
      </c>
    </row>
    <row r="1098" spans="1:18" ht="15">
      <c r="A1098" s="64" t="s">
        <v>232</v>
      </c>
      <c r="B1098" s="64" t="s">
        <v>472</v>
      </c>
      <c r="C1098" s="65" t="s">
        <v>4443</v>
      </c>
      <c r="D1098" s="66">
        <v>3</v>
      </c>
      <c r="E1098" s="67"/>
      <c r="F1098" s="68">
        <v>40</v>
      </c>
      <c r="G1098" s="65"/>
      <c r="H1098" s="69"/>
      <c r="I1098" s="70"/>
      <c r="J1098" s="70"/>
      <c r="K1098" s="34" t="s">
        <v>65</v>
      </c>
      <c r="L1098" s="77">
        <v>1098</v>
      </c>
      <c r="M1098" s="77"/>
      <c r="N1098" s="72"/>
      <c r="O1098" s="79" t="s">
        <v>610</v>
      </c>
      <c r="P1098" s="79">
        <v>1</v>
      </c>
      <c r="Q1098" s="78" t="str">
        <f>REPLACE(INDEX(GroupVertices[Group],MATCH(Edges[[#This Row],[Vertex 1]],GroupVertices[Vertex],0)),1,1,"")</f>
        <v>ainford Kofi Amponsah</v>
      </c>
      <c r="R1098" s="78" t="str">
        <f>REPLACE(INDEX(GroupVertices[Group],MATCH(Edges[[#This Row],[Vertex 2]],GroupVertices[Vertex],0)),1,1,"")</f>
        <v>FROHUN Network</v>
      </c>
    </row>
    <row r="1099" spans="1:18" ht="15">
      <c r="A1099" s="64" t="s">
        <v>232</v>
      </c>
      <c r="B1099" s="64" t="s">
        <v>249</v>
      </c>
      <c r="C1099" s="65" t="s">
        <v>4443</v>
      </c>
      <c r="D1099" s="66">
        <v>3</v>
      </c>
      <c r="E1099" s="67"/>
      <c r="F1099" s="68">
        <v>40</v>
      </c>
      <c r="G1099" s="65"/>
      <c r="H1099" s="69"/>
      <c r="I1099" s="70"/>
      <c r="J1099" s="70"/>
      <c r="K1099" s="34" t="s">
        <v>65</v>
      </c>
      <c r="L1099" s="77">
        <v>1099</v>
      </c>
      <c r="M1099" s="77"/>
      <c r="N1099" s="72"/>
      <c r="O1099" s="79" t="s">
        <v>610</v>
      </c>
      <c r="P1099" s="79">
        <v>1</v>
      </c>
      <c r="Q1099" s="78" t="str">
        <f>REPLACE(INDEX(GroupVertices[Group],MATCH(Edges[[#This Row],[Vertex 1]],GroupVertices[Vertex],0)),1,1,"")</f>
        <v>ainford Kofi Amponsah</v>
      </c>
      <c r="R1099" s="78" t="str">
        <f>REPLACE(INDEX(GroupVertices[Group],MATCH(Edges[[#This Row],[Vertex 2]],GroupVertices[Vertex],0)),1,1,"")</f>
        <v>alika Andrews - ESPN</v>
      </c>
    </row>
    <row r="1100" spans="1:18" ht="15">
      <c r="A1100" s="64" t="s">
        <v>232</v>
      </c>
      <c r="B1100" s="64" t="s">
        <v>250</v>
      </c>
      <c r="C1100" s="65" t="s">
        <v>4443</v>
      </c>
      <c r="D1100" s="66">
        <v>3</v>
      </c>
      <c r="E1100" s="67"/>
      <c r="F1100" s="68">
        <v>40</v>
      </c>
      <c r="G1100" s="65"/>
      <c r="H1100" s="69"/>
      <c r="I1100" s="70"/>
      <c r="J1100" s="70"/>
      <c r="K1100" s="34" t="s">
        <v>65</v>
      </c>
      <c r="L1100" s="77">
        <v>1100</v>
      </c>
      <c r="M1100" s="77"/>
      <c r="N1100" s="72"/>
      <c r="O1100" s="79" t="s">
        <v>610</v>
      </c>
      <c r="P1100" s="79">
        <v>1</v>
      </c>
      <c r="Q1100" s="78" t="str">
        <f>REPLACE(INDEX(GroupVertices[Group],MATCH(Edges[[#This Row],[Vertex 1]],GroupVertices[Vertex],0)),1,1,"")</f>
        <v>ainford Kofi Amponsah</v>
      </c>
      <c r="R1100" s="78" t="str">
        <f>REPLACE(INDEX(GroupVertices[Group],MATCH(Edges[[#This Row],[Vertex 2]],GroupVertices[Vertex],0)),1,1,"")</f>
        <v>PR Music</v>
      </c>
    </row>
    <row r="1101" spans="1:18" ht="15">
      <c r="A1101" s="64" t="s">
        <v>232</v>
      </c>
      <c r="B1101" s="64" t="s">
        <v>251</v>
      </c>
      <c r="C1101" s="65" t="s">
        <v>4443</v>
      </c>
      <c r="D1101" s="66">
        <v>3</v>
      </c>
      <c r="E1101" s="67"/>
      <c r="F1101" s="68">
        <v>40</v>
      </c>
      <c r="G1101" s="65"/>
      <c r="H1101" s="69"/>
      <c r="I1101" s="70"/>
      <c r="J1101" s="70"/>
      <c r="K1101" s="34" t="s">
        <v>65</v>
      </c>
      <c r="L1101" s="77">
        <v>1101</v>
      </c>
      <c r="M1101" s="77"/>
      <c r="N1101" s="72"/>
      <c r="O1101" s="79" t="s">
        <v>610</v>
      </c>
      <c r="P1101" s="79">
        <v>1</v>
      </c>
      <c r="Q1101" s="78" t="str">
        <f>REPLACE(INDEX(GroupVertices[Group],MATCH(Edges[[#This Row],[Vertex 1]],GroupVertices[Vertex],0)),1,1,"")</f>
        <v>ainford Kofi Amponsah</v>
      </c>
      <c r="R1101" s="78" t="str">
        <f>REPLACE(INDEX(GroupVertices[Group],MATCH(Edges[[#This Row],[Vertex 2]],GroupVertices[Vertex],0)),1,1,"")</f>
        <v>host</v>
      </c>
    </row>
    <row r="1102" spans="1:18" ht="15">
      <c r="A1102" s="64" t="s">
        <v>232</v>
      </c>
      <c r="B1102" s="64" t="s">
        <v>252</v>
      </c>
      <c r="C1102" s="65" t="s">
        <v>4443</v>
      </c>
      <c r="D1102" s="66">
        <v>3</v>
      </c>
      <c r="E1102" s="67"/>
      <c r="F1102" s="68">
        <v>40</v>
      </c>
      <c r="G1102" s="65"/>
      <c r="H1102" s="69"/>
      <c r="I1102" s="70"/>
      <c r="J1102" s="70"/>
      <c r="K1102" s="34" t="s">
        <v>65</v>
      </c>
      <c r="L1102" s="77">
        <v>1102</v>
      </c>
      <c r="M1102" s="77"/>
      <c r="N1102" s="72"/>
      <c r="O1102" s="79" t="s">
        <v>610</v>
      </c>
      <c r="P1102" s="79">
        <v>1</v>
      </c>
      <c r="Q1102" s="78" t="str">
        <f>REPLACE(INDEX(GroupVertices[Group],MATCH(Edges[[#This Row],[Vertex 1]],GroupVertices[Vertex],0)),1,1,"")</f>
        <v>ainford Kofi Amponsah</v>
      </c>
      <c r="R1102" s="78" t="str">
        <f>REPLACE(INDEX(GroupVertices[Group],MATCH(Edges[[#This Row],[Vertex 2]],GroupVertices[Vertex],0)),1,1,"")</f>
        <v>G)I-DLE (여자)아이들 (Official YouTube Channel)</v>
      </c>
    </row>
    <row r="1103" spans="1:18" ht="15">
      <c r="A1103" s="64" t="s">
        <v>232</v>
      </c>
      <c r="B1103" s="64" t="s">
        <v>253</v>
      </c>
      <c r="C1103" s="65" t="s">
        <v>4443</v>
      </c>
      <c r="D1103" s="66">
        <v>3</v>
      </c>
      <c r="E1103" s="67"/>
      <c r="F1103" s="68">
        <v>40</v>
      </c>
      <c r="G1103" s="65"/>
      <c r="H1103" s="69"/>
      <c r="I1103" s="70"/>
      <c r="J1103" s="70"/>
      <c r="K1103" s="34" t="s">
        <v>65</v>
      </c>
      <c r="L1103" s="77">
        <v>1103</v>
      </c>
      <c r="M1103" s="77"/>
      <c r="N1103" s="72"/>
      <c r="O1103" s="79" t="s">
        <v>610</v>
      </c>
      <c r="P1103" s="79">
        <v>1</v>
      </c>
      <c r="Q1103" s="78" t="str">
        <f>REPLACE(INDEX(GroupVertices[Group],MATCH(Edges[[#This Row],[Vertex 1]],GroupVertices[Vertex],0)),1,1,"")</f>
        <v>ainford Kofi Amponsah</v>
      </c>
      <c r="R1103" s="78" t="str">
        <f>REPLACE(INDEX(GroupVertices[Group],MATCH(Edges[[#This Row],[Vertex 2]],GroupVertices[Vertex],0)),1,1,"")</f>
        <v>etflix</v>
      </c>
    </row>
    <row r="1104" spans="1:18" ht="15">
      <c r="A1104" s="64" t="s">
        <v>232</v>
      </c>
      <c r="B1104" s="64" t="s">
        <v>254</v>
      </c>
      <c r="C1104" s="65" t="s">
        <v>4443</v>
      </c>
      <c r="D1104" s="66">
        <v>3</v>
      </c>
      <c r="E1104" s="67"/>
      <c r="F1104" s="68">
        <v>40</v>
      </c>
      <c r="G1104" s="65"/>
      <c r="H1104" s="69"/>
      <c r="I1104" s="70"/>
      <c r="J1104" s="70"/>
      <c r="K1104" s="34" t="s">
        <v>65</v>
      </c>
      <c r="L1104" s="77">
        <v>1104</v>
      </c>
      <c r="M1104" s="77"/>
      <c r="N1104" s="72"/>
      <c r="O1104" s="79" t="s">
        <v>610</v>
      </c>
      <c r="P1104" s="79">
        <v>1</v>
      </c>
      <c r="Q1104" s="78" t="str">
        <f>REPLACE(INDEX(GroupVertices[Group],MATCH(Edges[[#This Row],[Vertex 1]],GroupVertices[Vertex],0)),1,1,"")</f>
        <v>ainford Kofi Amponsah</v>
      </c>
      <c r="R1104" s="78" t="str">
        <f>REPLACE(INDEX(GroupVertices[Group],MATCH(Edges[[#This Row],[Vertex 2]],GroupVertices[Vertex],0)),1,1,"")</f>
        <v>lash of Clans</v>
      </c>
    </row>
    <row r="1105" spans="1:18" ht="15">
      <c r="A1105" s="64" t="s">
        <v>232</v>
      </c>
      <c r="B1105" s="64" t="s">
        <v>255</v>
      </c>
      <c r="C1105" s="65" t="s">
        <v>4443</v>
      </c>
      <c r="D1105" s="66">
        <v>3</v>
      </c>
      <c r="E1105" s="67"/>
      <c r="F1105" s="68">
        <v>40</v>
      </c>
      <c r="G1105" s="65"/>
      <c r="H1105" s="69"/>
      <c r="I1105" s="70"/>
      <c r="J1105" s="70"/>
      <c r="K1105" s="34" t="s">
        <v>65</v>
      </c>
      <c r="L1105" s="77">
        <v>1105</v>
      </c>
      <c r="M1105" s="77"/>
      <c r="N1105" s="72"/>
      <c r="O1105" s="79" t="s">
        <v>610</v>
      </c>
      <c r="P1105" s="79">
        <v>1</v>
      </c>
      <c r="Q1105" s="78" t="str">
        <f>REPLACE(INDEX(GroupVertices[Group],MATCH(Edges[[#This Row],[Vertex 1]],GroupVertices[Vertex],0)),1,1,"")</f>
        <v>ainford Kofi Amponsah</v>
      </c>
      <c r="R1105" s="78" t="str">
        <f>REPLACE(INDEX(GroupVertices[Group],MATCH(Edges[[#This Row],[Vertex 2]],GroupVertices[Vertex],0)),1,1,"")</f>
        <v>et's Game It Out</v>
      </c>
    </row>
    <row r="1106" spans="1:18" ht="15">
      <c r="A1106" s="64" t="s">
        <v>232</v>
      </c>
      <c r="B1106" s="64" t="s">
        <v>256</v>
      </c>
      <c r="C1106" s="65" t="s">
        <v>4443</v>
      </c>
      <c r="D1106" s="66">
        <v>3</v>
      </c>
      <c r="E1106" s="67"/>
      <c r="F1106" s="68">
        <v>40</v>
      </c>
      <c r="G1106" s="65"/>
      <c r="H1106" s="69"/>
      <c r="I1106" s="70"/>
      <c r="J1106" s="70"/>
      <c r="K1106" s="34" t="s">
        <v>65</v>
      </c>
      <c r="L1106" s="77">
        <v>1106</v>
      </c>
      <c r="M1106" s="77"/>
      <c r="N1106" s="72"/>
      <c r="O1106" s="79" t="s">
        <v>610</v>
      </c>
      <c r="P1106" s="79">
        <v>1</v>
      </c>
      <c r="Q1106" s="78" t="str">
        <f>REPLACE(INDEX(GroupVertices[Group],MATCH(Edges[[#This Row],[Vertex 1]],GroupVertices[Vertex],0)),1,1,"")</f>
        <v>ainford Kofi Amponsah</v>
      </c>
      <c r="R1106" s="78" t="str">
        <f>REPLACE(INDEX(GroupVertices[Group],MATCH(Edges[[#This Row],[Vertex 2]],GroupVertices[Vertex],0)),1,1,"")</f>
        <v>arques Brownlee</v>
      </c>
    </row>
    <row r="1107" spans="1:18" ht="15">
      <c r="A1107" s="64" t="s">
        <v>232</v>
      </c>
      <c r="B1107" s="64" t="s">
        <v>257</v>
      </c>
      <c r="C1107" s="65" t="s">
        <v>4443</v>
      </c>
      <c r="D1107" s="66">
        <v>3</v>
      </c>
      <c r="E1107" s="67"/>
      <c r="F1107" s="68">
        <v>40</v>
      </c>
      <c r="G1107" s="65"/>
      <c r="H1107" s="69"/>
      <c r="I1107" s="70"/>
      <c r="J1107" s="70"/>
      <c r="K1107" s="34" t="s">
        <v>65</v>
      </c>
      <c r="L1107" s="77">
        <v>1107</v>
      </c>
      <c r="M1107" s="77"/>
      <c r="N1107" s="72"/>
      <c r="O1107" s="79" t="s">
        <v>610</v>
      </c>
      <c r="P1107" s="79">
        <v>1</v>
      </c>
      <c r="Q1107" s="78" t="str">
        <f>REPLACE(INDEX(GroupVertices[Group],MATCH(Edges[[#This Row],[Vertex 1]],GroupVertices[Vertex],0)),1,1,"")</f>
        <v>ainford Kofi Amponsah</v>
      </c>
      <c r="R1107" s="78" t="str">
        <f>REPLACE(INDEX(GroupVertices[Group],MATCH(Edges[[#This Row],[Vertex 2]],GroupVertices[Vertex],0)),1,1,"")</f>
        <v>rchitectural Digest</v>
      </c>
    </row>
    <row r="1108" spans="1:18" ht="15">
      <c r="A1108" s="64" t="s">
        <v>232</v>
      </c>
      <c r="B1108" s="64" t="s">
        <v>258</v>
      </c>
      <c r="C1108" s="65" t="s">
        <v>4443</v>
      </c>
      <c r="D1108" s="66">
        <v>3</v>
      </c>
      <c r="E1108" s="67"/>
      <c r="F1108" s="68">
        <v>40</v>
      </c>
      <c r="G1108" s="65"/>
      <c r="H1108" s="69"/>
      <c r="I1108" s="70"/>
      <c r="J1108" s="70"/>
      <c r="K1108" s="34" t="s">
        <v>65</v>
      </c>
      <c r="L1108" s="77">
        <v>1108</v>
      </c>
      <c r="M1108" s="77"/>
      <c r="N1108" s="72"/>
      <c r="O1108" s="79" t="s">
        <v>610</v>
      </c>
      <c r="P1108" s="79">
        <v>1</v>
      </c>
      <c r="Q1108" s="78" t="str">
        <f>REPLACE(INDEX(GroupVertices[Group],MATCH(Edges[[#This Row],[Vertex 1]],GroupVertices[Vertex],0)),1,1,"")</f>
        <v>ainford Kofi Amponsah</v>
      </c>
      <c r="R1108" s="78" t="str">
        <f>REPLACE(INDEX(GroupVertices[Group],MATCH(Edges[[#This Row],[Vertex 2]],GroupVertices[Vertex],0)),1,1,"")</f>
        <v>alt Disney Studios</v>
      </c>
    </row>
    <row r="1109" spans="1:18" ht="15">
      <c r="A1109" s="64" t="s">
        <v>232</v>
      </c>
      <c r="B1109" s="64" t="s">
        <v>259</v>
      </c>
      <c r="C1109" s="65" t="s">
        <v>4443</v>
      </c>
      <c r="D1109" s="66">
        <v>3</v>
      </c>
      <c r="E1109" s="67"/>
      <c r="F1109" s="68">
        <v>40</v>
      </c>
      <c r="G1109" s="65"/>
      <c r="H1109" s="69"/>
      <c r="I1109" s="70"/>
      <c r="J1109" s="70"/>
      <c r="K1109" s="34" t="s">
        <v>65</v>
      </c>
      <c r="L1109" s="77">
        <v>1109</v>
      </c>
      <c r="M1109" s="77"/>
      <c r="N1109" s="72"/>
      <c r="O1109" s="79" t="s">
        <v>610</v>
      </c>
      <c r="P1109" s="79">
        <v>1</v>
      </c>
      <c r="Q1109" s="78" t="str">
        <f>REPLACE(INDEX(GroupVertices[Group],MATCH(Edges[[#This Row],[Vertex 1]],GroupVertices[Vertex],0)),1,1,"")</f>
        <v>ainford Kofi Amponsah</v>
      </c>
      <c r="R1109" s="78" t="str">
        <f>REPLACE(INDEX(GroupVertices[Group],MATCH(Edges[[#This Row],[Vertex 2]],GroupVertices[Vertex],0)),1,1,"")</f>
        <v>kip and Shannon: UNDISPUTED</v>
      </c>
    </row>
    <row r="1110" spans="1:18" ht="15">
      <c r="A1110" s="64" t="s">
        <v>232</v>
      </c>
      <c r="B1110" s="64" t="s">
        <v>260</v>
      </c>
      <c r="C1110" s="65" t="s">
        <v>4443</v>
      </c>
      <c r="D1110" s="66">
        <v>3</v>
      </c>
      <c r="E1110" s="67"/>
      <c r="F1110" s="68">
        <v>40</v>
      </c>
      <c r="G1110" s="65"/>
      <c r="H1110" s="69"/>
      <c r="I1110" s="70"/>
      <c r="J1110" s="70"/>
      <c r="K1110" s="34" t="s">
        <v>65</v>
      </c>
      <c r="L1110" s="77">
        <v>1110</v>
      </c>
      <c r="M1110" s="77"/>
      <c r="N1110" s="72"/>
      <c r="O1110" s="79" t="s">
        <v>610</v>
      </c>
      <c r="P1110" s="79">
        <v>1</v>
      </c>
      <c r="Q1110" s="78" t="str">
        <f>REPLACE(INDEX(GroupVertices[Group],MATCH(Edges[[#This Row],[Vertex 1]],GroupVertices[Vertex],0)),1,1,"")</f>
        <v>ainford Kofi Amponsah</v>
      </c>
      <c r="R1110" s="78" t="str">
        <f>REPLACE(INDEX(GroupVertices[Group],MATCH(Edges[[#This Row],[Vertex 2]],GroupVertices[Vertex],0)),1,1,"")</f>
        <v>hakira</v>
      </c>
    </row>
    <row r="1111" spans="1:18" ht="15">
      <c r="A1111" s="64" t="s">
        <v>226</v>
      </c>
      <c r="B1111" s="64" t="s">
        <v>2195</v>
      </c>
      <c r="C1111" s="65" t="s">
        <v>4443</v>
      </c>
      <c r="D1111" s="66">
        <v>3</v>
      </c>
      <c r="E1111" s="67"/>
      <c r="F1111" s="68">
        <v>40</v>
      </c>
      <c r="G1111" s="65"/>
      <c r="H1111" s="69"/>
      <c r="I1111" s="70"/>
      <c r="J1111" s="70"/>
      <c r="K1111" s="34" t="s">
        <v>65</v>
      </c>
      <c r="L1111" s="77">
        <v>1111</v>
      </c>
      <c r="M1111" s="77"/>
      <c r="N1111" s="72"/>
      <c r="O1111" s="79" t="s">
        <v>610</v>
      </c>
      <c r="P1111" s="79">
        <v>1</v>
      </c>
      <c r="Q1111" s="78" t="str">
        <f>REPLACE(INDEX(GroupVertices[Group],MATCH(Edges[[#This Row],[Vertex 1]],GroupVertices[Vertex],0)),1,1,"")</f>
        <v>edico Tannu</v>
      </c>
      <c r="R1111" s="78" t="str">
        <f>REPLACE(INDEX(GroupVertices[Group],MATCH(Edges[[#This Row],[Vertex 2]],GroupVertices[Vertex],0)),1,1,"")</f>
        <v>unx classes (GK)</v>
      </c>
    </row>
    <row r="1112" spans="1:18" ht="15">
      <c r="A1112" s="64" t="s">
        <v>226</v>
      </c>
      <c r="B1112" s="64" t="s">
        <v>2196</v>
      </c>
      <c r="C1112" s="65" t="s">
        <v>4443</v>
      </c>
      <c r="D1112" s="66">
        <v>3</v>
      </c>
      <c r="E1112" s="67"/>
      <c r="F1112" s="68">
        <v>40</v>
      </c>
      <c r="G1112" s="65"/>
      <c r="H1112" s="69"/>
      <c r="I1112" s="70"/>
      <c r="J1112" s="70"/>
      <c r="K1112" s="34" t="s">
        <v>65</v>
      </c>
      <c r="L1112" s="77">
        <v>1112</v>
      </c>
      <c r="M1112" s="77"/>
      <c r="N1112" s="72"/>
      <c r="O1112" s="79" t="s">
        <v>610</v>
      </c>
      <c r="P1112" s="79">
        <v>1</v>
      </c>
      <c r="Q1112" s="78" t="str">
        <f>REPLACE(INDEX(GroupVertices[Group],MATCH(Edges[[#This Row],[Vertex 1]],GroupVertices[Vertex],0)),1,1,"")</f>
        <v>edico Tannu</v>
      </c>
      <c r="R1112" s="78" t="str">
        <f>REPLACE(INDEX(GroupVertices[Group],MATCH(Edges[[#This Row],[Vertex 2]],GroupVertices[Vertex],0)),1,1,"")</f>
        <v>Z LEARNING</v>
      </c>
    </row>
    <row r="1113" spans="1:18" ht="15">
      <c r="A1113" s="64" t="s">
        <v>226</v>
      </c>
      <c r="B1113" s="64" t="s">
        <v>2197</v>
      </c>
      <c r="C1113" s="65" t="s">
        <v>4443</v>
      </c>
      <c r="D1113" s="66">
        <v>3</v>
      </c>
      <c r="E1113" s="67"/>
      <c r="F1113" s="68">
        <v>40</v>
      </c>
      <c r="G1113" s="65"/>
      <c r="H1113" s="69"/>
      <c r="I1113" s="70"/>
      <c r="J1113" s="70"/>
      <c r="K1113" s="34" t="s">
        <v>65</v>
      </c>
      <c r="L1113" s="77">
        <v>1113</v>
      </c>
      <c r="M1113" s="77"/>
      <c r="N1113" s="72"/>
      <c r="O1113" s="79" t="s">
        <v>610</v>
      </c>
      <c r="P1113" s="79">
        <v>1</v>
      </c>
      <c r="Q1113" s="78" t="str">
        <f>REPLACE(INDEX(GroupVertices[Group],MATCH(Edges[[#This Row],[Vertex 1]],GroupVertices[Vertex],0)),1,1,"")</f>
        <v>edico Tannu</v>
      </c>
      <c r="R1113" s="78" t="str">
        <f>REPLACE(INDEX(GroupVertices[Group],MATCH(Edges[[#This Row],[Vertex 2]],GroupVertices[Vertex],0)),1,1,"")</f>
        <v>he Housewife will Banker</v>
      </c>
    </row>
    <row r="1114" spans="1:18" ht="15">
      <c r="A1114" s="64" t="s">
        <v>226</v>
      </c>
      <c r="B1114" s="64" t="s">
        <v>2198</v>
      </c>
      <c r="C1114" s="65" t="s">
        <v>4443</v>
      </c>
      <c r="D1114" s="66">
        <v>3</v>
      </c>
      <c r="E1114" s="67"/>
      <c r="F1114" s="68">
        <v>40</v>
      </c>
      <c r="G1114" s="65"/>
      <c r="H1114" s="69"/>
      <c r="I1114" s="70"/>
      <c r="J1114" s="70"/>
      <c r="K1114" s="34" t="s">
        <v>65</v>
      </c>
      <c r="L1114" s="77">
        <v>1114</v>
      </c>
      <c r="M1114" s="77"/>
      <c r="N1114" s="72"/>
      <c r="O1114" s="79" t="s">
        <v>610</v>
      </c>
      <c r="P1114" s="79">
        <v>1</v>
      </c>
      <c r="Q1114" s="78" t="str">
        <f>REPLACE(INDEX(GroupVertices[Group],MATCH(Edges[[#This Row],[Vertex 1]],GroupVertices[Vertex],0)),1,1,"")</f>
        <v>edico Tannu</v>
      </c>
      <c r="R1114" s="78" t="str">
        <f>REPLACE(INDEX(GroupVertices[Group],MATCH(Edges[[#This Row],[Vertex 2]],GroupVertices[Vertex],0)),1,1,"")</f>
        <v>earner's location</v>
      </c>
    </row>
    <row r="1115" spans="1:18" ht="15">
      <c r="A1115" s="64" t="s">
        <v>226</v>
      </c>
      <c r="B1115" s="64" t="s">
        <v>2199</v>
      </c>
      <c r="C1115" s="65" t="s">
        <v>4443</v>
      </c>
      <c r="D1115" s="66">
        <v>3</v>
      </c>
      <c r="E1115" s="67"/>
      <c r="F1115" s="68">
        <v>40</v>
      </c>
      <c r="G1115" s="65"/>
      <c r="H1115" s="69"/>
      <c r="I1115" s="70"/>
      <c r="J1115" s="70"/>
      <c r="K1115" s="34" t="s">
        <v>65</v>
      </c>
      <c r="L1115" s="77">
        <v>1115</v>
      </c>
      <c r="M1115" s="77"/>
      <c r="N1115" s="72"/>
      <c r="O1115" s="79" t="s">
        <v>610</v>
      </c>
      <c r="P1115" s="79">
        <v>1</v>
      </c>
      <c r="Q1115" s="78" t="str">
        <f>REPLACE(INDEX(GroupVertices[Group],MATCH(Edges[[#This Row],[Vertex 1]],GroupVertices[Vertex],0)),1,1,"")</f>
        <v>edico Tannu</v>
      </c>
      <c r="R1115" s="78" t="str">
        <f>REPLACE(INDEX(GroupVertices[Group],MATCH(Edges[[#This Row],[Vertex 2]],GroupVertices[Vertex],0)),1,1,"")</f>
        <v>each with Maida</v>
      </c>
    </row>
    <row r="1116" spans="1:18" ht="15">
      <c r="A1116" s="64" t="s">
        <v>226</v>
      </c>
      <c r="B1116" s="64" t="s">
        <v>2200</v>
      </c>
      <c r="C1116" s="65" t="s">
        <v>4443</v>
      </c>
      <c r="D1116" s="66">
        <v>3</v>
      </c>
      <c r="E1116" s="67"/>
      <c r="F1116" s="68">
        <v>40</v>
      </c>
      <c r="G1116" s="65"/>
      <c r="H1116" s="69"/>
      <c r="I1116" s="70"/>
      <c r="J1116" s="70"/>
      <c r="K1116" s="34" t="s">
        <v>65</v>
      </c>
      <c r="L1116" s="77">
        <v>1116</v>
      </c>
      <c r="M1116" s="77"/>
      <c r="N1116" s="72"/>
      <c r="O1116" s="79" t="s">
        <v>610</v>
      </c>
      <c r="P1116" s="79">
        <v>1</v>
      </c>
      <c r="Q1116" s="78" t="str">
        <f>REPLACE(INDEX(GroupVertices[Group],MATCH(Edges[[#This Row],[Vertex 1]],GroupVertices[Vertex],0)),1,1,"")</f>
        <v>edico Tannu</v>
      </c>
      <c r="R1116" s="78" t="str">
        <f>REPLACE(INDEX(GroupVertices[Group],MATCH(Edges[[#This Row],[Vertex 2]],GroupVertices[Vertex],0)),1,1,"")</f>
        <v>iterature vidya</v>
      </c>
    </row>
    <row r="1117" spans="1:18" ht="15">
      <c r="A1117" s="64" t="s">
        <v>226</v>
      </c>
      <c r="B1117" s="64" t="s">
        <v>2201</v>
      </c>
      <c r="C1117" s="65" t="s">
        <v>4443</v>
      </c>
      <c r="D1117" s="66">
        <v>3</v>
      </c>
      <c r="E1117" s="67"/>
      <c r="F1117" s="68">
        <v>40</v>
      </c>
      <c r="G1117" s="65"/>
      <c r="H1117" s="69"/>
      <c r="I1117" s="70"/>
      <c r="J1117" s="70"/>
      <c r="K1117" s="34" t="s">
        <v>65</v>
      </c>
      <c r="L1117" s="77">
        <v>1117</v>
      </c>
      <c r="M1117" s="77"/>
      <c r="N1117" s="72"/>
      <c r="O1117" s="79" t="s">
        <v>610</v>
      </c>
      <c r="P1117" s="79">
        <v>1</v>
      </c>
      <c r="Q1117" s="78" t="str">
        <f>REPLACE(INDEX(GroupVertices[Group],MATCH(Edges[[#This Row],[Vertex 1]],GroupVertices[Vertex],0)),1,1,"")</f>
        <v>edico Tannu</v>
      </c>
      <c r="R1117" s="78" t="str">
        <f>REPLACE(INDEX(GroupVertices[Group],MATCH(Edges[[#This Row],[Vertex 2]],GroupVertices[Vertex],0)),1,1,"")</f>
        <v>PSC Studies With Pradeep</v>
      </c>
    </row>
    <row r="1118" spans="1:18" ht="15">
      <c r="A1118" s="64" t="s">
        <v>226</v>
      </c>
      <c r="B1118" s="64" t="s">
        <v>2202</v>
      </c>
      <c r="C1118" s="65" t="s">
        <v>4443</v>
      </c>
      <c r="D1118" s="66">
        <v>3</v>
      </c>
      <c r="E1118" s="67"/>
      <c r="F1118" s="68">
        <v>40</v>
      </c>
      <c r="G1118" s="65"/>
      <c r="H1118" s="69"/>
      <c r="I1118" s="70"/>
      <c r="J1118" s="70"/>
      <c r="K1118" s="34" t="s">
        <v>65</v>
      </c>
      <c r="L1118" s="77">
        <v>1118</v>
      </c>
      <c r="M1118" s="77"/>
      <c r="N1118" s="72"/>
      <c r="O1118" s="79" t="s">
        <v>610</v>
      </c>
      <c r="P1118" s="79">
        <v>1</v>
      </c>
      <c r="Q1118" s="78" t="str">
        <f>REPLACE(INDEX(GroupVertices[Group],MATCH(Edges[[#This Row],[Vertex 1]],GroupVertices[Vertex],0)),1,1,"")</f>
        <v>edico Tannu</v>
      </c>
      <c r="R1118" s="78" t="str">
        <f>REPLACE(INDEX(GroupVertices[Group],MATCH(Edges[[#This Row],[Vertex 2]],GroupVertices[Vertex],0)),1,1,"")</f>
        <v>riya's Teaching Dream</v>
      </c>
    </row>
    <row r="1119" spans="1:18" ht="15">
      <c r="A1119" s="64" t="s">
        <v>226</v>
      </c>
      <c r="B1119" s="64" t="s">
        <v>2203</v>
      </c>
      <c r="C1119" s="65" t="s">
        <v>4443</v>
      </c>
      <c r="D1119" s="66">
        <v>3</v>
      </c>
      <c r="E1119" s="67"/>
      <c r="F1119" s="68">
        <v>40</v>
      </c>
      <c r="G1119" s="65"/>
      <c r="H1119" s="69"/>
      <c r="I1119" s="70"/>
      <c r="J1119" s="70"/>
      <c r="K1119" s="34" t="s">
        <v>65</v>
      </c>
      <c r="L1119" s="77">
        <v>1119</v>
      </c>
      <c r="M1119" s="77"/>
      <c r="N1119" s="72"/>
      <c r="O1119" s="79" t="s">
        <v>610</v>
      </c>
      <c r="P1119" s="79">
        <v>1</v>
      </c>
      <c r="Q1119" s="78" t="str">
        <f>REPLACE(INDEX(GroupVertices[Group],MATCH(Edges[[#This Row],[Vertex 1]],GroupVertices[Vertex],0)),1,1,"")</f>
        <v>edico Tannu</v>
      </c>
      <c r="R1119" s="78" t="str">
        <f>REPLACE(INDEX(GroupVertices[Group],MATCH(Edges[[#This Row],[Vertex 2]],GroupVertices[Vertex],0)),1,1,"")</f>
        <v>riya's Teaching Dream</v>
      </c>
    </row>
    <row r="1120" spans="1:18" ht="15">
      <c r="A1120" s="64" t="s">
        <v>226</v>
      </c>
      <c r="B1120" s="64" t="s">
        <v>2204</v>
      </c>
      <c r="C1120" s="65" t="s">
        <v>4443</v>
      </c>
      <c r="D1120" s="66">
        <v>3</v>
      </c>
      <c r="E1120" s="67"/>
      <c r="F1120" s="68">
        <v>40</v>
      </c>
      <c r="G1120" s="65"/>
      <c r="H1120" s="69"/>
      <c r="I1120" s="70"/>
      <c r="J1120" s="70"/>
      <c r="K1120" s="34" t="s">
        <v>65</v>
      </c>
      <c r="L1120" s="77">
        <v>1120</v>
      </c>
      <c r="M1120" s="77"/>
      <c r="N1120" s="72"/>
      <c r="O1120" s="79" t="s">
        <v>610</v>
      </c>
      <c r="P1120" s="79">
        <v>1</v>
      </c>
      <c r="Q1120" s="78" t="str">
        <f>REPLACE(INDEX(GroupVertices[Group],MATCH(Edges[[#This Row],[Vertex 1]],GroupVertices[Vertex],0)),1,1,"")</f>
        <v>edico Tannu</v>
      </c>
      <c r="R1120" s="78" t="str">
        <f>REPLACE(INDEX(GroupVertices[Group],MATCH(Edges[[#This Row],[Vertex 2]],GroupVertices[Vertex],0)),1,1,"")</f>
        <v>et's Crack NTA-UGC NET</v>
      </c>
    </row>
    <row r="1121" spans="1:18" ht="15">
      <c r="A1121" s="64" t="s">
        <v>226</v>
      </c>
      <c r="B1121" s="64" t="s">
        <v>2205</v>
      </c>
      <c r="C1121" s="65" t="s">
        <v>4443</v>
      </c>
      <c r="D1121" s="66">
        <v>3</v>
      </c>
      <c r="E1121" s="67"/>
      <c r="F1121" s="68">
        <v>40</v>
      </c>
      <c r="G1121" s="65"/>
      <c r="H1121" s="69"/>
      <c r="I1121" s="70"/>
      <c r="J1121" s="70"/>
      <c r="K1121" s="34" t="s">
        <v>65</v>
      </c>
      <c r="L1121" s="77">
        <v>1121</v>
      </c>
      <c r="M1121" s="77"/>
      <c r="N1121" s="72"/>
      <c r="O1121" s="79" t="s">
        <v>610</v>
      </c>
      <c r="P1121" s="79">
        <v>1</v>
      </c>
      <c r="Q1121" s="78" t="str">
        <f>REPLACE(INDEX(GroupVertices[Group],MATCH(Edges[[#This Row],[Vertex 1]],GroupVertices[Vertex],0)),1,1,"")</f>
        <v>edico Tannu</v>
      </c>
      <c r="R1121" s="78" t="str">
        <f>REPLACE(INDEX(GroupVertices[Group],MATCH(Edges[[#This Row],[Vertex 2]],GroupVertices[Vertex],0)),1,1,"")</f>
        <v>ducators Plus</v>
      </c>
    </row>
    <row r="1122" spans="1:18" ht="15">
      <c r="A1122" s="64" t="s">
        <v>226</v>
      </c>
      <c r="B1122" s="64" t="s">
        <v>2206</v>
      </c>
      <c r="C1122" s="65" t="s">
        <v>4443</v>
      </c>
      <c r="D1122" s="66">
        <v>3</v>
      </c>
      <c r="E1122" s="67"/>
      <c r="F1122" s="68">
        <v>40</v>
      </c>
      <c r="G1122" s="65"/>
      <c r="H1122" s="69"/>
      <c r="I1122" s="70"/>
      <c r="J1122" s="70"/>
      <c r="K1122" s="34" t="s">
        <v>65</v>
      </c>
      <c r="L1122" s="77">
        <v>1122</v>
      </c>
      <c r="M1122" s="77"/>
      <c r="N1122" s="72"/>
      <c r="O1122" s="79" t="s">
        <v>610</v>
      </c>
      <c r="P1122" s="79">
        <v>1</v>
      </c>
      <c r="Q1122" s="78" t="str">
        <f>REPLACE(INDEX(GroupVertices[Group],MATCH(Edges[[#This Row],[Vertex 1]],GroupVertices[Vertex],0)),1,1,"")</f>
        <v>edico Tannu</v>
      </c>
      <c r="R1122" s="78" t="str">
        <f>REPLACE(INDEX(GroupVertices[Group],MATCH(Edges[[#This Row],[Vertex 2]],GroupVertices[Vertex],0)),1,1,"")</f>
        <v>ursing Notes</v>
      </c>
    </row>
    <row r="1123" spans="1:18" ht="15">
      <c r="A1123" s="64" t="s">
        <v>226</v>
      </c>
      <c r="B1123" s="64" t="s">
        <v>2207</v>
      </c>
      <c r="C1123" s="65" t="s">
        <v>4443</v>
      </c>
      <c r="D1123" s="66">
        <v>3</v>
      </c>
      <c r="E1123" s="67"/>
      <c r="F1123" s="68">
        <v>40</v>
      </c>
      <c r="G1123" s="65"/>
      <c r="H1123" s="69"/>
      <c r="I1123" s="70"/>
      <c r="J1123" s="70"/>
      <c r="K1123" s="34" t="s">
        <v>65</v>
      </c>
      <c r="L1123" s="77">
        <v>1123</v>
      </c>
      <c r="M1123" s="77"/>
      <c r="N1123" s="72"/>
      <c r="O1123" s="79" t="s">
        <v>610</v>
      </c>
      <c r="P1123" s="79">
        <v>1</v>
      </c>
      <c r="Q1123" s="78" t="str">
        <f>REPLACE(INDEX(GroupVertices[Group],MATCH(Edges[[#This Row],[Vertex 1]],GroupVertices[Vertex],0)),1,1,"")</f>
        <v>edico Tannu</v>
      </c>
      <c r="R1123" s="78" t="str">
        <f>REPLACE(INDEX(GroupVertices[Group],MATCH(Edges[[#This Row],[Vertex 2]],GroupVertices[Vertex],0)),1,1,"")</f>
        <v>ursing home education</v>
      </c>
    </row>
    <row r="1124" spans="1:18" ht="15">
      <c r="A1124" s="64" t="s">
        <v>226</v>
      </c>
      <c r="B1124" s="64" t="s">
        <v>2208</v>
      </c>
      <c r="C1124" s="65" t="s">
        <v>4443</v>
      </c>
      <c r="D1124" s="66">
        <v>3</v>
      </c>
      <c r="E1124" s="67"/>
      <c r="F1124" s="68">
        <v>40</v>
      </c>
      <c r="G1124" s="65"/>
      <c r="H1124" s="69"/>
      <c r="I1124" s="70"/>
      <c r="J1124" s="70"/>
      <c r="K1124" s="34" t="s">
        <v>65</v>
      </c>
      <c r="L1124" s="77">
        <v>1124</v>
      </c>
      <c r="M1124" s="77"/>
      <c r="N1124" s="72"/>
      <c r="O1124" s="79" t="s">
        <v>610</v>
      </c>
      <c r="P1124" s="79">
        <v>1</v>
      </c>
      <c r="Q1124" s="78" t="str">
        <f>REPLACE(INDEX(GroupVertices[Group],MATCH(Edges[[#This Row],[Vertex 1]],GroupVertices[Vertex],0)),1,1,"")</f>
        <v>edico Tannu</v>
      </c>
      <c r="R1124" s="78" t="str">
        <f>REPLACE(INDEX(GroupVertices[Group],MATCH(Edges[[#This Row],[Vertex 2]],GroupVertices[Vertex],0)),1,1,"")</f>
        <v>ursing home education</v>
      </c>
    </row>
    <row r="1125" spans="1:18" ht="15">
      <c r="A1125" s="64" t="s">
        <v>226</v>
      </c>
      <c r="B1125" s="64" t="s">
        <v>2209</v>
      </c>
      <c r="C1125" s="65" t="s">
        <v>4443</v>
      </c>
      <c r="D1125" s="66">
        <v>3</v>
      </c>
      <c r="E1125" s="67"/>
      <c r="F1125" s="68">
        <v>40</v>
      </c>
      <c r="G1125" s="65"/>
      <c r="H1125" s="69"/>
      <c r="I1125" s="70"/>
      <c r="J1125" s="70"/>
      <c r="K1125" s="34" t="s">
        <v>65</v>
      </c>
      <c r="L1125" s="77">
        <v>1125</v>
      </c>
      <c r="M1125" s="77"/>
      <c r="N1125" s="72"/>
      <c r="O1125" s="79" t="s">
        <v>610</v>
      </c>
      <c r="P1125" s="79">
        <v>1</v>
      </c>
      <c r="Q1125" s="78" t="str">
        <f>REPLACE(INDEX(GroupVertices[Group],MATCH(Edges[[#This Row],[Vertex 1]],GroupVertices[Vertex],0)),1,1,"")</f>
        <v>edico Tannu</v>
      </c>
      <c r="R1125" s="78" t="str">
        <f>REPLACE(INDEX(GroupVertices[Group],MATCH(Edges[[#This Row],[Vertex 2]],GroupVertices[Vertex],0)),1,1,"")</f>
        <v>tudy With Sharma Ji Ki Ladki_xD83E__xDD37_‍♀️</v>
      </c>
    </row>
    <row r="1126" spans="1:18" ht="15">
      <c r="A1126" s="64" t="s">
        <v>226</v>
      </c>
      <c r="B1126" s="64" t="s">
        <v>2210</v>
      </c>
      <c r="C1126" s="65" t="s">
        <v>4443</v>
      </c>
      <c r="D1126" s="66">
        <v>3</v>
      </c>
      <c r="E1126" s="67"/>
      <c r="F1126" s="68">
        <v>40</v>
      </c>
      <c r="G1126" s="65"/>
      <c r="H1126" s="69"/>
      <c r="I1126" s="70"/>
      <c r="J1126" s="70"/>
      <c r="K1126" s="34" t="s">
        <v>65</v>
      </c>
      <c r="L1126" s="77">
        <v>1126</v>
      </c>
      <c r="M1126" s="77"/>
      <c r="N1126" s="72"/>
      <c r="O1126" s="79" t="s">
        <v>610</v>
      </c>
      <c r="P1126" s="79">
        <v>1</v>
      </c>
      <c r="Q1126" s="78" t="str">
        <f>REPLACE(INDEX(GroupVertices[Group],MATCH(Edges[[#This Row],[Vertex 1]],GroupVertices[Vertex],0)),1,1,"")</f>
        <v>edico Tannu</v>
      </c>
      <c r="R1126" s="78" t="str">
        <f>REPLACE(INDEX(GroupVertices[Group],MATCH(Edges[[#This Row],[Vertex 2]],GroupVertices[Vertex],0)),1,1,"")</f>
        <v>ishwas social welfare society</v>
      </c>
    </row>
    <row r="1127" spans="1:18" ht="15">
      <c r="A1127" s="64" t="s">
        <v>226</v>
      </c>
      <c r="B1127" s="64" t="s">
        <v>2211</v>
      </c>
      <c r="C1127" s="65" t="s">
        <v>4443</v>
      </c>
      <c r="D1127" s="66">
        <v>3</v>
      </c>
      <c r="E1127" s="67"/>
      <c r="F1127" s="68">
        <v>40</v>
      </c>
      <c r="G1127" s="65"/>
      <c r="H1127" s="69"/>
      <c r="I1127" s="70"/>
      <c r="J1127" s="70"/>
      <c r="K1127" s="34" t="s">
        <v>65</v>
      </c>
      <c r="L1127" s="77">
        <v>1127</v>
      </c>
      <c r="M1127" s="77"/>
      <c r="N1127" s="72"/>
      <c r="O1127" s="79" t="s">
        <v>610</v>
      </c>
      <c r="P1127" s="79">
        <v>1</v>
      </c>
      <c r="Q1127" s="78" t="str">
        <f>REPLACE(INDEX(GroupVertices[Group],MATCH(Edges[[#This Row],[Vertex 1]],GroupVertices[Vertex],0)),1,1,"")</f>
        <v>edico Tannu</v>
      </c>
      <c r="R1127" s="78" t="str">
        <f>REPLACE(INDEX(GroupVertices[Group],MATCH(Edges[[#This Row],[Vertex 2]],GroupVertices[Vertex],0)),1,1,"")</f>
        <v>ll about Nursing !</v>
      </c>
    </row>
    <row r="1128" spans="1:18" ht="15">
      <c r="A1128" s="64" t="s">
        <v>226</v>
      </c>
      <c r="B1128" s="64" t="s">
        <v>2212</v>
      </c>
      <c r="C1128" s="65" t="s">
        <v>4443</v>
      </c>
      <c r="D1128" s="66">
        <v>3</v>
      </c>
      <c r="E1128" s="67"/>
      <c r="F1128" s="68">
        <v>40</v>
      </c>
      <c r="G1128" s="65"/>
      <c r="H1128" s="69"/>
      <c r="I1128" s="70"/>
      <c r="J1128" s="70"/>
      <c r="K1128" s="34" t="s">
        <v>65</v>
      </c>
      <c r="L1128" s="77">
        <v>1128</v>
      </c>
      <c r="M1128" s="77"/>
      <c r="N1128" s="72"/>
      <c r="O1128" s="79" t="s">
        <v>610</v>
      </c>
      <c r="P1128" s="79">
        <v>1</v>
      </c>
      <c r="Q1128" s="78" t="str">
        <f>REPLACE(INDEX(GroupVertices[Group],MATCH(Edges[[#This Row],[Vertex 1]],GroupVertices[Vertex],0)),1,1,"")</f>
        <v>edico Tannu</v>
      </c>
      <c r="R1128" s="78" t="str">
        <f>REPLACE(INDEX(GroupVertices[Group],MATCH(Edges[[#This Row],[Vertex 2]],GroupVertices[Vertex],0)),1,1,"")</f>
        <v>ayank Study Hub</v>
      </c>
    </row>
    <row r="1129" spans="1:18" ht="15">
      <c r="A1129" s="64" t="s">
        <v>226</v>
      </c>
      <c r="B1129" s="64" t="s">
        <v>318</v>
      </c>
      <c r="C1129" s="65" t="s">
        <v>4443</v>
      </c>
      <c r="D1129" s="66">
        <v>3</v>
      </c>
      <c r="E1129" s="67"/>
      <c r="F1129" s="68">
        <v>40</v>
      </c>
      <c r="G1129" s="65"/>
      <c r="H1129" s="69"/>
      <c r="I1129" s="70"/>
      <c r="J1129" s="70"/>
      <c r="K1129" s="34" t="s">
        <v>65</v>
      </c>
      <c r="L1129" s="77">
        <v>1129</v>
      </c>
      <c r="M1129" s="77"/>
      <c r="N1129" s="72"/>
      <c r="O1129" s="79" t="s">
        <v>610</v>
      </c>
      <c r="P1129" s="79">
        <v>1</v>
      </c>
      <c r="Q1129" s="78" t="str">
        <f>REPLACE(INDEX(GroupVertices[Group],MATCH(Edges[[#This Row],[Vertex 1]],GroupVertices[Vertex],0)),1,1,"")</f>
        <v>edico Tannu</v>
      </c>
      <c r="R1129" s="78" t="str">
        <f>REPLACE(INDEX(GroupVertices[Group],MATCH(Edges[[#This Row],[Vertex 2]],GroupVertices[Vertex],0)),1,1,"")</f>
        <v>edico Tannu</v>
      </c>
    </row>
    <row r="1130" spans="1:18" ht="15">
      <c r="A1130" s="64" t="s">
        <v>226</v>
      </c>
      <c r="B1130" s="64" t="s">
        <v>2213</v>
      </c>
      <c r="C1130" s="65" t="s">
        <v>4443</v>
      </c>
      <c r="D1130" s="66">
        <v>3</v>
      </c>
      <c r="E1130" s="67"/>
      <c r="F1130" s="68">
        <v>40</v>
      </c>
      <c r="G1130" s="65"/>
      <c r="H1130" s="69"/>
      <c r="I1130" s="70"/>
      <c r="J1130" s="70"/>
      <c r="K1130" s="34" t="s">
        <v>65</v>
      </c>
      <c r="L1130" s="77">
        <v>1130</v>
      </c>
      <c r="M1130" s="77"/>
      <c r="N1130" s="72"/>
      <c r="O1130" s="79" t="s">
        <v>610</v>
      </c>
      <c r="P1130" s="79">
        <v>1</v>
      </c>
      <c r="Q1130" s="78" t="str">
        <f>REPLACE(INDEX(GroupVertices[Group],MATCH(Edges[[#This Row],[Vertex 1]],GroupVertices[Vertex],0)),1,1,"")</f>
        <v>edico Tannu</v>
      </c>
      <c r="R1130" s="78" t="str">
        <f>REPLACE(INDEX(GroupVertices[Group],MATCH(Edges[[#This Row],[Vertex 2]],GroupVertices[Vertex],0)),1,1,"")</f>
        <v>edico Tannu</v>
      </c>
    </row>
    <row r="1131" spans="1:18" ht="15">
      <c r="A1131" s="64" t="s">
        <v>226</v>
      </c>
      <c r="B1131" s="64" t="s">
        <v>319</v>
      </c>
      <c r="C1131" s="65" t="s">
        <v>4443</v>
      </c>
      <c r="D1131" s="66">
        <v>3</v>
      </c>
      <c r="E1131" s="67"/>
      <c r="F1131" s="68">
        <v>40</v>
      </c>
      <c r="G1131" s="65"/>
      <c r="H1131" s="69"/>
      <c r="I1131" s="70"/>
      <c r="J1131" s="70"/>
      <c r="K1131" s="34" t="s">
        <v>65</v>
      </c>
      <c r="L1131" s="77">
        <v>1131</v>
      </c>
      <c r="M1131" s="77"/>
      <c r="N1131" s="72"/>
      <c r="O1131" s="79" t="s">
        <v>610</v>
      </c>
      <c r="P1131" s="79">
        <v>1</v>
      </c>
      <c r="Q1131" s="78" t="str">
        <f>REPLACE(INDEX(GroupVertices[Group],MATCH(Edges[[#This Row],[Vertex 1]],GroupVertices[Vertex],0)),1,1,"")</f>
        <v>edico Tannu</v>
      </c>
      <c r="R1131" s="78" t="str">
        <f>REPLACE(INDEX(GroupVertices[Group],MATCH(Edges[[#This Row],[Vertex 2]],GroupVertices[Vertex],0)),1,1,"")</f>
        <v>nline Nursing Classes</v>
      </c>
    </row>
    <row r="1132" spans="1:18" ht="15">
      <c r="A1132" s="64" t="s">
        <v>226</v>
      </c>
      <c r="B1132" s="64" t="s">
        <v>424</v>
      </c>
      <c r="C1132" s="65" t="s">
        <v>4443</v>
      </c>
      <c r="D1132" s="66">
        <v>3</v>
      </c>
      <c r="E1132" s="67"/>
      <c r="F1132" s="68">
        <v>40</v>
      </c>
      <c r="G1132" s="65"/>
      <c r="H1132" s="69"/>
      <c r="I1132" s="70"/>
      <c r="J1132" s="70"/>
      <c r="K1132" s="34" t="s">
        <v>65</v>
      </c>
      <c r="L1132" s="77">
        <v>1132</v>
      </c>
      <c r="M1132" s="77"/>
      <c r="N1132" s="72"/>
      <c r="O1132" s="79" t="s">
        <v>610</v>
      </c>
      <c r="P1132" s="79">
        <v>1</v>
      </c>
      <c r="Q1132" s="78" t="str">
        <f>REPLACE(INDEX(GroupVertices[Group],MATCH(Edges[[#This Row],[Vertex 1]],GroupVertices[Vertex],0)),1,1,"")</f>
        <v>edico Tannu</v>
      </c>
      <c r="R1132" s="78" t="str">
        <f>REPLACE(INDEX(GroupVertices[Group],MATCH(Edges[[#This Row],[Vertex 2]],GroupVertices[Vertex],0)),1,1,"")</f>
        <v>edico Tannu</v>
      </c>
    </row>
    <row r="1133" spans="1:18" ht="15">
      <c r="A1133" s="64" t="s">
        <v>226</v>
      </c>
      <c r="B1133" s="64" t="s">
        <v>421</v>
      </c>
      <c r="C1133" s="65" t="s">
        <v>4443</v>
      </c>
      <c r="D1133" s="66">
        <v>3</v>
      </c>
      <c r="E1133" s="67"/>
      <c r="F1133" s="68">
        <v>40</v>
      </c>
      <c r="G1133" s="65"/>
      <c r="H1133" s="69"/>
      <c r="I1133" s="70"/>
      <c r="J1133" s="70"/>
      <c r="K1133" s="34" t="s">
        <v>65</v>
      </c>
      <c r="L1133" s="77">
        <v>1133</v>
      </c>
      <c r="M1133" s="77"/>
      <c r="N1133" s="72"/>
      <c r="O1133" s="79" t="s">
        <v>610</v>
      </c>
      <c r="P1133" s="79">
        <v>1</v>
      </c>
      <c r="Q1133" s="78" t="str">
        <f>REPLACE(INDEX(GroupVertices[Group],MATCH(Edges[[#This Row],[Vertex 1]],GroupVertices[Vertex],0)),1,1,"")</f>
        <v>edico Tannu</v>
      </c>
      <c r="R1133" s="78" t="str">
        <f>REPLACE(INDEX(GroupVertices[Group],MATCH(Edges[[#This Row],[Vertex 2]],GroupVertices[Vertex],0)),1,1,"")</f>
        <v>nline Nursing Classes</v>
      </c>
    </row>
    <row r="1134" spans="1:18" ht="15">
      <c r="A1134" s="64" t="s">
        <v>226</v>
      </c>
      <c r="B1134" s="64" t="s">
        <v>425</v>
      </c>
      <c r="C1134" s="65" t="s">
        <v>4443</v>
      </c>
      <c r="D1134" s="66">
        <v>3</v>
      </c>
      <c r="E1134" s="67"/>
      <c r="F1134" s="68">
        <v>40</v>
      </c>
      <c r="G1134" s="65"/>
      <c r="H1134" s="69"/>
      <c r="I1134" s="70"/>
      <c r="J1134" s="70"/>
      <c r="K1134" s="34" t="s">
        <v>65</v>
      </c>
      <c r="L1134" s="77">
        <v>1134</v>
      </c>
      <c r="M1134" s="77"/>
      <c r="N1134" s="72"/>
      <c r="O1134" s="79" t="s">
        <v>610</v>
      </c>
      <c r="P1134" s="79">
        <v>1</v>
      </c>
      <c r="Q1134" s="78" t="str">
        <f>REPLACE(INDEX(GroupVertices[Group],MATCH(Edges[[#This Row],[Vertex 1]],GroupVertices[Vertex],0)),1,1,"")</f>
        <v>edico Tannu</v>
      </c>
      <c r="R1134" s="78" t="str">
        <f>REPLACE(INDEX(GroupVertices[Group],MATCH(Edges[[#This Row],[Vertex 2]],GroupVertices[Vertex],0)),1,1,"")</f>
        <v>edico Tannu</v>
      </c>
    </row>
    <row r="1135" spans="1:18" ht="15">
      <c r="A1135" s="64" t="s">
        <v>226</v>
      </c>
      <c r="B1135" s="64" t="s">
        <v>2214</v>
      </c>
      <c r="C1135" s="65" t="s">
        <v>4443</v>
      </c>
      <c r="D1135" s="66">
        <v>3</v>
      </c>
      <c r="E1135" s="67"/>
      <c r="F1135" s="68">
        <v>40</v>
      </c>
      <c r="G1135" s="65"/>
      <c r="H1135" s="69"/>
      <c r="I1135" s="70"/>
      <c r="J1135" s="70"/>
      <c r="K1135" s="34" t="s">
        <v>65</v>
      </c>
      <c r="L1135" s="77">
        <v>1135</v>
      </c>
      <c r="M1135" s="77"/>
      <c r="N1135" s="72"/>
      <c r="O1135" s="79" t="s">
        <v>610</v>
      </c>
      <c r="P1135" s="79">
        <v>1</v>
      </c>
      <c r="Q1135" s="78" t="str">
        <f>REPLACE(INDEX(GroupVertices[Group],MATCH(Edges[[#This Row],[Vertex 1]],GroupVertices[Vertex],0)),1,1,"")</f>
        <v>edico Tannu</v>
      </c>
      <c r="R1135" s="78" t="str">
        <f>REPLACE(INDEX(GroupVertices[Group],MATCH(Edges[[#This Row],[Vertex 2]],GroupVertices[Vertex],0)),1,1,"")</f>
        <v>edico Tannu</v>
      </c>
    </row>
    <row r="1136" spans="1:18" ht="15">
      <c r="A1136" s="64" t="s">
        <v>226</v>
      </c>
      <c r="B1136" s="64" t="s">
        <v>420</v>
      </c>
      <c r="C1136" s="65" t="s">
        <v>4443</v>
      </c>
      <c r="D1136" s="66">
        <v>3</v>
      </c>
      <c r="E1136" s="67"/>
      <c r="F1136" s="68">
        <v>40</v>
      </c>
      <c r="G1136" s="65"/>
      <c r="H1136" s="69"/>
      <c r="I1136" s="70"/>
      <c r="J1136" s="70"/>
      <c r="K1136" s="34" t="s">
        <v>65</v>
      </c>
      <c r="L1136" s="77">
        <v>1136</v>
      </c>
      <c r="M1136" s="77"/>
      <c r="N1136" s="72"/>
      <c r="O1136" s="79" t="s">
        <v>610</v>
      </c>
      <c r="P1136" s="79">
        <v>1</v>
      </c>
      <c r="Q1136" s="78" t="str">
        <f>REPLACE(INDEX(GroupVertices[Group],MATCH(Edges[[#This Row],[Vertex 1]],GroupVertices[Vertex],0)),1,1,"")</f>
        <v>edico Tannu</v>
      </c>
      <c r="R1136" s="78" t="str">
        <f>REPLACE(INDEX(GroupVertices[Group],MATCH(Edges[[#This Row],[Vertex 2]],GroupVertices[Vertex],0)),1,1,"")</f>
        <v>nline Nursing Classes</v>
      </c>
    </row>
    <row r="1137" spans="1:18" ht="15">
      <c r="A1137" s="64" t="s">
        <v>226</v>
      </c>
      <c r="B1137" s="64" t="s">
        <v>2215</v>
      </c>
      <c r="C1137" s="65" t="s">
        <v>4443</v>
      </c>
      <c r="D1137" s="66">
        <v>3</v>
      </c>
      <c r="E1137" s="67"/>
      <c r="F1137" s="68">
        <v>40</v>
      </c>
      <c r="G1137" s="65"/>
      <c r="H1137" s="69"/>
      <c r="I1137" s="70"/>
      <c r="J1137" s="70"/>
      <c r="K1137" s="34" t="s">
        <v>65</v>
      </c>
      <c r="L1137" s="77">
        <v>1137</v>
      </c>
      <c r="M1137" s="77"/>
      <c r="N1137" s="72"/>
      <c r="O1137" s="79" t="s">
        <v>610</v>
      </c>
      <c r="P1137" s="79">
        <v>1</v>
      </c>
      <c r="Q1137" s="78" t="str">
        <f>REPLACE(INDEX(GroupVertices[Group],MATCH(Edges[[#This Row],[Vertex 1]],GroupVertices[Vertex],0)),1,1,"")</f>
        <v>edico Tannu</v>
      </c>
      <c r="R1137" s="78" t="str">
        <f>REPLACE(INDEX(GroupVertices[Group],MATCH(Edges[[#This Row],[Vertex 2]],GroupVertices[Vertex],0)),1,1,"")</f>
        <v>edico Tannu</v>
      </c>
    </row>
    <row r="1138" spans="1:18" ht="15">
      <c r="A1138" s="64" t="s">
        <v>226</v>
      </c>
      <c r="B1138" s="64" t="s">
        <v>426</v>
      </c>
      <c r="C1138" s="65" t="s">
        <v>4443</v>
      </c>
      <c r="D1138" s="66">
        <v>3</v>
      </c>
      <c r="E1138" s="67"/>
      <c r="F1138" s="68">
        <v>40</v>
      </c>
      <c r="G1138" s="65"/>
      <c r="H1138" s="69"/>
      <c r="I1138" s="70"/>
      <c r="J1138" s="70"/>
      <c r="K1138" s="34" t="s">
        <v>65</v>
      </c>
      <c r="L1138" s="77">
        <v>1138</v>
      </c>
      <c r="M1138" s="77"/>
      <c r="N1138" s="72"/>
      <c r="O1138" s="79" t="s">
        <v>610</v>
      </c>
      <c r="P1138" s="79">
        <v>1</v>
      </c>
      <c r="Q1138" s="78" t="str">
        <f>REPLACE(INDEX(GroupVertices[Group],MATCH(Edges[[#This Row],[Vertex 1]],GroupVertices[Vertex],0)),1,1,"")</f>
        <v>edico Tannu</v>
      </c>
      <c r="R1138" s="78" t="str">
        <f>REPLACE(INDEX(GroupVertices[Group],MATCH(Edges[[#This Row],[Vertex 2]],GroupVertices[Vertex],0)),1,1,"")</f>
        <v>edico Tannu</v>
      </c>
    </row>
    <row r="1139" spans="1:18" ht="15">
      <c r="A1139" s="64" t="s">
        <v>226</v>
      </c>
      <c r="B1139" s="64" t="s">
        <v>320</v>
      </c>
      <c r="C1139" s="65" t="s">
        <v>4443</v>
      </c>
      <c r="D1139" s="66">
        <v>3</v>
      </c>
      <c r="E1139" s="67"/>
      <c r="F1139" s="68">
        <v>40</v>
      </c>
      <c r="G1139" s="65"/>
      <c r="H1139" s="69"/>
      <c r="I1139" s="70"/>
      <c r="J1139" s="70"/>
      <c r="K1139" s="34" t="s">
        <v>65</v>
      </c>
      <c r="L1139" s="77">
        <v>1139</v>
      </c>
      <c r="M1139" s="77"/>
      <c r="N1139" s="72"/>
      <c r="O1139" s="79" t="s">
        <v>610</v>
      </c>
      <c r="P1139" s="79">
        <v>1</v>
      </c>
      <c r="Q1139" s="78" t="str">
        <f>REPLACE(INDEX(GroupVertices[Group],MATCH(Edges[[#This Row],[Vertex 1]],GroupVertices[Vertex],0)),1,1,"")</f>
        <v>edico Tannu</v>
      </c>
      <c r="R1139" s="78" t="str">
        <f>REPLACE(INDEX(GroupVertices[Group],MATCH(Edges[[#This Row],[Vertex 2]],GroupVertices[Vertex],0)),1,1,"")</f>
        <v>nline Nursing Classes</v>
      </c>
    </row>
    <row r="1140" spans="1:18" ht="15">
      <c r="A1140" s="64" t="s">
        <v>226</v>
      </c>
      <c r="B1140" s="64" t="s">
        <v>427</v>
      </c>
      <c r="C1140" s="65" t="s">
        <v>4443</v>
      </c>
      <c r="D1140" s="66">
        <v>3</v>
      </c>
      <c r="E1140" s="67"/>
      <c r="F1140" s="68">
        <v>40</v>
      </c>
      <c r="G1140" s="65"/>
      <c r="H1140" s="69"/>
      <c r="I1140" s="70"/>
      <c r="J1140" s="70"/>
      <c r="K1140" s="34" t="s">
        <v>65</v>
      </c>
      <c r="L1140" s="77">
        <v>1140</v>
      </c>
      <c r="M1140" s="77"/>
      <c r="N1140" s="72"/>
      <c r="O1140" s="79" t="s">
        <v>610</v>
      </c>
      <c r="P1140" s="79">
        <v>1</v>
      </c>
      <c r="Q1140" s="78" t="str">
        <f>REPLACE(INDEX(GroupVertices[Group],MATCH(Edges[[#This Row],[Vertex 1]],GroupVertices[Vertex],0)),1,1,"")</f>
        <v>edico Tannu</v>
      </c>
      <c r="R1140" s="78" t="str">
        <f>REPLACE(INDEX(GroupVertices[Group],MATCH(Edges[[#This Row],[Vertex 2]],GroupVertices[Vertex],0)),1,1,"")</f>
        <v>edico Tannu</v>
      </c>
    </row>
    <row r="1141" spans="1:18" ht="15">
      <c r="A1141" s="64" t="s">
        <v>226</v>
      </c>
      <c r="B1141" s="64" t="s">
        <v>419</v>
      </c>
      <c r="C1141" s="65" t="s">
        <v>4443</v>
      </c>
      <c r="D1141" s="66">
        <v>3</v>
      </c>
      <c r="E1141" s="67"/>
      <c r="F1141" s="68">
        <v>40</v>
      </c>
      <c r="G1141" s="65"/>
      <c r="H1141" s="69"/>
      <c r="I1141" s="70"/>
      <c r="J1141" s="70"/>
      <c r="K1141" s="34" t="s">
        <v>65</v>
      </c>
      <c r="L1141" s="77">
        <v>1141</v>
      </c>
      <c r="M1141" s="77"/>
      <c r="N1141" s="72"/>
      <c r="O1141" s="79" t="s">
        <v>610</v>
      </c>
      <c r="P1141" s="79">
        <v>1</v>
      </c>
      <c r="Q1141" s="78" t="str">
        <f>REPLACE(INDEX(GroupVertices[Group],MATCH(Edges[[#This Row],[Vertex 1]],GroupVertices[Vertex],0)),1,1,"")</f>
        <v>edico Tannu</v>
      </c>
      <c r="R1141" s="78" t="str">
        <f>REPLACE(INDEX(GroupVertices[Group],MATCH(Edges[[#This Row],[Vertex 2]],GroupVertices[Vertex],0)),1,1,"")</f>
        <v>edico Tannu</v>
      </c>
    </row>
    <row r="1142" spans="1:18" ht="15">
      <c r="A1142" s="64" t="s">
        <v>226</v>
      </c>
      <c r="B1142" s="64" t="s">
        <v>2216</v>
      </c>
      <c r="C1142" s="65" t="s">
        <v>4443</v>
      </c>
      <c r="D1142" s="66">
        <v>3</v>
      </c>
      <c r="E1142" s="67"/>
      <c r="F1142" s="68">
        <v>40</v>
      </c>
      <c r="G1142" s="65"/>
      <c r="H1142" s="69"/>
      <c r="I1142" s="70"/>
      <c r="J1142" s="70"/>
      <c r="K1142" s="34" t="s">
        <v>65</v>
      </c>
      <c r="L1142" s="77">
        <v>1142</v>
      </c>
      <c r="M1142" s="77"/>
      <c r="N1142" s="72"/>
      <c r="O1142" s="79" t="s">
        <v>610</v>
      </c>
      <c r="P1142" s="79">
        <v>1</v>
      </c>
      <c r="Q1142" s="78" t="str">
        <f>REPLACE(INDEX(GroupVertices[Group],MATCH(Edges[[#This Row],[Vertex 1]],GroupVertices[Vertex],0)),1,1,"")</f>
        <v>edico Tannu</v>
      </c>
      <c r="R1142" s="78" t="str">
        <f>REPLACE(INDEX(GroupVertices[Group],MATCH(Edges[[#This Row],[Vertex 2]],GroupVertices[Vertex],0)),1,1,"")</f>
        <v>доров ́я та розвиток</v>
      </c>
    </row>
    <row r="1143" spans="1:18" ht="15">
      <c r="A1143" s="64" t="s">
        <v>226</v>
      </c>
      <c r="B1143" s="64" t="s">
        <v>2217</v>
      </c>
      <c r="C1143" s="65" t="s">
        <v>4443</v>
      </c>
      <c r="D1143" s="66">
        <v>3</v>
      </c>
      <c r="E1143" s="67"/>
      <c r="F1143" s="68">
        <v>40</v>
      </c>
      <c r="G1143" s="65"/>
      <c r="H1143" s="69"/>
      <c r="I1143" s="70"/>
      <c r="J1143" s="70"/>
      <c r="K1143" s="34" t="s">
        <v>65</v>
      </c>
      <c r="L1143" s="77">
        <v>1143</v>
      </c>
      <c r="M1143" s="77"/>
      <c r="N1143" s="72"/>
      <c r="O1143" s="79" t="s">
        <v>610</v>
      </c>
      <c r="P1143" s="79">
        <v>1</v>
      </c>
      <c r="Q1143" s="78" t="str">
        <f>REPLACE(INDEX(GroupVertices[Group],MATCH(Edges[[#This Row],[Vertex 1]],GroupVertices[Vertex],0)),1,1,"")</f>
        <v>edico Tannu</v>
      </c>
      <c r="R1143" s="78" t="str">
        <f>REPLACE(INDEX(GroupVertices[Group],MATCH(Edges[[#This Row],[Vertex 2]],GroupVertices[Vertex],0)),1,1,"")</f>
        <v>ayank Study Hub</v>
      </c>
    </row>
    <row r="1144" spans="1:18" ht="15">
      <c r="A1144" s="64" t="s">
        <v>226</v>
      </c>
      <c r="B1144" s="64" t="s">
        <v>422</v>
      </c>
      <c r="C1144" s="65" t="s">
        <v>4443</v>
      </c>
      <c r="D1144" s="66">
        <v>3</v>
      </c>
      <c r="E1144" s="67"/>
      <c r="F1144" s="68">
        <v>40</v>
      </c>
      <c r="G1144" s="65"/>
      <c r="H1144" s="69"/>
      <c r="I1144" s="70"/>
      <c r="J1144" s="70"/>
      <c r="K1144" s="34" t="s">
        <v>65</v>
      </c>
      <c r="L1144" s="77">
        <v>1144</v>
      </c>
      <c r="M1144" s="77"/>
      <c r="N1144" s="72"/>
      <c r="O1144" s="79" t="s">
        <v>610</v>
      </c>
      <c r="P1144" s="79">
        <v>1</v>
      </c>
      <c r="Q1144" s="78" t="str">
        <f>REPLACE(INDEX(GroupVertices[Group],MATCH(Edges[[#This Row],[Vertex 1]],GroupVertices[Vertex],0)),1,1,"")</f>
        <v>edico Tannu</v>
      </c>
      <c r="R1144" s="78" t="str">
        <f>REPLACE(INDEX(GroupVertices[Group],MATCH(Edges[[#This Row],[Vertex 2]],GroupVertices[Vertex],0)),1,1,"")</f>
        <v>edico Tannu</v>
      </c>
    </row>
    <row r="1145" spans="1:18" ht="15">
      <c r="A1145" s="64" t="s">
        <v>226</v>
      </c>
      <c r="B1145" s="64" t="s">
        <v>2218</v>
      </c>
      <c r="C1145" s="65" t="s">
        <v>4443</v>
      </c>
      <c r="D1145" s="66">
        <v>3</v>
      </c>
      <c r="E1145" s="67"/>
      <c r="F1145" s="68">
        <v>40</v>
      </c>
      <c r="G1145" s="65"/>
      <c r="H1145" s="69"/>
      <c r="I1145" s="70"/>
      <c r="J1145" s="70"/>
      <c r="K1145" s="34" t="s">
        <v>65</v>
      </c>
      <c r="L1145" s="77">
        <v>1145</v>
      </c>
      <c r="M1145" s="77"/>
      <c r="N1145" s="72"/>
      <c r="O1145" s="79" t="s">
        <v>610</v>
      </c>
      <c r="P1145" s="79">
        <v>1</v>
      </c>
      <c r="Q1145" s="78" t="str">
        <f>REPLACE(INDEX(GroupVertices[Group],MATCH(Edges[[#This Row],[Vertex 1]],GroupVertices[Vertex],0)),1,1,"")</f>
        <v>edico Tannu</v>
      </c>
      <c r="R1145" s="78" t="str">
        <f>REPLACE(INDEX(GroupVertices[Group],MATCH(Edges[[#This Row],[Vertex 2]],GroupVertices[Vertex],0)),1,1,"")</f>
        <v>ayank Study Hub</v>
      </c>
    </row>
    <row r="1146" spans="1:18" ht="15">
      <c r="A1146" s="64" t="s">
        <v>226</v>
      </c>
      <c r="B1146" s="64" t="s">
        <v>428</v>
      </c>
      <c r="C1146" s="65" t="s">
        <v>4443</v>
      </c>
      <c r="D1146" s="66">
        <v>3</v>
      </c>
      <c r="E1146" s="67"/>
      <c r="F1146" s="68">
        <v>40</v>
      </c>
      <c r="G1146" s="65"/>
      <c r="H1146" s="69"/>
      <c r="I1146" s="70"/>
      <c r="J1146" s="70"/>
      <c r="K1146" s="34" t="s">
        <v>65</v>
      </c>
      <c r="L1146" s="77">
        <v>1146</v>
      </c>
      <c r="M1146" s="77"/>
      <c r="N1146" s="72"/>
      <c r="O1146" s="79" t="s">
        <v>610</v>
      </c>
      <c r="P1146" s="79">
        <v>1</v>
      </c>
      <c r="Q1146" s="78" t="str">
        <f>REPLACE(INDEX(GroupVertices[Group],MATCH(Edges[[#This Row],[Vertex 1]],GroupVertices[Vertex],0)),1,1,"")</f>
        <v>edico Tannu</v>
      </c>
      <c r="R1146" s="78" t="str">
        <f>REPLACE(INDEX(GroupVertices[Group],MATCH(Edges[[#This Row],[Vertex 2]],GroupVertices[Vertex],0)),1,1,"")</f>
        <v>edico Tannu</v>
      </c>
    </row>
    <row r="1147" spans="1:18" ht="15">
      <c r="A1147" s="64" t="s">
        <v>226</v>
      </c>
      <c r="B1147" s="64" t="s">
        <v>2219</v>
      </c>
      <c r="C1147" s="65" t="s">
        <v>4443</v>
      </c>
      <c r="D1147" s="66">
        <v>3</v>
      </c>
      <c r="E1147" s="67"/>
      <c r="F1147" s="68">
        <v>40</v>
      </c>
      <c r="G1147" s="65"/>
      <c r="H1147" s="69"/>
      <c r="I1147" s="70"/>
      <c r="J1147" s="70"/>
      <c r="K1147" s="34" t="s">
        <v>65</v>
      </c>
      <c r="L1147" s="77">
        <v>1147</v>
      </c>
      <c r="M1147" s="77"/>
      <c r="N1147" s="72"/>
      <c r="O1147" s="79" t="s">
        <v>610</v>
      </c>
      <c r="P1147" s="79">
        <v>1</v>
      </c>
      <c r="Q1147" s="78" t="str">
        <f>REPLACE(INDEX(GroupVertices[Group],MATCH(Edges[[#This Row],[Vertex 1]],GroupVertices[Vertex],0)),1,1,"")</f>
        <v>edico Tannu</v>
      </c>
      <c r="R1147" s="78" t="str">
        <f>REPLACE(INDEX(GroupVertices[Group],MATCH(Edges[[#This Row],[Vertex 2]],GroupVertices[Vertex],0)),1,1,"")</f>
        <v>edico Tannu</v>
      </c>
    </row>
    <row r="1148" spans="1:18" ht="15">
      <c r="A1148" s="64" t="s">
        <v>226</v>
      </c>
      <c r="B1148" s="64" t="s">
        <v>530</v>
      </c>
      <c r="C1148" s="65" t="s">
        <v>4443</v>
      </c>
      <c r="D1148" s="66">
        <v>3</v>
      </c>
      <c r="E1148" s="67"/>
      <c r="F1148" s="68">
        <v>40</v>
      </c>
      <c r="G1148" s="65"/>
      <c r="H1148" s="69"/>
      <c r="I1148" s="70"/>
      <c r="J1148" s="70"/>
      <c r="K1148" s="34" t="s">
        <v>65</v>
      </c>
      <c r="L1148" s="77">
        <v>1148</v>
      </c>
      <c r="M1148" s="77"/>
      <c r="N1148" s="72"/>
      <c r="O1148" s="79" t="s">
        <v>610</v>
      </c>
      <c r="P1148" s="79">
        <v>1</v>
      </c>
      <c r="Q1148" s="78" t="str">
        <f>REPLACE(INDEX(GroupVertices[Group],MATCH(Edges[[#This Row],[Vertex 1]],GroupVertices[Vertex],0)),1,1,"")</f>
        <v>edico Tannu</v>
      </c>
      <c r="R1148" s="78" t="str">
        <f>REPLACE(INDEX(GroupVertices[Group],MATCH(Edges[[#This Row],[Vertex 2]],GroupVertices[Vertex],0)),1,1,"")</f>
        <v>edico Tannu</v>
      </c>
    </row>
    <row r="1149" spans="1:18" ht="15">
      <c r="A1149" s="64" t="s">
        <v>226</v>
      </c>
      <c r="B1149" s="64" t="s">
        <v>2220</v>
      </c>
      <c r="C1149" s="65" t="s">
        <v>4443</v>
      </c>
      <c r="D1149" s="66">
        <v>3</v>
      </c>
      <c r="E1149" s="67"/>
      <c r="F1149" s="68">
        <v>40</v>
      </c>
      <c r="G1149" s="65"/>
      <c r="H1149" s="69"/>
      <c r="I1149" s="70"/>
      <c r="J1149" s="70"/>
      <c r="K1149" s="34" t="s">
        <v>65</v>
      </c>
      <c r="L1149" s="77">
        <v>1149</v>
      </c>
      <c r="M1149" s="77"/>
      <c r="N1149" s="72"/>
      <c r="O1149" s="79" t="s">
        <v>610</v>
      </c>
      <c r="P1149" s="79">
        <v>1</v>
      </c>
      <c r="Q1149" s="78" t="str">
        <f>REPLACE(INDEX(GroupVertices[Group],MATCH(Edges[[#This Row],[Vertex 1]],GroupVertices[Vertex],0)),1,1,"")</f>
        <v>edico Tannu</v>
      </c>
      <c r="R1149" s="78" t="str">
        <f>REPLACE(INDEX(GroupVertices[Group],MATCH(Edges[[#This Row],[Vertex 2]],GroupVertices[Vertex],0)),1,1,"")</f>
        <v>ayank Study Hub</v>
      </c>
    </row>
    <row r="1150" spans="1:18" ht="15">
      <c r="A1150" s="64" t="s">
        <v>226</v>
      </c>
      <c r="B1150" s="64" t="s">
        <v>529</v>
      </c>
      <c r="C1150" s="65" t="s">
        <v>4443</v>
      </c>
      <c r="D1150" s="66">
        <v>3</v>
      </c>
      <c r="E1150" s="67"/>
      <c r="F1150" s="68">
        <v>40</v>
      </c>
      <c r="G1150" s="65"/>
      <c r="H1150" s="69"/>
      <c r="I1150" s="70"/>
      <c r="J1150" s="70"/>
      <c r="K1150" s="34" t="s">
        <v>65</v>
      </c>
      <c r="L1150" s="77">
        <v>1150</v>
      </c>
      <c r="M1150" s="77"/>
      <c r="N1150" s="72"/>
      <c r="O1150" s="79" t="s">
        <v>610</v>
      </c>
      <c r="P1150" s="79">
        <v>1</v>
      </c>
      <c r="Q1150" s="78" t="str">
        <f>REPLACE(INDEX(GroupVertices[Group],MATCH(Edges[[#This Row],[Vertex 1]],GroupVertices[Vertex],0)),1,1,"")</f>
        <v>edico Tannu</v>
      </c>
      <c r="R1150" s="78" t="str">
        <f>REPLACE(INDEX(GroupVertices[Group],MATCH(Edges[[#This Row],[Vertex 2]],GroupVertices[Vertex],0)),1,1,"")</f>
        <v>edico Tannu</v>
      </c>
    </row>
    <row r="1151" spans="1:18" ht="15">
      <c r="A1151" s="64" t="s">
        <v>226</v>
      </c>
      <c r="B1151" s="64" t="s">
        <v>429</v>
      </c>
      <c r="C1151" s="65" t="s">
        <v>4443</v>
      </c>
      <c r="D1151" s="66">
        <v>3</v>
      </c>
      <c r="E1151" s="67"/>
      <c r="F1151" s="68">
        <v>40</v>
      </c>
      <c r="G1151" s="65"/>
      <c r="H1151" s="69"/>
      <c r="I1151" s="70"/>
      <c r="J1151" s="70"/>
      <c r="K1151" s="34" t="s">
        <v>65</v>
      </c>
      <c r="L1151" s="77">
        <v>1151</v>
      </c>
      <c r="M1151" s="77"/>
      <c r="N1151" s="72"/>
      <c r="O1151" s="79" t="s">
        <v>610</v>
      </c>
      <c r="P1151" s="79">
        <v>1</v>
      </c>
      <c r="Q1151" s="78" t="str">
        <f>REPLACE(INDEX(GroupVertices[Group],MATCH(Edges[[#This Row],[Vertex 1]],GroupVertices[Vertex],0)),1,1,"")</f>
        <v>edico Tannu</v>
      </c>
      <c r="R1151" s="78" t="str">
        <f>REPLACE(INDEX(GroupVertices[Group],MATCH(Edges[[#This Row],[Vertex 2]],GroupVertices[Vertex],0)),1,1,"")</f>
        <v>edico Tannu</v>
      </c>
    </row>
    <row r="1152" spans="1:18" ht="15">
      <c r="A1152" s="64" t="s">
        <v>226</v>
      </c>
      <c r="B1152" s="64" t="s">
        <v>2221</v>
      </c>
      <c r="C1152" s="65" t="s">
        <v>4443</v>
      </c>
      <c r="D1152" s="66">
        <v>3</v>
      </c>
      <c r="E1152" s="67"/>
      <c r="F1152" s="68">
        <v>40</v>
      </c>
      <c r="G1152" s="65"/>
      <c r="H1152" s="69"/>
      <c r="I1152" s="70"/>
      <c r="J1152" s="70"/>
      <c r="K1152" s="34" t="s">
        <v>65</v>
      </c>
      <c r="L1152" s="77">
        <v>1152</v>
      </c>
      <c r="M1152" s="77"/>
      <c r="N1152" s="72"/>
      <c r="O1152" s="79" t="s">
        <v>610</v>
      </c>
      <c r="P1152" s="79">
        <v>1</v>
      </c>
      <c r="Q1152" s="78" t="str">
        <f>REPLACE(INDEX(GroupVertices[Group],MATCH(Edges[[#This Row],[Vertex 1]],GroupVertices[Vertex],0)),1,1,"")</f>
        <v>edico Tannu</v>
      </c>
      <c r="R1152" s="78" t="str">
        <f>REPLACE(INDEX(GroupVertices[Group],MATCH(Edges[[#This Row],[Vertex 2]],GroupVertices[Vertex],0)),1,1,"")</f>
        <v>edico Tannu</v>
      </c>
    </row>
    <row r="1153" spans="1:18" ht="15">
      <c r="A1153" s="64" t="s">
        <v>226</v>
      </c>
      <c r="B1153" s="64" t="s">
        <v>562</v>
      </c>
      <c r="C1153" s="65" t="s">
        <v>4443</v>
      </c>
      <c r="D1153" s="66">
        <v>3</v>
      </c>
      <c r="E1153" s="67"/>
      <c r="F1153" s="68">
        <v>40</v>
      </c>
      <c r="G1153" s="65"/>
      <c r="H1153" s="69"/>
      <c r="I1153" s="70"/>
      <c r="J1153" s="70"/>
      <c r="K1153" s="34" t="s">
        <v>65</v>
      </c>
      <c r="L1153" s="77">
        <v>1153</v>
      </c>
      <c r="M1153" s="77"/>
      <c r="N1153" s="72"/>
      <c r="O1153" s="79" t="s">
        <v>610</v>
      </c>
      <c r="P1153" s="79">
        <v>1</v>
      </c>
      <c r="Q1153" s="78" t="str">
        <f>REPLACE(INDEX(GroupVertices[Group],MATCH(Edges[[#This Row],[Vertex 1]],GroupVertices[Vertex],0)),1,1,"")</f>
        <v>edico Tannu</v>
      </c>
      <c r="R1153" s="78" t="str">
        <f>REPLACE(INDEX(GroupVertices[Group],MATCH(Edges[[#This Row],[Vertex 2]],GroupVertices[Vertex],0)),1,1,"")</f>
        <v>nline Nursing Classes</v>
      </c>
    </row>
    <row r="1154" spans="1:18" ht="15">
      <c r="A1154" s="64" t="s">
        <v>226</v>
      </c>
      <c r="B1154" s="64" t="s">
        <v>423</v>
      </c>
      <c r="C1154" s="65" t="s">
        <v>4443</v>
      </c>
      <c r="D1154" s="66">
        <v>3</v>
      </c>
      <c r="E1154" s="67"/>
      <c r="F1154" s="68">
        <v>40</v>
      </c>
      <c r="G1154" s="65"/>
      <c r="H1154" s="69"/>
      <c r="I1154" s="70"/>
      <c r="J1154" s="70"/>
      <c r="K1154" s="34" t="s">
        <v>65</v>
      </c>
      <c r="L1154" s="77">
        <v>1154</v>
      </c>
      <c r="M1154" s="77"/>
      <c r="N1154" s="72"/>
      <c r="O1154" s="79" t="s">
        <v>610</v>
      </c>
      <c r="P1154" s="79">
        <v>1</v>
      </c>
      <c r="Q1154" s="78" t="str">
        <f>REPLACE(INDEX(GroupVertices[Group],MATCH(Edges[[#This Row],[Vertex 1]],GroupVertices[Vertex],0)),1,1,"")</f>
        <v>edico Tannu</v>
      </c>
      <c r="R1154" s="78" t="str">
        <f>REPLACE(INDEX(GroupVertices[Group],MATCH(Edges[[#This Row],[Vertex 2]],GroupVertices[Vertex],0)),1,1,"")</f>
        <v>nline Nursing Classes</v>
      </c>
    </row>
    <row r="1155" spans="1:18" ht="15">
      <c r="A1155" s="64" t="s">
        <v>226</v>
      </c>
      <c r="B1155" s="64" t="s">
        <v>559</v>
      </c>
      <c r="C1155" s="65" t="s">
        <v>4443</v>
      </c>
      <c r="D1155" s="66">
        <v>3</v>
      </c>
      <c r="E1155" s="67"/>
      <c r="F1155" s="68">
        <v>40</v>
      </c>
      <c r="G1155" s="65"/>
      <c r="H1155" s="69"/>
      <c r="I1155" s="70"/>
      <c r="J1155" s="70"/>
      <c r="K1155" s="34" t="s">
        <v>65</v>
      </c>
      <c r="L1155" s="77">
        <v>1155</v>
      </c>
      <c r="M1155" s="77"/>
      <c r="N1155" s="72"/>
      <c r="O1155" s="79" t="s">
        <v>610</v>
      </c>
      <c r="P1155" s="79">
        <v>1</v>
      </c>
      <c r="Q1155" s="78" t="str">
        <f>REPLACE(INDEX(GroupVertices[Group],MATCH(Edges[[#This Row],[Vertex 1]],GroupVertices[Vertex],0)),1,1,"")</f>
        <v>edico Tannu</v>
      </c>
      <c r="R1155" s="78" t="str">
        <f>REPLACE(INDEX(GroupVertices[Group],MATCH(Edges[[#This Row],[Vertex 2]],GroupVertices[Vertex],0)),1,1,"")</f>
        <v>edico Tannu</v>
      </c>
    </row>
    <row r="1156" spans="1:18" ht="15">
      <c r="A1156" s="64" t="s">
        <v>226</v>
      </c>
      <c r="B1156" s="64" t="s">
        <v>430</v>
      </c>
      <c r="C1156" s="65" t="s">
        <v>4443</v>
      </c>
      <c r="D1156" s="66">
        <v>3</v>
      </c>
      <c r="E1156" s="67"/>
      <c r="F1156" s="68">
        <v>40</v>
      </c>
      <c r="G1156" s="65"/>
      <c r="H1156" s="69"/>
      <c r="I1156" s="70"/>
      <c r="J1156" s="70"/>
      <c r="K1156" s="34" t="s">
        <v>65</v>
      </c>
      <c r="L1156" s="77">
        <v>1156</v>
      </c>
      <c r="M1156" s="77"/>
      <c r="N1156" s="72"/>
      <c r="O1156" s="79" t="s">
        <v>610</v>
      </c>
      <c r="P1156" s="79">
        <v>1</v>
      </c>
      <c r="Q1156" s="78" t="str">
        <f>REPLACE(INDEX(GroupVertices[Group],MATCH(Edges[[#This Row],[Vertex 1]],GroupVertices[Vertex],0)),1,1,"")</f>
        <v>edico Tannu</v>
      </c>
      <c r="R1156" s="78" t="str">
        <f>REPLACE(INDEX(GroupVertices[Group],MATCH(Edges[[#This Row],[Vertex 2]],GroupVertices[Vertex],0)),1,1,"")</f>
        <v>edico Tannu</v>
      </c>
    </row>
    <row r="1157" spans="1:18" ht="15">
      <c r="A1157" s="64" t="s">
        <v>226</v>
      </c>
      <c r="B1157" s="64" t="s">
        <v>431</v>
      </c>
      <c r="C1157" s="65" t="s">
        <v>4443</v>
      </c>
      <c r="D1157" s="66">
        <v>3</v>
      </c>
      <c r="E1157" s="67"/>
      <c r="F1157" s="68">
        <v>40</v>
      </c>
      <c r="G1157" s="65"/>
      <c r="H1157" s="69"/>
      <c r="I1157" s="70"/>
      <c r="J1157" s="70"/>
      <c r="K1157" s="34" t="s">
        <v>65</v>
      </c>
      <c r="L1157" s="77">
        <v>1157</v>
      </c>
      <c r="M1157" s="77"/>
      <c r="N1157" s="72"/>
      <c r="O1157" s="79" t="s">
        <v>610</v>
      </c>
      <c r="P1157" s="79">
        <v>1</v>
      </c>
      <c r="Q1157" s="78" t="str">
        <f>REPLACE(INDEX(GroupVertices[Group],MATCH(Edges[[#This Row],[Vertex 1]],GroupVertices[Vertex],0)),1,1,"")</f>
        <v>edico Tannu</v>
      </c>
      <c r="R1157" s="78" t="str">
        <f>REPLACE(INDEX(GroupVertices[Group],MATCH(Edges[[#This Row],[Vertex 2]],GroupVertices[Vertex],0)),1,1,"")</f>
        <v>edico Tannu</v>
      </c>
    </row>
    <row r="1158" spans="1:18" ht="15">
      <c r="A1158" s="64" t="s">
        <v>226</v>
      </c>
      <c r="B1158" s="64" t="s">
        <v>2393</v>
      </c>
      <c r="C1158" s="65" t="s">
        <v>4443</v>
      </c>
      <c r="D1158" s="66">
        <v>3</v>
      </c>
      <c r="E1158" s="67"/>
      <c r="F1158" s="68">
        <v>40</v>
      </c>
      <c r="G1158" s="65"/>
      <c r="H1158" s="69"/>
      <c r="I1158" s="70"/>
      <c r="J1158" s="70"/>
      <c r="K1158" s="34" t="s">
        <v>65</v>
      </c>
      <c r="L1158" s="77">
        <v>1158</v>
      </c>
      <c r="M1158" s="77"/>
      <c r="N1158" s="72"/>
      <c r="O1158" s="79" t="s">
        <v>610</v>
      </c>
      <c r="P1158" s="79">
        <v>1</v>
      </c>
      <c r="Q1158" s="78" t="str">
        <f>REPLACE(INDEX(GroupVertices[Group],MATCH(Edges[[#This Row],[Vertex 1]],GroupVertices[Vertex],0)),1,1,"")</f>
        <v>edico Tannu</v>
      </c>
      <c r="R1158" s="78" t="str">
        <f>REPLACE(INDEX(GroupVertices[Group],MATCH(Edges[[#This Row],[Vertex 2]],GroupVertices[Vertex],0)),1,1,"")</f>
        <v>tkarsh Nursing Classes</v>
      </c>
    </row>
    <row r="1159" spans="1:18" ht="15">
      <c r="A1159" s="64" t="s">
        <v>226</v>
      </c>
      <c r="B1159" s="64" t="s">
        <v>2394</v>
      </c>
      <c r="C1159" s="65" t="s">
        <v>4443</v>
      </c>
      <c r="D1159" s="66">
        <v>3</v>
      </c>
      <c r="E1159" s="67"/>
      <c r="F1159" s="68">
        <v>40</v>
      </c>
      <c r="G1159" s="65"/>
      <c r="H1159" s="69"/>
      <c r="I1159" s="70"/>
      <c r="J1159" s="70"/>
      <c r="K1159" s="34" t="s">
        <v>65</v>
      </c>
      <c r="L1159" s="77">
        <v>1159</v>
      </c>
      <c r="M1159" s="77"/>
      <c r="N1159" s="72"/>
      <c r="O1159" s="79" t="s">
        <v>610</v>
      </c>
      <c r="P1159" s="79">
        <v>1</v>
      </c>
      <c r="Q1159" s="78" t="str">
        <f>REPLACE(INDEX(GroupVertices[Group],MATCH(Edges[[#This Row],[Vertex 1]],GroupVertices[Vertex],0)),1,1,"")</f>
        <v>edico Tannu</v>
      </c>
      <c r="R1159" s="78" t="str">
        <f>REPLACE(INDEX(GroupVertices[Group],MATCH(Edges[[#This Row],[Vertex 2]],GroupVertices[Vertex],0)),1,1,"")</f>
        <v>OOGLY MCI Education</v>
      </c>
    </row>
    <row r="1160" spans="1:18" ht="15">
      <c r="A1160" s="64" t="s">
        <v>226</v>
      </c>
      <c r="B1160" s="64" t="s">
        <v>531</v>
      </c>
      <c r="C1160" s="65" t="s">
        <v>4443</v>
      </c>
      <c r="D1160" s="66">
        <v>3</v>
      </c>
      <c r="E1160" s="67"/>
      <c r="F1160" s="68">
        <v>40</v>
      </c>
      <c r="G1160" s="65"/>
      <c r="H1160" s="69"/>
      <c r="I1160" s="70"/>
      <c r="J1160" s="70"/>
      <c r="K1160" s="34" t="s">
        <v>65</v>
      </c>
      <c r="L1160" s="77">
        <v>1160</v>
      </c>
      <c r="M1160" s="77"/>
      <c r="N1160" s="72"/>
      <c r="O1160" s="79" t="s">
        <v>610</v>
      </c>
      <c r="P1160" s="79">
        <v>1</v>
      </c>
      <c r="Q1160" s="78" t="str">
        <f>REPLACE(INDEX(GroupVertices[Group],MATCH(Edges[[#This Row],[Vertex 1]],GroupVertices[Vertex],0)),1,1,"")</f>
        <v>edico Tannu</v>
      </c>
      <c r="R1160" s="78" t="str">
        <f>REPLACE(INDEX(GroupVertices[Group],MATCH(Edges[[#This Row],[Vertex 2]],GroupVertices[Vertex],0)),1,1,"")</f>
        <v>earn With Jenny</v>
      </c>
    </row>
    <row r="1161" spans="1:18" ht="15">
      <c r="A1161" s="64" t="s">
        <v>247</v>
      </c>
      <c r="B1161" s="64" t="s">
        <v>2558</v>
      </c>
      <c r="C1161" s="65" t="s">
        <v>4443</v>
      </c>
      <c r="D1161" s="66">
        <v>3</v>
      </c>
      <c r="E1161" s="67"/>
      <c r="F1161" s="68">
        <v>40</v>
      </c>
      <c r="G1161" s="65"/>
      <c r="H1161" s="69"/>
      <c r="I1161" s="70"/>
      <c r="J1161" s="70"/>
      <c r="K1161" s="34" t="s">
        <v>65</v>
      </c>
      <c r="L1161" s="77">
        <v>1161</v>
      </c>
      <c r="M1161" s="77"/>
      <c r="N1161" s="72"/>
      <c r="O1161" s="79" t="s">
        <v>610</v>
      </c>
      <c r="P1161" s="79">
        <v>1</v>
      </c>
      <c r="Q1161" s="78" t="str">
        <f>REPLACE(INDEX(GroupVertices[Group],MATCH(Edges[[#This Row],[Vertex 1]],GroupVertices[Vertex],0)),1,1,"")</f>
        <v>ODAY</v>
      </c>
      <c r="R1161" s="78" t="str">
        <f>REPLACE(INDEX(GroupVertices[Group],MATCH(Edges[[#This Row],[Vertex 2]],GroupVertices[Vertex],0)),1,1,"")</f>
        <v>nTerencething</v>
      </c>
    </row>
    <row r="1162" spans="1:18" ht="15">
      <c r="A1162" s="64" t="s">
        <v>247</v>
      </c>
      <c r="B1162" s="64" t="s">
        <v>2559</v>
      </c>
      <c r="C1162" s="65" t="s">
        <v>4443</v>
      </c>
      <c r="D1162" s="66">
        <v>3</v>
      </c>
      <c r="E1162" s="67"/>
      <c r="F1162" s="68">
        <v>40</v>
      </c>
      <c r="G1162" s="65"/>
      <c r="H1162" s="69"/>
      <c r="I1162" s="70"/>
      <c r="J1162" s="70"/>
      <c r="K1162" s="34" t="s">
        <v>65</v>
      </c>
      <c r="L1162" s="77">
        <v>1162</v>
      </c>
      <c r="M1162" s="77"/>
      <c r="N1162" s="72"/>
      <c r="O1162" s="79" t="s">
        <v>610</v>
      </c>
      <c r="P1162" s="79">
        <v>1</v>
      </c>
      <c r="Q1162" s="78" t="str">
        <f>REPLACE(INDEX(GroupVertices[Group],MATCH(Edges[[#This Row],[Vertex 1]],GroupVertices[Vertex],0)),1,1,"")</f>
        <v>ODAY</v>
      </c>
      <c r="R1162" s="78" t="str">
        <f>REPLACE(INDEX(GroupVertices[Group],MATCH(Edges[[#This Row],[Vertex 2]],GroupVertices[Vertex],0)),1,1,"")</f>
        <v>icole Evans</v>
      </c>
    </row>
    <row r="1163" spans="1:18" ht="15">
      <c r="A1163" s="64" t="s">
        <v>247</v>
      </c>
      <c r="B1163" s="64" t="s">
        <v>2560</v>
      </c>
      <c r="C1163" s="65" t="s">
        <v>4443</v>
      </c>
      <c r="D1163" s="66">
        <v>3</v>
      </c>
      <c r="E1163" s="67"/>
      <c r="F1163" s="68">
        <v>40</v>
      </c>
      <c r="G1163" s="65"/>
      <c r="H1163" s="69"/>
      <c r="I1163" s="70"/>
      <c r="J1163" s="70"/>
      <c r="K1163" s="34" t="s">
        <v>65</v>
      </c>
      <c r="L1163" s="77">
        <v>1163</v>
      </c>
      <c r="M1163" s="77"/>
      <c r="N1163" s="72"/>
      <c r="O1163" s="79" t="s">
        <v>610</v>
      </c>
      <c r="P1163" s="79">
        <v>1</v>
      </c>
      <c r="Q1163" s="78" t="str">
        <f>REPLACE(INDEX(GroupVertices[Group],MATCH(Edges[[#This Row],[Vertex 1]],GroupVertices[Vertex],0)),1,1,"")</f>
        <v>ODAY</v>
      </c>
      <c r="R1163" s="78" t="str">
        <f>REPLACE(INDEX(GroupVertices[Group],MATCH(Edges[[#This Row],[Vertex 2]],GroupVertices[Vertex],0)),1,1,"")</f>
        <v>att Kiebach</v>
      </c>
    </row>
    <row r="1164" spans="1:18" ht="15">
      <c r="A1164" s="64" t="s">
        <v>247</v>
      </c>
      <c r="B1164" s="64" t="s">
        <v>2561</v>
      </c>
      <c r="C1164" s="65" t="s">
        <v>4443</v>
      </c>
      <c r="D1164" s="66">
        <v>3</v>
      </c>
      <c r="E1164" s="67"/>
      <c r="F1164" s="68">
        <v>40</v>
      </c>
      <c r="G1164" s="65"/>
      <c r="H1164" s="69"/>
      <c r="I1164" s="70"/>
      <c r="J1164" s="70"/>
      <c r="K1164" s="34" t="s">
        <v>65</v>
      </c>
      <c r="L1164" s="77">
        <v>1164</v>
      </c>
      <c r="M1164" s="77"/>
      <c r="N1164" s="72"/>
      <c r="O1164" s="79" t="s">
        <v>610</v>
      </c>
      <c r="P1164" s="79">
        <v>1</v>
      </c>
      <c r="Q1164" s="78" t="str">
        <f>REPLACE(INDEX(GroupVertices[Group],MATCH(Edges[[#This Row],[Vertex 1]],GroupVertices[Vertex],0)),1,1,"")</f>
        <v>ODAY</v>
      </c>
      <c r="R1164" s="78" t="str">
        <f>REPLACE(INDEX(GroupVertices[Group],MATCH(Edges[[#This Row],[Vertex 2]],GroupVertices[Vertex],0)),1,1,"")</f>
        <v>he Chius</v>
      </c>
    </row>
    <row r="1165" spans="1:18" ht="15">
      <c r="A1165" s="64" t="s">
        <v>247</v>
      </c>
      <c r="B1165" s="64" t="s">
        <v>2562</v>
      </c>
      <c r="C1165" s="65" t="s">
        <v>4443</v>
      </c>
      <c r="D1165" s="66">
        <v>3</v>
      </c>
      <c r="E1165" s="67"/>
      <c r="F1165" s="68">
        <v>40</v>
      </c>
      <c r="G1165" s="65"/>
      <c r="H1165" s="69"/>
      <c r="I1165" s="70"/>
      <c r="J1165" s="70"/>
      <c r="K1165" s="34" t="s">
        <v>65</v>
      </c>
      <c r="L1165" s="77">
        <v>1165</v>
      </c>
      <c r="M1165" s="77"/>
      <c r="N1165" s="72"/>
      <c r="O1165" s="79" t="s">
        <v>610</v>
      </c>
      <c r="P1165" s="79">
        <v>1</v>
      </c>
      <c r="Q1165" s="78" t="str">
        <f>REPLACE(INDEX(GroupVertices[Group],MATCH(Edges[[#This Row],[Vertex 1]],GroupVertices[Vertex],0)),1,1,"")</f>
        <v>ODAY</v>
      </c>
      <c r="R1165" s="78" t="str">
        <f>REPLACE(INDEX(GroupVertices[Group],MATCH(Edges[[#This Row],[Vertex 2]],GroupVertices[Vertex],0)),1,1,"")</f>
        <v>uirejeanne</v>
      </c>
    </row>
    <row r="1166" spans="1:18" ht="15">
      <c r="A1166" s="64" t="s">
        <v>247</v>
      </c>
      <c r="B1166" s="64" t="s">
        <v>2563</v>
      </c>
      <c r="C1166" s="65" t="s">
        <v>4443</v>
      </c>
      <c r="D1166" s="66">
        <v>3</v>
      </c>
      <c r="E1166" s="67"/>
      <c r="F1166" s="68">
        <v>40</v>
      </c>
      <c r="G1166" s="65"/>
      <c r="H1166" s="69"/>
      <c r="I1166" s="70"/>
      <c r="J1166" s="70"/>
      <c r="K1166" s="34" t="s">
        <v>65</v>
      </c>
      <c r="L1166" s="77">
        <v>1166</v>
      </c>
      <c r="M1166" s="77"/>
      <c r="N1166" s="72"/>
      <c r="O1166" s="79" t="s">
        <v>610</v>
      </c>
      <c r="P1166" s="79">
        <v>1</v>
      </c>
      <c r="Q1166" s="78" t="str">
        <f>REPLACE(INDEX(GroupVertices[Group],MATCH(Edges[[#This Row],[Vertex 1]],GroupVertices[Vertex],0)),1,1,"")</f>
        <v>ODAY</v>
      </c>
      <c r="R1166" s="78" t="str">
        <f>REPLACE(INDEX(GroupVertices[Group],MATCH(Edges[[#This Row],[Vertex 2]],GroupVertices[Vertex],0)),1,1,"")</f>
        <v>unday Sitdown with Willie Geist Podc</v>
      </c>
    </row>
    <row r="1167" spans="1:18" ht="15">
      <c r="A1167" s="64" t="s">
        <v>247</v>
      </c>
      <c r="B1167" s="64" t="s">
        <v>2564</v>
      </c>
      <c r="C1167" s="65" t="s">
        <v>4443</v>
      </c>
      <c r="D1167" s="66">
        <v>3</v>
      </c>
      <c r="E1167" s="67"/>
      <c r="F1167" s="68">
        <v>40</v>
      </c>
      <c r="G1167" s="65"/>
      <c r="H1167" s="69"/>
      <c r="I1167" s="70"/>
      <c r="J1167" s="70"/>
      <c r="K1167" s="34" t="s">
        <v>65</v>
      </c>
      <c r="L1167" s="77">
        <v>1167</v>
      </c>
      <c r="M1167" s="77"/>
      <c r="N1167" s="72"/>
      <c r="O1167" s="79" t="s">
        <v>610</v>
      </c>
      <c r="P1167" s="79">
        <v>1</v>
      </c>
      <c r="Q1167" s="78" t="str">
        <f>REPLACE(INDEX(GroupVertices[Group],MATCH(Edges[[#This Row],[Vertex 1]],GroupVertices[Vertex],0)),1,1,"")</f>
        <v>ODAY</v>
      </c>
      <c r="R1167" s="78" t="str">
        <f>REPLACE(INDEX(GroupVertices[Group],MATCH(Edges[[#This Row],[Vertex 2]],GroupVertices[Vertex],0)),1,1,"")</f>
        <v>arade Broadway</v>
      </c>
    </row>
    <row r="1168" spans="1:18" ht="15">
      <c r="A1168" s="64" t="s">
        <v>247</v>
      </c>
      <c r="B1168" s="64" t="s">
        <v>2565</v>
      </c>
      <c r="C1168" s="65" t="s">
        <v>4443</v>
      </c>
      <c r="D1168" s="66">
        <v>3</v>
      </c>
      <c r="E1168" s="67"/>
      <c r="F1168" s="68">
        <v>40</v>
      </c>
      <c r="G1168" s="65"/>
      <c r="H1168" s="69"/>
      <c r="I1168" s="70"/>
      <c r="J1168" s="70"/>
      <c r="K1168" s="34" t="s">
        <v>65</v>
      </c>
      <c r="L1168" s="77">
        <v>1168</v>
      </c>
      <c r="M1168" s="77"/>
      <c r="N1168" s="72"/>
      <c r="O1168" s="79" t="s">
        <v>610</v>
      </c>
      <c r="P1168" s="79">
        <v>1</v>
      </c>
      <c r="Q1168" s="78" t="str">
        <f>REPLACE(INDEX(GroupVertices[Group],MATCH(Edges[[#This Row],[Vertex 1]],GroupVertices[Vertex],0)),1,1,"")</f>
        <v>ODAY</v>
      </c>
      <c r="R1168" s="78" t="str">
        <f>REPLACE(INDEX(GroupVertices[Group],MATCH(Edges[[#This Row],[Vertex 2]],GroupVertices[Vertex],0)),1,1,"")</f>
        <v>ECTV</v>
      </c>
    </row>
    <row r="1169" spans="1:18" ht="15">
      <c r="A1169" s="64" t="s">
        <v>247</v>
      </c>
      <c r="B1169" s="64" t="s">
        <v>2566</v>
      </c>
      <c r="C1169" s="65" t="s">
        <v>4443</v>
      </c>
      <c r="D1169" s="66">
        <v>3</v>
      </c>
      <c r="E1169" s="67"/>
      <c r="F1169" s="68">
        <v>40</v>
      </c>
      <c r="G1169" s="65"/>
      <c r="H1169" s="69"/>
      <c r="I1169" s="70"/>
      <c r="J1169" s="70"/>
      <c r="K1169" s="34" t="s">
        <v>65</v>
      </c>
      <c r="L1169" s="77">
        <v>1169</v>
      </c>
      <c r="M1169" s="77"/>
      <c r="N1169" s="72"/>
      <c r="O1169" s="79" t="s">
        <v>610</v>
      </c>
      <c r="P1169" s="79">
        <v>1</v>
      </c>
      <c r="Q1169" s="78" t="str">
        <f>REPLACE(INDEX(GroupVertices[Group],MATCH(Edges[[#This Row],[Vertex 1]],GroupVertices[Vertex],0)),1,1,"")</f>
        <v>ODAY</v>
      </c>
      <c r="R1169" s="78" t="str">
        <f>REPLACE(INDEX(GroupVertices[Group],MATCH(Edges[[#This Row],[Vertex 2]],GroupVertices[Vertex],0)),1,1,"")</f>
        <v>aige Kornblue Media</v>
      </c>
    </row>
    <row r="1170" spans="1:18" ht="15">
      <c r="A1170" s="64" t="s">
        <v>247</v>
      </c>
      <c r="B1170" s="64" t="s">
        <v>2567</v>
      </c>
      <c r="C1170" s="65" t="s">
        <v>4443</v>
      </c>
      <c r="D1170" s="66">
        <v>3</v>
      </c>
      <c r="E1170" s="67"/>
      <c r="F1170" s="68">
        <v>40</v>
      </c>
      <c r="G1170" s="65"/>
      <c r="H1170" s="69"/>
      <c r="I1170" s="70"/>
      <c r="J1170" s="70"/>
      <c r="K1170" s="34" t="s">
        <v>65</v>
      </c>
      <c r="L1170" s="77">
        <v>1170</v>
      </c>
      <c r="M1170" s="77"/>
      <c r="N1170" s="72"/>
      <c r="O1170" s="79" t="s">
        <v>610</v>
      </c>
      <c r="P1170" s="79">
        <v>1</v>
      </c>
      <c r="Q1170" s="78" t="str">
        <f>REPLACE(INDEX(GroupVertices[Group],MATCH(Edges[[#This Row],[Vertex 1]],GroupVertices[Vertex],0)),1,1,"")</f>
        <v>ODAY</v>
      </c>
      <c r="R1170" s="78" t="str">
        <f>REPLACE(INDEX(GroupVertices[Group],MATCH(Edges[[#This Row],[Vertex 2]],GroupVertices[Vertex],0)),1,1,"")</f>
        <v>egyn Kelly</v>
      </c>
    </row>
    <row r="1171" spans="1:18" ht="15">
      <c r="A1171" s="64" t="s">
        <v>247</v>
      </c>
      <c r="B1171" s="64" t="s">
        <v>2568</v>
      </c>
      <c r="C1171" s="65" t="s">
        <v>4443</v>
      </c>
      <c r="D1171" s="66">
        <v>3</v>
      </c>
      <c r="E1171" s="67"/>
      <c r="F1171" s="68">
        <v>40</v>
      </c>
      <c r="G1171" s="65"/>
      <c r="H1171" s="69"/>
      <c r="I1171" s="70"/>
      <c r="J1171" s="70"/>
      <c r="K1171" s="34" t="s">
        <v>65</v>
      </c>
      <c r="L1171" s="77">
        <v>1171</v>
      </c>
      <c r="M1171" s="77"/>
      <c r="N1171" s="72"/>
      <c r="O1171" s="79" t="s">
        <v>610</v>
      </c>
      <c r="P1171" s="79">
        <v>1</v>
      </c>
      <c r="Q1171" s="78" t="str">
        <f>REPLACE(INDEX(GroupVertices[Group],MATCH(Edges[[#This Row],[Vertex 1]],GroupVertices[Vertex],0)),1,1,"")</f>
        <v>ODAY</v>
      </c>
      <c r="R1171" s="78" t="str">
        <f>REPLACE(INDEX(GroupVertices[Group],MATCH(Edges[[#This Row],[Vertex 2]],GroupVertices[Vertex],0)),1,1,"")</f>
        <v>mmunotherapy Institute</v>
      </c>
    </row>
    <row r="1172" spans="1:18" ht="15">
      <c r="A1172" s="64" t="s">
        <v>247</v>
      </c>
      <c r="B1172" s="64" t="s">
        <v>2569</v>
      </c>
      <c r="C1172" s="65" t="s">
        <v>4443</v>
      </c>
      <c r="D1172" s="66">
        <v>3</v>
      </c>
      <c r="E1172" s="67"/>
      <c r="F1172" s="68">
        <v>40</v>
      </c>
      <c r="G1172" s="65"/>
      <c r="H1172" s="69"/>
      <c r="I1172" s="70"/>
      <c r="J1172" s="70"/>
      <c r="K1172" s="34" t="s">
        <v>65</v>
      </c>
      <c r="L1172" s="77">
        <v>1172</v>
      </c>
      <c r="M1172" s="77"/>
      <c r="N1172" s="72"/>
      <c r="O1172" s="79" t="s">
        <v>610</v>
      </c>
      <c r="P1172" s="79">
        <v>1</v>
      </c>
      <c r="Q1172" s="78" t="str">
        <f>REPLACE(INDEX(GroupVertices[Group],MATCH(Edges[[#This Row],[Vertex 1]],GroupVertices[Vertex],0)),1,1,"")</f>
        <v>ODAY</v>
      </c>
      <c r="R1172" s="78" t="str">
        <f>REPLACE(INDEX(GroupVertices[Group],MATCH(Edges[[#This Row],[Vertex 2]],GroupVertices[Vertex],0)),1,1,"")</f>
        <v>ODAY</v>
      </c>
    </row>
    <row r="1173" spans="1:18" ht="15">
      <c r="A1173" s="64" t="s">
        <v>247</v>
      </c>
      <c r="B1173" s="64" t="s">
        <v>2570</v>
      </c>
      <c r="C1173" s="65" t="s">
        <v>4443</v>
      </c>
      <c r="D1173" s="66">
        <v>3</v>
      </c>
      <c r="E1173" s="67"/>
      <c r="F1173" s="68">
        <v>40</v>
      </c>
      <c r="G1173" s="65"/>
      <c r="H1173" s="69"/>
      <c r="I1173" s="70"/>
      <c r="J1173" s="70"/>
      <c r="K1173" s="34" t="s">
        <v>65</v>
      </c>
      <c r="L1173" s="77">
        <v>1173</v>
      </c>
      <c r="M1173" s="77"/>
      <c r="N1173" s="72"/>
      <c r="O1173" s="79" t="s">
        <v>610</v>
      </c>
      <c r="P1173" s="79">
        <v>1</v>
      </c>
      <c r="Q1173" s="78" t="str">
        <f>REPLACE(INDEX(GroupVertices[Group],MATCH(Edges[[#This Row],[Vertex 1]],GroupVertices[Vertex],0)),1,1,"")</f>
        <v>ODAY</v>
      </c>
      <c r="R1173" s="78" t="str">
        <f>REPLACE(INDEX(GroupVertices[Group],MATCH(Edges[[#This Row],[Vertex 2]],GroupVertices[Vertex],0)),1,1,"")</f>
        <v>FGHFoundation</v>
      </c>
    </row>
    <row r="1174" spans="1:18" ht="15">
      <c r="A1174" s="64" t="s">
        <v>247</v>
      </c>
      <c r="B1174" s="64" t="s">
        <v>2571</v>
      </c>
      <c r="C1174" s="65" t="s">
        <v>4443</v>
      </c>
      <c r="D1174" s="66">
        <v>3</v>
      </c>
      <c r="E1174" s="67"/>
      <c r="F1174" s="68">
        <v>40</v>
      </c>
      <c r="G1174" s="65"/>
      <c r="H1174" s="69"/>
      <c r="I1174" s="70"/>
      <c r="J1174" s="70"/>
      <c r="K1174" s="34" t="s">
        <v>65</v>
      </c>
      <c r="L1174" s="77">
        <v>1174</v>
      </c>
      <c r="M1174" s="77"/>
      <c r="N1174" s="72"/>
      <c r="O1174" s="79" t="s">
        <v>610</v>
      </c>
      <c r="P1174" s="79">
        <v>1</v>
      </c>
      <c r="Q1174" s="78" t="str">
        <f>REPLACE(INDEX(GroupVertices[Group],MATCH(Edges[[#This Row],[Vertex 1]],GroupVertices[Vertex],0)),1,1,"")</f>
        <v>ODAY</v>
      </c>
      <c r="R1174" s="78" t="str">
        <f>REPLACE(INDEX(GroupVertices[Group],MATCH(Edges[[#This Row],[Vertex 2]],GroupVertices[Vertex],0)),1,1,"")</f>
        <v>BS News</v>
      </c>
    </row>
    <row r="1175" spans="1:18" ht="15">
      <c r="A1175" s="64" t="s">
        <v>247</v>
      </c>
      <c r="B1175" s="64" t="s">
        <v>2572</v>
      </c>
      <c r="C1175" s="65" t="s">
        <v>4443</v>
      </c>
      <c r="D1175" s="66">
        <v>3</v>
      </c>
      <c r="E1175" s="67"/>
      <c r="F1175" s="68">
        <v>40</v>
      </c>
      <c r="G1175" s="65"/>
      <c r="H1175" s="69"/>
      <c r="I1175" s="70"/>
      <c r="J1175" s="70"/>
      <c r="K1175" s="34" t="s">
        <v>65</v>
      </c>
      <c r="L1175" s="77">
        <v>1175</v>
      </c>
      <c r="M1175" s="77"/>
      <c r="N1175" s="72"/>
      <c r="O1175" s="79" t="s">
        <v>610</v>
      </c>
      <c r="P1175" s="79">
        <v>1</v>
      </c>
      <c r="Q1175" s="78" t="str">
        <f>REPLACE(INDEX(GroupVertices[Group],MATCH(Edges[[#This Row],[Vertex 1]],GroupVertices[Vertex],0)),1,1,"")</f>
        <v>ODAY</v>
      </c>
      <c r="R1175" s="78" t="str">
        <f>REPLACE(INDEX(GroupVertices[Group],MATCH(Edges[[#This Row],[Vertex 2]],GroupVertices[Vertex],0)),1,1,"")</f>
        <v>he New York Times</v>
      </c>
    </row>
    <row r="1176" spans="1:18" ht="15">
      <c r="A1176" s="64" t="s">
        <v>247</v>
      </c>
      <c r="B1176" s="64" t="s">
        <v>2573</v>
      </c>
      <c r="C1176" s="65" t="s">
        <v>4443</v>
      </c>
      <c r="D1176" s="66">
        <v>3</v>
      </c>
      <c r="E1176" s="67"/>
      <c r="F1176" s="68">
        <v>40</v>
      </c>
      <c r="G1176" s="65"/>
      <c r="H1176" s="69"/>
      <c r="I1176" s="70"/>
      <c r="J1176" s="70"/>
      <c r="K1176" s="34" t="s">
        <v>65</v>
      </c>
      <c r="L1176" s="77">
        <v>1176</v>
      </c>
      <c r="M1176" s="77"/>
      <c r="N1176" s="72"/>
      <c r="O1176" s="79" t="s">
        <v>610</v>
      </c>
      <c r="P1176" s="79">
        <v>1</v>
      </c>
      <c r="Q1176" s="78" t="str">
        <f>REPLACE(INDEX(GroupVertices[Group],MATCH(Edges[[#This Row],[Vertex 1]],GroupVertices[Vertex],0)),1,1,"")</f>
        <v>ODAY</v>
      </c>
      <c r="R1176" s="78" t="str">
        <f>REPLACE(INDEX(GroupVertices[Group],MATCH(Edges[[#This Row],[Vertex 2]],GroupVertices[Vertex],0)),1,1,"")</f>
        <v>ODAY</v>
      </c>
    </row>
    <row r="1177" spans="1:18" ht="15">
      <c r="A1177" s="64" t="s">
        <v>247</v>
      </c>
      <c r="B1177" s="64" t="s">
        <v>2574</v>
      </c>
      <c r="C1177" s="65" t="s">
        <v>4443</v>
      </c>
      <c r="D1177" s="66">
        <v>3</v>
      </c>
      <c r="E1177" s="67"/>
      <c r="F1177" s="68">
        <v>40</v>
      </c>
      <c r="G1177" s="65"/>
      <c r="H1177" s="69"/>
      <c r="I1177" s="70"/>
      <c r="J1177" s="70"/>
      <c r="K1177" s="34" t="s">
        <v>65</v>
      </c>
      <c r="L1177" s="77">
        <v>1177</v>
      </c>
      <c r="M1177" s="77"/>
      <c r="N1177" s="72"/>
      <c r="O1177" s="79" t="s">
        <v>610</v>
      </c>
      <c r="P1177" s="79">
        <v>1</v>
      </c>
      <c r="Q1177" s="78" t="str">
        <f>REPLACE(INDEX(GroupVertices[Group],MATCH(Edges[[#This Row],[Vertex 1]],GroupVertices[Vertex],0)),1,1,"")</f>
        <v>ODAY</v>
      </c>
      <c r="R1177" s="78" t="str">
        <f>REPLACE(INDEX(GroupVertices[Group],MATCH(Edges[[#This Row],[Vertex 2]],GroupVertices[Vertex],0)),1,1,"")</f>
        <v>ODAY</v>
      </c>
    </row>
    <row r="1178" spans="1:18" ht="15">
      <c r="A1178" s="64" t="s">
        <v>247</v>
      </c>
      <c r="B1178" s="64" t="s">
        <v>2575</v>
      </c>
      <c r="C1178" s="65" t="s">
        <v>4443</v>
      </c>
      <c r="D1178" s="66">
        <v>3</v>
      </c>
      <c r="E1178" s="67"/>
      <c r="F1178" s="68">
        <v>40</v>
      </c>
      <c r="G1178" s="65"/>
      <c r="H1178" s="69"/>
      <c r="I1178" s="70"/>
      <c r="J1178" s="70"/>
      <c r="K1178" s="34" t="s">
        <v>65</v>
      </c>
      <c r="L1178" s="77">
        <v>1178</v>
      </c>
      <c r="M1178" s="77"/>
      <c r="N1178" s="72"/>
      <c r="O1178" s="79" t="s">
        <v>610</v>
      </c>
      <c r="P1178" s="79">
        <v>1</v>
      </c>
      <c r="Q1178" s="78" t="str">
        <f>REPLACE(INDEX(GroupVertices[Group],MATCH(Edges[[#This Row],[Vertex 1]],GroupVertices[Vertex],0)),1,1,"")</f>
        <v>ODAY</v>
      </c>
      <c r="R1178" s="78" t="str">
        <f>REPLACE(INDEX(GroupVertices[Group],MATCH(Edges[[#This Row],[Vertex 2]],GroupVertices[Vertex],0)),1,1,"")</f>
        <v>ODAY</v>
      </c>
    </row>
    <row r="1179" spans="1:18" ht="15">
      <c r="A1179" s="64" t="s">
        <v>247</v>
      </c>
      <c r="B1179" s="64" t="s">
        <v>2576</v>
      </c>
      <c r="C1179" s="65" t="s">
        <v>4443</v>
      </c>
      <c r="D1179" s="66">
        <v>3</v>
      </c>
      <c r="E1179" s="67"/>
      <c r="F1179" s="68">
        <v>40</v>
      </c>
      <c r="G1179" s="65"/>
      <c r="H1179" s="69"/>
      <c r="I1179" s="70"/>
      <c r="J1179" s="70"/>
      <c r="K1179" s="34" t="s">
        <v>65</v>
      </c>
      <c r="L1179" s="77">
        <v>1179</v>
      </c>
      <c r="M1179" s="77"/>
      <c r="N1179" s="72"/>
      <c r="O1179" s="79" t="s">
        <v>610</v>
      </c>
      <c r="P1179" s="79">
        <v>1</v>
      </c>
      <c r="Q1179" s="78" t="str">
        <f>REPLACE(INDEX(GroupVertices[Group],MATCH(Edges[[#This Row],[Vertex 1]],GroupVertices[Vertex],0)),1,1,"")</f>
        <v>ODAY</v>
      </c>
      <c r="R1179" s="78" t="str">
        <f>REPLACE(INDEX(GroupVertices[Group],MATCH(Edges[[#This Row],[Vertex 2]],GroupVertices[Vertex],0)),1,1,"")</f>
        <v>ODAY</v>
      </c>
    </row>
    <row r="1180" spans="1:18" ht="15">
      <c r="A1180" s="64" t="s">
        <v>247</v>
      </c>
      <c r="B1180" s="64" t="s">
        <v>2577</v>
      </c>
      <c r="C1180" s="65" t="s">
        <v>4443</v>
      </c>
      <c r="D1180" s="66">
        <v>3</v>
      </c>
      <c r="E1180" s="67"/>
      <c r="F1180" s="68">
        <v>40</v>
      </c>
      <c r="G1180" s="65"/>
      <c r="H1180" s="69"/>
      <c r="I1180" s="70"/>
      <c r="J1180" s="70"/>
      <c r="K1180" s="34" t="s">
        <v>65</v>
      </c>
      <c r="L1180" s="77">
        <v>1180</v>
      </c>
      <c r="M1180" s="77"/>
      <c r="N1180" s="72"/>
      <c r="O1180" s="79" t="s">
        <v>610</v>
      </c>
      <c r="P1180" s="79">
        <v>1</v>
      </c>
      <c r="Q1180" s="78" t="str">
        <f>REPLACE(INDEX(GroupVertices[Group],MATCH(Edges[[#This Row],[Vertex 1]],GroupVertices[Vertex],0)),1,1,"")</f>
        <v>ODAY</v>
      </c>
      <c r="R1180" s="78" t="str">
        <f>REPLACE(INDEX(GroupVertices[Group],MATCH(Edges[[#This Row],[Vertex 2]],GroupVertices[Vertex],0)),1,1,"")</f>
        <v>ODAY</v>
      </c>
    </row>
    <row r="1181" spans="1:18" ht="15">
      <c r="A1181" s="64" t="s">
        <v>247</v>
      </c>
      <c r="B1181" s="64" t="s">
        <v>2578</v>
      </c>
      <c r="C1181" s="65" t="s">
        <v>4443</v>
      </c>
      <c r="D1181" s="66">
        <v>3</v>
      </c>
      <c r="E1181" s="67"/>
      <c r="F1181" s="68">
        <v>40</v>
      </c>
      <c r="G1181" s="65"/>
      <c r="H1181" s="69"/>
      <c r="I1181" s="70"/>
      <c r="J1181" s="70"/>
      <c r="K1181" s="34" t="s">
        <v>65</v>
      </c>
      <c r="L1181" s="77">
        <v>1181</v>
      </c>
      <c r="M1181" s="77"/>
      <c r="N1181" s="72"/>
      <c r="O1181" s="79" t="s">
        <v>610</v>
      </c>
      <c r="P1181" s="79">
        <v>1</v>
      </c>
      <c r="Q1181" s="78" t="str">
        <f>REPLACE(INDEX(GroupVertices[Group],MATCH(Edges[[#This Row],[Vertex 1]],GroupVertices[Vertex],0)),1,1,"")</f>
        <v>ODAY</v>
      </c>
      <c r="R1181" s="78" t="str">
        <f>REPLACE(INDEX(GroupVertices[Group],MATCH(Edges[[#This Row],[Vertex 2]],GroupVertices[Vertex],0)),1,1,"")</f>
        <v>ODAY</v>
      </c>
    </row>
    <row r="1182" spans="1:18" ht="15">
      <c r="A1182" s="64" t="s">
        <v>247</v>
      </c>
      <c r="B1182" s="64" t="s">
        <v>2579</v>
      </c>
      <c r="C1182" s="65" t="s">
        <v>4443</v>
      </c>
      <c r="D1182" s="66">
        <v>3</v>
      </c>
      <c r="E1182" s="67"/>
      <c r="F1182" s="68">
        <v>40</v>
      </c>
      <c r="G1182" s="65"/>
      <c r="H1182" s="69"/>
      <c r="I1182" s="70"/>
      <c r="J1182" s="70"/>
      <c r="K1182" s="34" t="s">
        <v>65</v>
      </c>
      <c r="L1182" s="77">
        <v>1182</v>
      </c>
      <c r="M1182" s="77"/>
      <c r="N1182" s="72"/>
      <c r="O1182" s="79" t="s">
        <v>610</v>
      </c>
      <c r="P1182" s="79">
        <v>1</v>
      </c>
      <c r="Q1182" s="78" t="str">
        <f>REPLACE(INDEX(GroupVertices[Group],MATCH(Edges[[#This Row],[Vertex 1]],GroupVertices[Vertex],0)),1,1,"")</f>
        <v>ODAY</v>
      </c>
      <c r="R1182" s="78" t="str">
        <f>REPLACE(INDEX(GroupVertices[Group],MATCH(Edges[[#This Row],[Vertex 2]],GroupVertices[Vertex],0)),1,1,"")</f>
        <v>ODAY</v>
      </c>
    </row>
    <row r="1183" spans="1:18" ht="15">
      <c r="A1183" s="64" t="s">
        <v>247</v>
      </c>
      <c r="B1183" s="64" t="s">
        <v>2580</v>
      </c>
      <c r="C1183" s="65" t="s">
        <v>4443</v>
      </c>
      <c r="D1183" s="66">
        <v>3</v>
      </c>
      <c r="E1183" s="67"/>
      <c r="F1183" s="68">
        <v>40</v>
      </c>
      <c r="G1183" s="65"/>
      <c r="H1183" s="69"/>
      <c r="I1183" s="70"/>
      <c r="J1183" s="70"/>
      <c r="K1183" s="34" t="s">
        <v>65</v>
      </c>
      <c r="L1183" s="77">
        <v>1183</v>
      </c>
      <c r="M1183" s="77"/>
      <c r="N1183" s="72"/>
      <c r="O1183" s="79" t="s">
        <v>610</v>
      </c>
      <c r="P1183" s="79">
        <v>1</v>
      </c>
      <c r="Q1183" s="78" t="str">
        <f>REPLACE(INDEX(GroupVertices[Group],MATCH(Edges[[#This Row],[Vertex 1]],GroupVertices[Vertex],0)),1,1,"")</f>
        <v>ODAY</v>
      </c>
      <c r="R1183" s="78" t="str">
        <f>REPLACE(INDEX(GroupVertices[Group],MATCH(Edges[[#This Row],[Vertex 2]],GroupVertices[Vertex],0)),1,1,"")</f>
        <v>ODAY</v>
      </c>
    </row>
    <row r="1184" spans="1:18" ht="15">
      <c r="A1184" s="64" t="s">
        <v>247</v>
      </c>
      <c r="B1184" s="64" t="s">
        <v>2581</v>
      </c>
      <c r="C1184" s="65" t="s">
        <v>4443</v>
      </c>
      <c r="D1184" s="66">
        <v>3</v>
      </c>
      <c r="E1184" s="67"/>
      <c r="F1184" s="68">
        <v>40</v>
      </c>
      <c r="G1184" s="65"/>
      <c r="H1184" s="69"/>
      <c r="I1184" s="70"/>
      <c r="J1184" s="70"/>
      <c r="K1184" s="34" t="s">
        <v>65</v>
      </c>
      <c r="L1184" s="77">
        <v>1184</v>
      </c>
      <c r="M1184" s="77"/>
      <c r="N1184" s="72"/>
      <c r="O1184" s="79" t="s">
        <v>610</v>
      </c>
      <c r="P1184" s="79">
        <v>1</v>
      </c>
      <c r="Q1184" s="78" t="str">
        <f>REPLACE(INDEX(GroupVertices[Group],MATCH(Edges[[#This Row],[Vertex 1]],GroupVertices[Vertex],0)),1,1,"")</f>
        <v>ODAY</v>
      </c>
      <c r="R1184" s="78" t="str">
        <f>REPLACE(INDEX(GroupVertices[Group],MATCH(Edges[[#This Row],[Vertex 2]],GroupVertices[Vertex],0)),1,1,"")</f>
        <v>ODAY</v>
      </c>
    </row>
    <row r="1185" spans="1:18" ht="15">
      <c r="A1185" s="64" t="s">
        <v>247</v>
      </c>
      <c r="B1185" s="64" t="s">
        <v>2582</v>
      </c>
      <c r="C1185" s="65" t="s">
        <v>4443</v>
      </c>
      <c r="D1185" s="66">
        <v>3</v>
      </c>
      <c r="E1185" s="67"/>
      <c r="F1185" s="68">
        <v>40</v>
      </c>
      <c r="G1185" s="65"/>
      <c r="H1185" s="69"/>
      <c r="I1185" s="70"/>
      <c r="J1185" s="70"/>
      <c r="K1185" s="34" t="s">
        <v>65</v>
      </c>
      <c r="L1185" s="77">
        <v>1185</v>
      </c>
      <c r="M1185" s="77"/>
      <c r="N1185" s="72"/>
      <c r="O1185" s="79" t="s">
        <v>610</v>
      </c>
      <c r="P1185" s="79">
        <v>1</v>
      </c>
      <c r="Q1185" s="78" t="str">
        <f>REPLACE(INDEX(GroupVertices[Group],MATCH(Edges[[#This Row],[Vertex 1]],GroupVertices[Vertex],0)),1,1,"")</f>
        <v>ODAY</v>
      </c>
      <c r="R1185" s="78" t="str">
        <f>REPLACE(INDEX(GroupVertices[Group],MATCH(Edges[[#This Row],[Vertex 2]],GroupVertices[Vertex],0)),1,1,"")</f>
        <v>ODAY</v>
      </c>
    </row>
    <row r="1186" spans="1:18" ht="15">
      <c r="A1186" s="64" t="s">
        <v>247</v>
      </c>
      <c r="B1186" s="64" t="s">
        <v>2583</v>
      </c>
      <c r="C1186" s="65" t="s">
        <v>4443</v>
      </c>
      <c r="D1186" s="66">
        <v>3</v>
      </c>
      <c r="E1186" s="67"/>
      <c r="F1186" s="68">
        <v>40</v>
      </c>
      <c r="G1186" s="65"/>
      <c r="H1186" s="69"/>
      <c r="I1186" s="70"/>
      <c r="J1186" s="70"/>
      <c r="K1186" s="34" t="s">
        <v>65</v>
      </c>
      <c r="L1186" s="77">
        <v>1186</v>
      </c>
      <c r="M1186" s="77"/>
      <c r="N1186" s="72"/>
      <c r="O1186" s="79" t="s">
        <v>610</v>
      </c>
      <c r="P1186" s="79">
        <v>1</v>
      </c>
      <c r="Q1186" s="78" t="str">
        <f>REPLACE(INDEX(GroupVertices[Group],MATCH(Edges[[#This Row],[Vertex 1]],GroupVertices[Vertex],0)),1,1,"")</f>
        <v>ODAY</v>
      </c>
      <c r="R1186" s="78" t="str">
        <f>REPLACE(INDEX(GroupVertices[Group],MATCH(Edges[[#This Row],[Vertex 2]],GroupVertices[Vertex],0)),1,1,"")</f>
        <v>ODAY</v>
      </c>
    </row>
    <row r="1187" spans="1:18" ht="15">
      <c r="A1187" s="64" t="s">
        <v>247</v>
      </c>
      <c r="B1187" s="64" t="s">
        <v>2584</v>
      </c>
      <c r="C1187" s="65" t="s">
        <v>4443</v>
      </c>
      <c r="D1187" s="66">
        <v>3</v>
      </c>
      <c r="E1187" s="67"/>
      <c r="F1187" s="68">
        <v>40</v>
      </c>
      <c r="G1187" s="65"/>
      <c r="H1187" s="69"/>
      <c r="I1187" s="70"/>
      <c r="J1187" s="70"/>
      <c r="K1187" s="34" t="s">
        <v>65</v>
      </c>
      <c r="L1187" s="77">
        <v>1187</v>
      </c>
      <c r="M1187" s="77"/>
      <c r="N1187" s="72"/>
      <c r="O1187" s="79" t="s">
        <v>610</v>
      </c>
      <c r="P1187" s="79">
        <v>1</v>
      </c>
      <c r="Q1187" s="78" t="str">
        <f>REPLACE(INDEX(GroupVertices[Group],MATCH(Edges[[#This Row],[Vertex 1]],GroupVertices[Vertex],0)),1,1,"")</f>
        <v>ODAY</v>
      </c>
      <c r="R1187" s="78" t="str">
        <f>REPLACE(INDEX(GroupVertices[Group],MATCH(Edges[[#This Row],[Vertex 2]],GroupVertices[Vertex],0)),1,1,"")</f>
        <v>ODAY</v>
      </c>
    </row>
    <row r="1188" spans="1:18" ht="15">
      <c r="A1188" s="64" t="s">
        <v>247</v>
      </c>
      <c r="B1188" s="64" t="s">
        <v>2585</v>
      </c>
      <c r="C1188" s="65" t="s">
        <v>4443</v>
      </c>
      <c r="D1188" s="66">
        <v>3</v>
      </c>
      <c r="E1188" s="67"/>
      <c r="F1188" s="68">
        <v>40</v>
      </c>
      <c r="G1188" s="65"/>
      <c r="H1188" s="69"/>
      <c r="I1188" s="70"/>
      <c r="J1188" s="70"/>
      <c r="K1188" s="34" t="s">
        <v>65</v>
      </c>
      <c r="L1188" s="77">
        <v>1188</v>
      </c>
      <c r="M1188" s="77"/>
      <c r="N1188" s="72"/>
      <c r="O1188" s="79" t="s">
        <v>610</v>
      </c>
      <c r="P1188" s="79">
        <v>1</v>
      </c>
      <c r="Q1188" s="78" t="str">
        <f>REPLACE(INDEX(GroupVertices[Group],MATCH(Edges[[#This Row],[Vertex 1]],GroupVertices[Vertex],0)),1,1,"")</f>
        <v>ODAY</v>
      </c>
      <c r="R1188" s="78" t="str">
        <f>REPLACE(INDEX(GroupVertices[Group],MATCH(Edges[[#This Row],[Vertex 2]],GroupVertices[Vertex],0)),1,1,"")</f>
        <v>ODAY</v>
      </c>
    </row>
    <row r="1189" spans="1:18" ht="15">
      <c r="A1189" s="64" t="s">
        <v>247</v>
      </c>
      <c r="B1189" s="64" t="s">
        <v>2586</v>
      </c>
      <c r="C1189" s="65" t="s">
        <v>4443</v>
      </c>
      <c r="D1189" s="66">
        <v>3</v>
      </c>
      <c r="E1189" s="67"/>
      <c r="F1189" s="68">
        <v>40</v>
      </c>
      <c r="G1189" s="65"/>
      <c r="H1189" s="69"/>
      <c r="I1189" s="70"/>
      <c r="J1189" s="70"/>
      <c r="K1189" s="34" t="s">
        <v>65</v>
      </c>
      <c r="L1189" s="77">
        <v>1189</v>
      </c>
      <c r="M1189" s="77"/>
      <c r="N1189" s="72"/>
      <c r="O1189" s="79" t="s">
        <v>610</v>
      </c>
      <c r="P1189" s="79">
        <v>1</v>
      </c>
      <c r="Q1189" s="78" t="str">
        <f>REPLACE(INDEX(GroupVertices[Group],MATCH(Edges[[#This Row],[Vertex 1]],GroupVertices[Vertex],0)),1,1,"")</f>
        <v>ODAY</v>
      </c>
      <c r="R1189" s="78" t="str">
        <f>REPLACE(INDEX(GroupVertices[Group],MATCH(Edges[[#This Row],[Vertex 2]],GroupVertices[Vertex],0)),1,1,"")</f>
        <v>ODAY</v>
      </c>
    </row>
    <row r="1190" spans="1:18" ht="15">
      <c r="A1190" s="64" t="s">
        <v>247</v>
      </c>
      <c r="B1190" s="64" t="s">
        <v>2587</v>
      </c>
      <c r="C1190" s="65" t="s">
        <v>4443</v>
      </c>
      <c r="D1190" s="66">
        <v>3</v>
      </c>
      <c r="E1190" s="67"/>
      <c r="F1190" s="68">
        <v>40</v>
      </c>
      <c r="G1190" s="65"/>
      <c r="H1190" s="69"/>
      <c r="I1190" s="70"/>
      <c r="J1190" s="70"/>
      <c r="K1190" s="34" t="s">
        <v>65</v>
      </c>
      <c r="L1190" s="77">
        <v>1190</v>
      </c>
      <c r="M1190" s="77"/>
      <c r="N1190" s="72"/>
      <c r="O1190" s="79" t="s">
        <v>610</v>
      </c>
      <c r="P1190" s="79">
        <v>1</v>
      </c>
      <c r="Q1190" s="78" t="str">
        <f>REPLACE(INDEX(GroupVertices[Group],MATCH(Edges[[#This Row],[Vertex 1]],GroupVertices[Vertex],0)),1,1,"")</f>
        <v>ODAY</v>
      </c>
      <c r="R1190" s="78" t="str">
        <f>REPLACE(INDEX(GroupVertices[Group],MATCH(Edges[[#This Row],[Vertex 2]],GroupVertices[Vertex],0)),1,1,"")</f>
        <v>ODAY</v>
      </c>
    </row>
    <row r="1191" spans="1:18" ht="15">
      <c r="A1191" s="64" t="s">
        <v>247</v>
      </c>
      <c r="B1191" s="64" t="s">
        <v>2588</v>
      </c>
      <c r="C1191" s="65" t="s">
        <v>4443</v>
      </c>
      <c r="D1191" s="66">
        <v>3</v>
      </c>
      <c r="E1191" s="67"/>
      <c r="F1191" s="68">
        <v>40</v>
      </c>
      <c r="G1191" s="65"/>
      <c r="H1191" s="69"/>
      <c r="I1191" s="70"/>
      <c r="J1191" s="70"/>
      <c r="K1191" s="34" t="s">
        <v>65</v>
      </c>
      <c r="L1191" s="77">
        <v>1191</v>
      </c>
      <c r="M1191" s="77"/>
      <c r="N1191" s="72"/>
      <c r="O1191" s="79" t="s">
        <v>610</v>
      </c>
      <c r="P1191" s="79">
        <v>1</v>
      </c>
      <c r="Q1191" s="78" t="str">
        <f>REPLACE(INDEX(GroupVertices[Group],MATCH(Edges[[#This Row],[Vertex 1]],GroupVertices[Vertex],0)),1,1,"")</f>
        <v>ODAY</v>
      </c>
      <c r="R1191" s="78" t="str">
        <f>REPLACE(INDEX(GroupVertices[Group],MATCH(Edges[[#This Row],[Vertex 2]],GroupVertices[Vertex],0)),1,1,"")</f>
        <v>ODAY</v>
      </c>
    </row>
    <row r="1192" spans="1:18" ht="15">
      <c r="A1192" s="64" t="s">
        <v>247</v>
      </c>
      <c r="B1192" s="64" t="s">
        <v>2589</v>
      </c>
      <c r="C1192" s="65" t="s">
        <v>4443</v>
      </c>
      <c r="D1192" s="66">
        <v>3</v>
      </c>
      <c r="E1192" s="67"/>
      <c r="F1192" s="68">
        <v>40</v>
      </c>
      <c r="G1192" s="65"/>
      <c r="H1192" s="69"/>
      <c r="I1192" s="70"/>
      <c r="J1192" s="70"/>
      <c r="K1192" s="34" t="s">
        <v>65</v>
      </c>
      <c r="L1192" s="77">
        <v>1192</v>
      </c>
      <c r="M1192" s="77"/>
      <c r="N1192" s="72"/>
      <c r="O1192" s="79" t="s">
        <v>610</v>
      </c>
      <c r="P1192" s="79">
        <v>1</v>
      </c>
      <c r="Q1192" s="78" t="str">
        <f>REPLACE(INDEX(GroupVertices[Group],MATCH(Edges[[#This Row],[Vertex 1]],GroupVertices[Vertex],0)),1,1,"")</f>
        <v>ODAY</v>
      </c>
      <c r="R1192" s="78" t="str">
        <f>REPLACE(INDEX(GroupVertices[Group],MATCH(Edges[[#This Row],[Vertex 2]],GroupVertices[Vertex],0)),1,1,"")</f>
        <v>ODAY</v>
      </c>
    </row>
    <row r="1193" spans="1:18" ht="15">
      <c r="A1193" s="64" t="s">
        <v>247</v>
      </c>
      <c r="B1193" s="64" t="s">
        <v>2590</v>
      </c>
      <c r="C1193" s="65" t="s">
        <v>4443</v>
      </c>
      <c r="D1193" s="66">
        <v>3</v>
      </c>
      <c r="E1193" s="67"/>
      <c r="F1193" s="68">
        <v>40</v>
      </c>
      <c r="G1193" s="65"/>
      <c r="H1193" s="69"/>
      <c r="I1193" s="70"/>
      <c r="J1193" s="70"/>
      <c r="K1193" s="34" t="s">
        <v>65</v>
      </c>
      <c r="L1193" s="77">
        <v>1193</v>
      </c>
      <c r="M1193" s="77"/>
      <c r="N1193" s="72"/>
      <c r="O1193" s="79" t="s">
        <v>610</v>
      </c>
      <c r="P1193" s="79">
        <v>1</v>
      </c>
      <c r="Q1193" s="78" t="str">
        <f>REPLACE(INDEX(GroupVertices[Group],MATCH(Edges[[#This Row],[Vertex 1]],GroupVertices[Vertex],0)),1,1,"")</f>
        <v>ODAY</v>
      </c>
      <c r="R1193" s="78" t="str">
        <f>REPLACE(INDEX(GroupVertices[Group],MATCH(Edges[[#This Row],[Vertex 2]],GroupVertices[Vertex],0)),1,1,"")</f>
        <v>ODAY</v>
      </c>
    </row>
    <row r="1194" spans="1:18" ht="15">
      <c r="A1194" s="64" t="s">
        <v>247</v>
      </c>
      <c r="B1194" s="64" t="s">
        <v>2591</v>
      </c>
      <c r="C1194" s="65" t="s">
        <v>4443</v>
      </c>
      <c r="D1194" s="66">
        <v>3</v>
      </c>
      <c r="E1194" s="67"/>
      <c r="F1194" s="68">
        <v>40</v>
      </c>
      <c r="G1194" s="65"/>
      <c r="H1194" s="69"/>
      <c r="I1194" s="70"/>
      <c r="J1194" s="70"/>
      <c r="K1194" s="34" t="s">
        <v>65</v>
      </c>
      <c r="L1194" s="77">
        <v>1194</v>
      </c>
      <c r="M1194" s="77"/>
      <c r="N1194" s="72"/>
      <c r="O1194" s="79" t="s">
        <v>610</v>
      </c>
      <c r="P1194" s="79">
        <v>1</v>
      </c>
      <c r="Q1194" s="78" t="str">
        <f>REPLACE(INDEX(GroupVertices[Group],MATCH(Edges[[#This Row],[Vertex 1]],GroupVertices[Vertex],0)),1,1,"")</f>
        <v>ODAY</v>
      </c>
      <c r="R1194" s="78" t="str">
        <f>REPLACE(INDEX(GroupVertices[Group],MATCH(Edges[[#This Row],[Vertex 2]],GroupVertices[Vertex],0)),1,1,"")</f>
        <v>ODAY</v>
      </c>
    </row>
    <row r="1195" spans="1:18" ht="15">
      <c r="A1195" s="64" t="s">
        <v>247</v>
      </c>
      <c r="B1195" s="64" t="s">
        <v>484</v>
      </c>
      <c r="C1195" s="65" t="s">
        <v>4443</v>
      </c>
      <c r="D1195" s="66">
        <v>3</v>
      </c>
      <c r="E1195" s="67"/>
      <c r="F1195" s="68">
        <v>40</v>
      </c>
      <c r="G1195" s="65"/>
      <c r="H1195" s="69"/>
      <c r="I1195" s="70"/>
      <c r="J1195" s="70"/>
      <c r="K1195" s="34" t="s">
        <v>65</v>
      </c>
      <c r="L1195" s="77">
        <v>1195</v>
      </c>
      <c r="M1195" s="77"/>
      <c r="N1195" s="72"/>
      <c r="O1195" s="79" t="s">
        <v>610</v>
      </c>
      <c r="P1195" s="79">
        <v>1</v>
      </c>
      <c r="Q1195" s="78" t="str">
        <f>REPLACE(INDEX(GroupVertices[Group],MATCH(Edges[[#This Row],[Vertex 1]],GroupVertices[Vertex],0)),1,1,"")</f>
        <v>ODAY</v>
      </c>
      <c r="R1195" s="78" t="str">
        <f>REPLACE(INDEX(GroupVertices[Group],MATCH(Edges[[#This Row],[Vertex 2]],GroupVertices[Vertex],0)),1,1,"")</f>
        <v>ODAY</v>
      </c>
    </row>
    <row r="1196" spans="1:18" ht="15">
      <c r="A1196" s="64" t="s">
        <v>247</v>
      </c>
      <c r="B1196" s="64" t="s">
        <v>284</v>
      </c>
      <c r="C1196" s="65" t="s">
        <v>4443</v>
      </c>
      <c r="D1196" s="66">
        <v>3</v>
      </c>
      <c r="E1196" s="67"/>
      <c r="F1196" s="68">
        <v>40</v>
      </c>
      <c r="G1196" s="65"/>
      <c r="H1196" s="69"/>
      <c r="I1196" s="70"/>
      <c r="J1196" s="70"/>
      <c r="K1196" s="34" t="s">
        <v>65</v>
      </c>
      <c r="L1196" s="77">
        <v>1196</v>
      </c>
      <c r="M1196" s="77"/>
      <c r="N1196" s="72"/>
      <c r="O1196" s="79" t="s">
        <v>610</v>
      </c>
      <c r="P1196" s="79">
        <v>1</v>
      </c>
      <c r="Q1196" s="78" t="str">
        <f>REPLACE(INDEX(GroupVertices[Group],MATCH(Edges[[#This Row],[Vertex 1]],GroupVertices[Vertex],0)),1,1,"")</f>
        <v>ODAY</v>
      </c>
      <c r="R1196" s="78" t="str">
        <f>REPLACE(INDEX(GroupVertices[Group],MATCH(Edges[[#This Row],[Vertex 2]],GroupVertices[Vertex],0)),1,1,"")</f>
        <v>EDx Talks</v>
      </c>
    </row>
    <row r="1197" spans="1:18" ht="15">
      <c r="A1197" s="64" t="s">
        <v>247</v>
      </c>
      <c r="B1197" s="64" t="s">
        <v>244</v>
      </c>
      <c r="C1197" s="65" t="s">
        <v>4443</v>
      </c>
      <c r="D1197" s="66">
        <v>3</v>
      </c>
      <c r="E1197" s="67"/>
      <c r="F1197" s="68">
        <v>40</v>
      </c>
      <c r="G1197" s="65"/>
      <c r="H1197" s="69"/>
      <c r="I1197" s="70"/>
      <c r="J1197" s="70"/>
      <c r="K1197" s="34" t="s">
        <v>65</v>
      </c>
      <c r="L1197" s="77">
        <v>1197</v>
      </c>
      <c r="M1197" s="77"/>
      <c r="N1197" s="72"/>
      <c r="O1197" s="79" t="s">
        <v>610</v>
      </c>
      <c r="P1197" s="79">
        <v>1</v>
      </c>
      <c r="Q1197" s="78" t="str">
        <f>REPLACE(INDEX(GroupVertices[Group],MATCH(Edges[[#This Row],[Vertex 1]],GroupVertices[Vertex],0)),1,1,"")</f>
        <v>ODAY</v>
      </c>
      <c r="R1197" s="78" t="str">
        <f>REPLACE(INDEX(GroupVertices[Group],MATCH(Edges[[#This Row],[Vertex 2]],GroupVertices[Vertex],0)),1,1,"")</f>
        <v>ati Morton</v>
      </c>
    </row>
    <row r="1198" spans="1:18" ht="15">
      <c r="A1198" s="64" t="s">
        <v>235</v>
      </c>
      <c r="B1198" s="64" t="s">
        <v>2359</v>
      </c>
      <c r="C1198" s="65" t="s">
        <v>4443</v>
      </c>
      <c r="D1198" s="66">
        <v>3</v>
      </c>
      <c r="E1198" s="67"/>
      <c r="F1198" s="68">
        <v>40</v>
      </c>
      <c r="G1198" s="65"/>
      <c r="H1198" s="69"/>
      <c r="I1198" s="70"/>
      <c r="J1198" s="70"/>
      <c r="K1198" s="34" t="s">
        <v>65</v>
      </c>
      <c r="L1198" s="77">
        <v>1198</v>
      </c>
      <c r="M1198" s="77"/>
      <c r="N1198" s="72"/>
      <c r="O1198" s="79" t="s">
        <v>610</v>
      </c>
      <c r="P1198" s="79">
        <v>1</v>
      </c>
      <c r="Q1198" s="78" t="str">
        <f>REPLACE(INDEX(GroupVertices[Group],MATCH(Edges[[#This Row],[Vertex 1]],GroupVertices[Vertex],0)),1,1,"")</f>
        <v>ibi sebastian</v>
      </c>
      <c r="R1198" s="78" t="str">
        <f>REPLACE(INDEX(GroupVertices[Group],MATCH(Edges[[#This Row],[Vertex 2]],GroupVertices[Vertex],0)),1,1,"")</f>
        <v>lu_ism</v>
      </c>
    </row>
    <row r="1199" spans="1:18" ht="15">
      <c r="A1199" s="64" t="s">
        <v>235</v>
      </c>
      <c r="B1199" s="64" t="s">
        <v>2360</v>
      </c>
      <c r="C1199" s="65" t="s">
        <v>4443</v>
      </c>
      <c r="D1199" s="66">
        <v>3</v>
      </c>
      <c r="E1199" s="67"/>
      <c r="F1199" s="68">
        <v>40</v>
      </c>
      <c r="G1199" s="65"/>
      <c r="H1199" s="69"/>
      <c r="I1199" s="70"/>
      <c r="J1199" s="70"/>
      <c r="K1199" s="34" t="s">
        <v>65</v>
      </c>
      <c r="L1199" s="77">
        <v>1199</v>
      </c>
      <c r="M1199" s="77"/>
      <c r="N1199" s="72"/>
      <c r="O1199" s="79" t="s">
        <v>610</v>
      </c>
      <c r="P1199" s="79">
        <v>1</v>
      </c>
      <c r="Q1199" s="78" t="str">
        <f>REPLACE(INDEX(GroupVertices[Group],MATCH(Edges[[#This Row],[Vertex 1]],GroupVertices[Vertex],0)),1,1,"")</f>
        <v>ibi sebastian</v>
      </c>
      <c r="R1199" s="78" t="str">
        <f>REPLACE(INDEX(GroupVertices[Group],MATCH(Edges[[#This Row],[Vertex 2]],GroupVertices[Vertex],0)),1,1,"")</f>
        <v>ood Technology4702</v>
      </c>
    </row>
    <row r="1200" spans="1:18" ht="15">
      <c r="A1200" s="64" t="s">
        <v>235</v>
      </c>
      <c r="B1200" s="64" t="s">
        <v>2361</v>
      </c>
      <c r="C1200" s="65" t="s">
        <v>4443</v>
      </c>
      <c r="D1200" s="66">
        <v>3</v>
      </c>
      <c r="E1200" s="67"/>
      <c r="F1200" s="68">
        <v>40</v>
      </c>
      <c r="G1200" s="65"/>
      <c r="H1200" s="69"/>
      <c r="I1200" s="70"/>
      <c r="J1200" s="70"/>
      <c r="K1200" s="34" t="s">
        <v>65</v>
      </c>
      <c r="L1200" s="77">
        <v>1200</v>
      </c>
      <c r="M1200" s="77"/>
      <c r="N1200" s="72"/>
      <c r="O1200" s="79" t="s">
        <v>610</v>
      </c>
      <c r="P1200" s="79">
        <v>1</v>
      </c>
      <c r="Q1200" s="78" t="str">
        <f>REPLACE(INDEX(GroupVertices[Group],MATCH(Edges[[#This Row],[Vertex 1]],GroupVertices[Vertex],0)),1,1,"")</f>
        <v>ibi sebastian</v>
      </c>
      <c r="R1200" s="78" t="str">
        <f>REPLACE(INDEX(GroupVertices[Group],MATCH(Edges[[#This Row],[Vertex 2]],GroupVertices[Vertex],0)),1,1,"")</f>
        <v>iology Explorer</v>
      </c>
    </row>
    <row r="1201" spans="1:18" ht="15">
      <c r="A1201" s="64" t="s">
        <v>235</v>
      </c>
      <c r="B1201" s="64" t="s">
        <v>2362</v>
      </c>
      <c r="C1201" s="65" t="s">
        <v>4443</v>
      </c>
      <c r="D1201" s="66">
        <v>3</v>
      </c>
      <c r="E1201" s="67"/>
      <c r="F1201" s="68">
        <v>40</v>
      </c>
      <c r="G1201" s="65"/>
      <c r="H1201" s="69"/>
      <c r="I1201" s="70"/>
      <c r="J1201" s="70"/>
      <c r="K1201" s="34" t="s">
        <v>65</v>
      </c>
      <c r="L1201" s="77">
        <v>1201</v>
      </c>
      <c r="M1201" s="77"/>
      <c r="N1201" s="72"/>
      <c r="O1201" s="79" t="s">
        <v>610</v>
      </c>
      <c r="P1201" s="79">
        <v>1</v>
      </c>
      <c r="Q1201" s="78" t="str">
        <f>REPLACE(INDEX(GroupVertices[Group],MATCH(Edges[[#This Row],[Vertex 1]],GroupVertices[Vertex],0)),1,1,"")</f>
        <v>ibi sebastian</v>
      </c>
      <c r="R1201" s="78" t="str">
        <f>REPLACE(INDEX(GroupVertices[Group],MATCH(Edges[[#This Row],[Vertex 2]],GroupVertices[Vertex],0)),1,1,"")</f>
        <v>ftikhar Biology Academy</v>
      </c>
    </row>
    <row r="1202" spans="1:18" ht="15">
      <c r="A1202" s="64" t="s">
        <v>235</v>
      </c>
      <c r="B1202" s="64" t="s">
        <v>2363</v>
      </c>
      <c r="C1202" s="65" t="s">
        <v>4443</v>
      </c>
      <c r="D1202" s="66">
        <v>3</v>
      </c>
      <c r="E1202" s="67"/>
      <c r="F1202" s="68">
        <v>40</v>
      </c>
      <c r="G1202" s="65"/>
      <c r="H1202" s="69"/>
      <c r="I1202" s="70"/>
      <c r="J1202" s="70"/>
      <c r="K1202" s="34" t="s">
        <v>65</v>
      </c>
      <c r="L1202" s="77">
        <v>1202</v>
      </c>
      <c r="M1202" s="77"/>
      <c r="N1202" s="72"/>
      <c r="O1202" s="79" t="s">
        <v>610</v>
      </c>
      <c r="P1202" s="79">
        <v>1</v>
      </c>
      <c r="Q1202" s="78" t="str">
        <f>REPLACE(INDEX(GroupVertices[Group],MATCH(Edges[[#This Row],[Vertex 1]],GroupVertices[Vertex],0)),1,1,"")</f>
        <v>ibi sebastian</v>
      </c>
      <c r="R1202" s="78" t="str">
        <f>REPLACE(INDEX(GroupVertices[Group],MATCH(Edges[[#This Row],[Vertex 2]],GroupVertices[Vertex],0)),1,1,"")</f>
        <v>ftikhar Biology Academy</v>
      </c>
    </row>
    <row r="1203" spans="1:18" ht="15">
      <c r="A1203" s="64" t="s">
        <v>235</v>
      </c>
      <c r="B1203" s="64" t="s">
        <v>2364</v>
      </c>
      <c r="C1203" s="65" t="s">
        <v>4443</v>
      </c>
      <c r="D1203" s="66">
        <v>3</v>
      </c>
      <c r="E1203" s="67"/>
      <c r="F1203" s="68">
        <v>40</v>
      </c>
      <c r="G1203" s="65"/>
      <c r="H1203" s="69"/>
      <c r="I1203" s="70"/>
      <c r="J1203" s="70"/>
      <c r="K1203" s="34" t="s">
        <v>65</v>
      </c>
      <c r="L1203" s="77">
        <v>1203</v>
      </c>
      <c r="M1203" s="77"/>
      <c r="N1203" s="72"/>
      <c r="O1203" s="79" t="s">
        <v>610</v>
      </c>
      <c r="P1203" s="79">
        <v>1</v>
      </c>
      <c r="Q1203" s="78" t="str">
        <f>REPLACE(INDEX(GroupVertices[Group],MATCH(Edges[[#This Row],[Vertex 1]],GroupVertices[Vertex],0)),1,1,"")</f>
        <v>ibi sebastian</v>
      </c>
      <c r="R1203" s="78" t="str">
        <f>REPLACE(INDEX(GroupVertices[Group],MATCH(Edges[[#This Row],[Vertex 2]],GroupVertices[Vertex],0)),1,1,"")</f>
        <v>ozyll faye Casipe</v>
      </c>
    </row>
    <row r="1204" spans="1:18" ht="15">
      <c r="A1204" s="64" t="s">
        <v>235</v>
      </c>
      <c r="B1204" s="64" t="s">
        <v>2365</v>
      </c>
      <c r="C1204" s="65" t="s">
        <v>4443</v>
      </c>
      <c r="D1204" s="66">
        <v>3</v>
      </c>
      <c r="E1204" s="67"/>
      <c r="F1204" s="68">
        <v>40</v>
      </c>
      <c r="G1204" s="65"/>
      <c r="H1204" s="69"/>
      <c r="I1204" s="70"/>
      <c r="J1204" s="70"/>
      <c r="K1204" s="34" t="s">
        <v>65</v>
      </c>
      <c r="L1204" s="77">
        <v>1204</v>
      </c>
      <c r="M1204" s="77"/>
      <c r="N1204" s="72"/>
      <c r="O1204" s="79" t="s">
        <v>610</v>
      </c>
      <c r="P1204" s="79">
        <v>1</v>
      </c>
      <c r="Q1204" s="78" t="str">
        <f>REPLACE(INDEX(GroupVertices[Group],MATCH(Edges[[#This Row],[Vertex 1]],GroupVertices[Vertex],0)),1,1,"")</f>
        <v>ibi sebastian</v>
      </c>
      <c r="R1204" s="78" t="str">
        <f>REPLACE(INDEX(GroupVertices[Group],MATCH(Edges[[#This Row],[Vertex 2]],GroupVertices[Vertex],0)),1,1,"")</f>
        <v>iology Explorer</v>
      </c>
    </row>
    <row r="1205" spans="1:18" ht="15">
      <c r="A1205" s="64" t="s">
        <v>235</v>
      </c>
      <c r="B1205" s="64" t="s">
        <v>2366</v>
      </c>
      <c r="C1205" s="65" t="s">
        <v>4443</v>
      </c>
      <c r="D1205" s="66">
        <v>3</v>
      </c>
      <c r="E1205" s="67"/>
      <c r="F1205" s="68">
        <v>40</v>
      </c>
      <c r="G1205" s="65"/>
      <c r="H1205" s="69"/>
      <c r="I1205" s="70"/>
      <c r="J1205" s="70"/>
      <c r="K1205" s="34" t="s">
        <v>65</v>
      </c>
      <c r="L1205" s="77">
        <v>1205</v>
      </c>
      <c r="M1205" s="77"/>
      <c r="N1205" s="72"/>
      <c r="O1205" s="79" t="s">
        <v>610</v>
      </c>
      <c r="P1205" s="79">
        <v>1</v>
      </c>
      <c r="Q1205" s="78" t="str">
        <f>REPLACE(INDEX(GroupVertices[Group],MATCH(Edges[[#This Row],[Vertex 1]],GroupVertices[Vertex],0)),1,1,"")</f>
        <v>ibi sebastian</v>
      </c>
      <c r="R1205" s="78" t="str">
        <f>REPLACE(INDEX(GroupVertices[Group],MATCH(Edges[[#This Row],[Vertex 2]],GroupVertices[Vertex],0)),1,1,"")</f>
        <v>ood Technology4702</v>
      </c>
    </row>
    <row r="1206" spans="1:18" ht="15">
      <c r="A1206" s="64" t="s">
        <v>235</v>
      </c>
      <c r="B1206" s="64" t="s">
        <v>2367</v>
      </c>
      <c r="C1206" s="65" t="s">
        <v>4443</v>
      </c>
      <c r="D1206" s="66">
        <v>3</v>
      </c>
      <c r="E1206" s="67"/>
      <c r="F1206" s="68">
        <v>40</v>
      </c>
      <c r="G1206" s="65"/>
      <c r="H1206" s="69"/>
      <c r="I1206" s="70"/>
      <c r="J1206" s="70"/>
      <c r="K1206" s="34" t="s">
        <v>65</v>
      </c>
      <c r="L1206" s="77">
        <v>1206</v>
      </c>
      <c r="M1206" s="77"/>
      <c r="N1206" s="72"/>
      <c r="O1206" s="79" t="s">
        <v>610</v>
      </c>
      <c r="P1206" s="79">
        <v>1</v>
      </c>
      <c r="Q1206" s="78" t="str">
        <f>REPLACE(INDEX(GroupVertices[Group],MATCH(Edges[[#This Row],[Vertex 1]],GroupVertices[Vertex],0)),1,1,"")</f>
        <v>ibi sebastian</v>
      </c>
      <c r="R1206" s="78" t="str">
        <f>REPLACE(INDEX(GroupVertices[Group],MATCH(Edges[[#This Row],[Vertex 2]],GroupVertices[Vertex],0)),1,1,"")</f>
        <v>harmacy Hub</v>
      </c>
    </row>
    <row r="1207" spans="1:18" ht="15">
      <c r="A1207" s="64" t="s">
        <v>235</v>
      </c>
      <c r="B1207" s="64" t="s">
        <v>2368</v>
      </c>
      <c r="C1207" s="65" t="s">
        <v>4443</v>
      </c>
      <c r="D1207" s="66">
        <v>3</v>
      </c>
      <c r="E1207" s="67"/>
      <c r="F1207" s="68">
        <v>40</v>
      </c>
      <c r="G1207" s="65"/>
      <c r="H1207" s="69"/>
      <c r="I1207" s="70"/>
      <c r="J1207" s="70"/>
      <c r="K1207" s="34" t="s">
        <v>65</v>
      </c>
      <c r="L1207" s="77">
        <v>1207</v>
      </c>
      <c r="M1207" s="77"/>
      <c r="N1207" s="72"/>
      <c r="O1207" s="79" t="s">
        <v>610</v>
      </c>
      <c r="P1207" s="79">
        <v>1</v>
      </c>
      <c r="Q1207" s="78" t="str">
        <f>REPLACE(INDEX(GroupVertices[Group],MATCH(Edges[[#This Row],[Vertex 1]],GroupVertices[Vertex],0)),1,1,"")</f>
        <v>ibi sebastian</v>
      </c>
      <c r="R1207" s="78" t="str">
        <f>REPLACE(INDEX(GroupVertices[Group],MATCH(Edges[[#This Row],[Vertex 2]],GroupVertices[Vertex],0)),1,1,"")</f>
        <v>harmacy Hub</v>
      </c>
    </row>
    <row r="1208" spans="1:18" ht="15">
      <c r="A1208" s="64" t="s">
        <v>235</v>
      </c>
      <c r="B1208" s="64" t="s">
        <v>2369</v>
      </c>
      <c r="C1208" s="65" t="s">
        <v>4443</v>
      </c>
      <c r="D1208" s="66">
        <v>3</v>
      </c>
      <c r="E1208" s="67"/>
      <c r="F1208" s="68">
        <v>40</v>
      </c>
      <c r="G1208" s="65"/>
      <c r="H1208" s="69"/>
      <c r="I1208" s="70"/>
      <c r="J1208" s="70"/>
      <c r="K1208" s="34" t="s">
        <v>65</v>
      </c>
      <c r="L1208" s="77">
        <v>1208</v>
      </c>
      <c r="M1208" s="77"/>
      <c r="N1208" s="72"/>
      <c r="O1208" s="79" t="s">
        <v>610</v>
      </c>
      <c r="P1208" s="79">
        <v>1</v>
      </c>
      <c r="Q1208" s="78" t="str">
        <f>REPLACE(INDEX(GroupVertices[Group],MATCH(Edges[[#This Row],[Vertex 1]],GroupVertices[Vertex],0)),1,1,"")</f>
        <v>ibi sebastian</v>
      </c>
      <c r="R1208" s="78" t="str">
        <f>REPLACE(INDEX(GroupVertices[Group],MATCH(Edges[[#This Row],[Vertex 2]],GroupVertices[Vertex],0)),1,1,"")</f>
        <v>IOMATRIX CLASSES</v>
      </c>
    </row>
    <row r="1209" spans="1:18" ht="15">
      <c r="A1209" s="64" t="s">
        <v>235</v>
      </c>
      <c r="B1209" s="64" t="s">
        <v>2370</v>
      </c>
      <c r="C1209" s="65" t="s">
        <v>4443</v>
      </c>
      <c r="D1209" s="66">
        <v>3</v>
      </c>
      <c r="E1209" s="67"/>
      <c r="F1209" s="68">
        <v>40</v>
      </c>
      <c r="G1209" s="65"/>
      <c r="H1209" s="69"/>
      <c r="I1209" s="70"/>
      <c r="J1209" s="70"/>
      <c r="K1209" s="34" t="s">
        <v>65</v>
      </c>
      <c r="L1209" s="77">
        <v>1209</v>
      </c>
      <c r="M1209" s="77"/>
      <c r="N1209" s="72"/>
      <c r="O1209" s="79" t="s">
        <v>610</v>
      </c>
      <c r="P1209" s="79">
        <v>1</v>
      </c>
      <c r="Q1209" s="78" t="str">
        <f>REPLACE(INDEX(GroupVertices[Group],MATCH(Edges[[#This Row],[Vertex 1]],GroupVertices[Vertex],0)),1,1,"")</f>
        <v>ibi sebastian</v>
      </c>
      <c r="R1209" s="78" t="str">
        <f>REPLACE(INDEX(GroupVertices[Group],MATCH(Edges[[#This Row],[Vertex 2]],GroupVertices[Vertex],0)),1,1,"")</f>
        <v>tudy Pool Pharma</v>
      </c>
    </row>
    <row r="1210" spans="1:18" ht="15">
      <c r="A1210" s="64" t="s">
        <v>235</v>
      </c>
      <c r="B1210" s="64" t="s">
        <v>2371</v>
      </c>
      <c r="C1210" s="65" t="s">
        <v>4443</v>
      </c>
      <c r="D1210" s="66">
        <v>3</v>
      </c>
      <c r="E1210" s="67"/>
      <c r="F1210" s="68">
        <v>40</v>
      </c>
      <c r="G1210" s="65"/>
      <c r="H1210" s="69"/>
      <c r="I1210" s="70"/>
      <c r="J1210" s="70"/>
      <c r="K1210" s="34" t="s">
        <v>65</v>
      </c>
      <c r="L1210" s="77">
        <v>1210</v>
      </c>
      <c r="M1210" s="77"/>
      <c r="N1210" s="72"/>
      <c r="O1210" s="79" t="s">
        <v>610</v>
      </c>
      <c r="P1210" s="79">
        <v>1</v>
      </c>
      <c r="Q1210" s="78" t="str">
        <f>REPLACE(INDEX(GroupVertices[Group],MATCH(Edges[[#This Row],[Vertex 1]],GroupVertices[Vertex],0)),1,1,"")</f>
        <v>ibi sebastian</v>
      </c>
      <c r="R1210" s="78" t="str">
        <f>REPLACE(INDEX(GroupVertices[Group],MATCH(Edges[[#This Row],[Vertex 2]],GroupVertices[Vertex],0)),1,1,"")</f>
        <v>ymmetric Vision</v>
      </c>
    </row>
    <row r="1211" spans="1:18" ht="15">
      <c r="A1211" s="64" t="s">
        <v>235</v>
      </c>
      <c r="B1211" s="64" t="s">
        <v>2372</v>
      </c>
      <c r="C1211" s="65" t="s">
        <v>4443</v>
      </c>
      <c r="D1211" s="66">
        <v>3</v>
      </c>
      <c r="E1211" s="67"/>
      <c r="F1211" s="68">
        <v>40</v>
      </c>
      <c r="G1211" s="65"/>
      <c r="H1211" s="69"/>
      <c r="I1211" s="70"/>
      <c r="J1211" s="70"/>
      <c r="K1211" s="34" t="s">
        <v>65</v>
      </c>
      <c r="L1211" s="77">
        <v>1211</v>
      </c>
      <c r="M1211" s="77"/>
      <c r="N1211" s="72"/>
      <c r="O1211" s="79" t="s">
        <v>610</v>
      </c>
      <c r="P1211" s="79">
        <v>1</v>
      </c>
      <c r="Q1211" s="78" t="str">
        <f>REPLACE(INDEX(GroupVertices[Group],MATCH(Edges[[#This Row],[Vertex 1]],GroupVertices[Vertex],0)),1,1,"")</f>
        <v>ibi sebastian</v>
      </c>
      <c r="R1211" s="78" t="str">
        <f>REPLACE(INDEX(GroupVertices[Group],MATCH(Edges[[#This Row],[Vertex 2]],GroupVertices[Vertex],0)),1,1,"")</f>
        <v>sychological Learning with Aleeza Yaqoob</v>
      </c>
    </row>
    <row r="1212" spans="1:18" ht="15">
      <c r="A1212" s="64" t="s">
        <v>235</v>
      </c>
      <c r="B1212" s="64" t="s">
        <v>2373</v>
      </c>
      <c r="C1212" s="65" t="s">
        <v>4443</v>
      </c>
      <c r="D1212" s="66">
        <v>3</v>
      </c>
      <c r="E1212" s="67"/>
      <c r="F1212" s="68">
        <v>40</v>
      </c>
      <c r="G1212" s="65"/>
      <c r="H1212" s="69"/>
      <c r="I1212" s="70"/>
      <c r="J1212" s="70"/>
      <c r="K1212" s="34" t="s">
        <v>65</v>
      </c>
      <c r="L1212" s="77">
        <v>1212</v>
      </c>
      <c r="M1212" s="77"/>
      <c r="N1212" s="72"/>
      <c r="O1212" s="79" t="s">
        <v>610</v>
      </c>
      <c r="P1212" s="79">
        <v>1</v>
      </c>
      <c r="Q1212" s="78" t="str">
        <f>REPLACE(INDEX(GroupVertices[Group],MATCH(Edges[[#This Row],[Vertex 1]],GroupVertices[Vertex],0)),1,1,"")</f>
        <v>ibi sebastian</v>
      </c>
      <c r="R1212" s="78" t="str">
        <f>REPLACE(INDEX(GroupVertices[Group],MATCH(Edges[[#This Row],[Vertex 2]],GroupVertices[Vertex],0)),1,1,"")</f>
        <v>tephanie Jones</v>
      </c>
    </row>
    <row r="1213" spans="1:18" ht="15">
      <c r="A1213" s="64" t="s">
        <v>235</v>
      </c>
      <c r="B1213" s="64" t="s">
        <v>2374</v>
      </c>
      <c r="C1213" s="65" t="s">
        <v>4443</v>
      </c>
      <c r="D1213" s="66">
        <v>3</v>
      </c>
      <c r="E1213" s="67"/>
      <c r="F1213" s="68">
        <v>40</v>
      </c>
      <c r="G1213" s="65"/>
      <c r="H1213" s="69"/>
      <c r="I1213" s="70"/>
      <c r="J1213" s="70"/>
      <c r="K1213" s="34" t="s">
        <v>65</v>
      </c>
      <c r="L1213" s="77">
        <v>1213</v>
      </c>
      <c r="M1213" s="77"/>
      <c r="N1213" s="72"/>
      <c r="O1213" s="79" t="s">
        <v>610</v>
      </c>
      <c r="P1213" s="79">
        <v>1</v>
      </c>
      <c r="Q1213" s="78" t="str">
        <f>REPLACE(INDEX(GroupVertices[Group],MATCH(Edges[[#This Row],[Vertex 1]],GroupVertices[Vertex],0)),1,1,"")</f>
        <v>ibi sebastian</v>
      </c>
      <c r="R1213" s="78" t="str">
        <f>REPLACE(INDEX(GroupVertices[Group],MATCH(Edges[[#This Row],[Vertex 2]],GroupVertices[Vertex],0)),1,1,"")</f>
        <v>ive To Learn</v>
      </c>
    </row>
    <row r="1214" spans="1:18" ht="15">
      <c r="A1214" s="64" t="s">
        <v>235</v>
      </c>
      <c r="B1214" s="64" t="s">
        <v>2375</v>
      </c>
      <c r="C1214" s="65" t="s">
        <v>4443</v>
      </c>
      <c r="D1214" s="66">
        <v>3</v>
      </c>
      <c r="E1214" s="67"/>
      <c r="F1214" s="68">
        <v>40</v>
      </c>
      <c r="G1214" s="65"/>
      <c r="H1214" s="69"/>
      <c r="I1214" s="70"/>
      <c r="J1214" s="70"/>
      <c r="K1214" s="34" t="s">
        <v>65</v>
      </c>
      <c r="L1214" s="77">
        <v>1214</v>
      </c>
      <c r="M1214" s="77"/>
      <c r="N1214" s="72"/>
      <c r="O1214" s="79" t="s">
        <v>610</v>
      </c>
      <c r="P1214" s="79">
        <v>1</v>
      </c>
      <c r="Q1214" s="78" t="str">
        <f>REPLACE(INDEX(GroupVertices[Group],MATCH(Edges[[#This Row],[Vertex 1]],GroupVertices[Vertex],0)),1,1,"")</f>
        <v>ibi sebastian</v>
      </c>
      <c r="R1214" s="78" t="str">
        <f>REPLACE(INDEX(GroupVertices[Group],MATCH(Edges[[#This Row],[Vertex 2]],GroupVertices[Vertex],0)),1,1,"")</f>
        <v>k nursing way</v>
      </c>
    </row>
    <row r="1215" spans="1:18" ht="15">
      <c r="A1215" s="64" t="s">
        <v>235</v>
      </c>
      <c r="B1215" s="64" t="s">
        <v>2376</v>
      </c>
      <c r="C1215" s="65" t="s">
        <v>4443</v>
      </c>
      <c r="D1215" s="66">
        <v>3</v>
      </c>
      <c r="E1215" s="67"/>
      <c r="F1215" s="68">
        <v>40</v>
      </c>
      <c r="G1215" s="65"/>
      <c r="H1215" s="69"/>
      <c r="I1215" s="70"/>
      <c r="J1215" s="70"/>
      <c r="K1215" s="34" t="s">
        <v>65</v>
      </c>
      <c r="L1215" s="77">
        <v>1215</v>
      </c>
      <c r="M1215" s="77"/>
      <c r="N1215" s="72"/>
      <c r="O1215" s="79" t="s">
        <v>610</v>
      </c>
      <c r="P1215" s="79">
        <v>1</v>
      </c>
      <c r="Q1215" s="78" t="str">
        <f>REPLACE(INDEX(GroupVertices[Group],MATCH(Edges[[#This Row],[Vertex 1]],GroupVertices[Vertex],0)),1,1,"")</f>
        <v>ibi sebastian</v>
      </c>
      <c r="R1215" s="78" t="str">
        <f>REPLACE(INDEX(GroupVertices[Group],MATCH(Edges[[#This Row],[Vertex 2]],GroupVertices[Vertex],0)),1,1,"")</f>
        <v>NM NURSING COMPLETE STUDY</v>
      </c>
    </row>
    <row r="1216" spans="1:18" ht="15">
      <c r="A1216" s="64" t="s">
        <v>235</v>
      </c>
      <c r="B1216" s="64" t="s">
        <v>2377</v>
      </c>
      <c r="C1216" s="65" t="s">
        <v>4443</v>
      </c>
      <c r="D1216" s="66">
        <v>3</v>
      </c>
      <c r="E1216" s="67"/>
      <c r="F1216" s="68">
        <v>40</v>
      </c>
      <c r="G1216" s="65"/>
      <c r="H1216" s="69"/>
      <c r="I1216" s="70"/>
      <c r="J1216" s="70"/>
      <c r="K1216" s="34" t="s">
        <v>65</v>
      </c>
      <c r="L1216" s="77">
        <v>1216</v>
      </c>
      <c r="M1216" s="77"/>
      <c r="N1216" s="72"/>
      <c r="O1216" s="79" t="s">
        <v>610</v>
      </c>
      <c r="P1216" s="79">
        <v>1</v>
      </c>
      <c r="Q1216" s="78" t="str">
        <f>REPLACE(INDEX(GroupVertices[Group],MATCH(Edges[[#This Row],[Vertex 1]],GroupVertices[Vertex],0)),1,1,"")</f>
        <v>ibi sebastian</v>
      </c>
      <c r="R1216" s="78" t="str">
        <f>REPLACE(INDEX(GroupVertices[Group],MATCH(Edges[[#This Row],[Vertex 2]],GroupVertices[Vertex],0)),1,1,"")</f>
        <v>inn.k Pharma</v>
      </c>
    </row>
    <row r="1217" spans="1:18" ht="15">
      <c r="A1217" s="64" t="s">
        <v>235</v>
      </c>
      <c r="B1217" s="64" t="s">
        <v>2378</v>
      </c>
      <c r="C1217" s="65" t="s">
        <v>4443</v>
      </c>
      <c r="D1217" s="66">
        <v>3</v>
      </c>
      <c r="E1217" s="67"/>
      <c r="F1217" s="68">
        <v>40</v>
      </c>
      <c r="G1217" s="65"/>
      <c r="H1217" s="69"/>
      <c r="I1217" s="70"/>
      <c r="J1217" s="70"/>
      <c r="K1217" s="34" t="s">
        <v>65</v>
      </c>
      <c r="L1217" s="77">
        <v>1217</v>
      </c>
      <c r="M1217" s="77"/>
      <c r="N1217" s="72"/>
      <c r="O1217" s="79" t="s">
        <v>610</v>
      </c>
      <c r="P1217" s="79">
        <v>1</v>
      </c>
      <c r="Q1217" s="78" t="str">
        <f>REPLACE(INDEX(GroupVertices[Group],MATCH(Edges[[#This Row],[Vertex 1]],GroupVertices[Vertex],0)),1,1,"")</f>
        <v>ibi sebastian</v>
      </c>
      <c r="R1217" s="78" t="str">
        <f>REPLACE(INDEX(GroupVertices[Group],MATCH(Edges[[#This Row],[Vertex 2]],GroupVertices[Vertex],0)),1,1,"")</f>
        <v>edEd Matrix</v>
      </c>
    </row>
    <row r="1218" spans="1:18" ht="15">
      <c r="A1218" s="64" t="s">
        <v>235</v>
      </c>
      <c r="B1218" s="64" t="s">
        <v>2379</v>
      </c>
      <c r="C1218" s="65" t="s">
        <v>4443</v>
      </c>
      <c r="D1218" s="66">
        <v>3</v>
      </c>
      <c r="E1218" s="67"/>
      <c r="F1218" s="68">
        <v>40</v>
      </c>
      <c r="G1218" s="65"/>
      <c r="H1218" s="69"/>
      <c r="I1218" s="70"/>
      <c r="J1218" s="70"/>
      <c r="K1218" s="34" t="s">
        <v>65</v>
      </c>
      <c r="L1218" s="77">
        <v>1218</v>
      </c>
      <c r="M1218" s="77"/>
      <c r="N1218" s="72"/>
      <c r="O1218" s="79" t="s">
        <v>610</v>
      </c>
      <c r="P1218" s="79">
        <v>1</v>
      </c>
      <c r="Q1218" s="78" t="str">
        <f>REPLACE(INDEX(GroupVertices[Group],MATCH(Edges[[#This Row],[Vertex 1]],GroupVertices[Vertex],0)),1,1,"")</f>
        <v>ibi sebastian</v>
      </c>
      <c r="R1218" s="78" t="str">
        <f>REPLACE(INDEX(GroupVertices[Group],MATCH(Edges[[#This Row],[Vertex 2]],GroupVertices[Vertex],0)),1,1,"")</f>
        <v>ive To Learn</v>
      </c>
    </row>
    <row r="1219" spans="1:18" ht="15">
      <c r="A1219" s="64" t="s">
        <v>235</v>
      </c>
      <c r="B1219" s="64" t="s">
        <v>2380</v>
      </c>
      <c r="C1219" s="65" t="s">
        <v>4443</v>
      </c>
      <c r="D1219" s="66">
        <v>3</v>
      </c>
      <c r="E1219" s="67"/>
      <c r="F1219" s="68">
        <v>40</v>
      </c>
      <c r="G1219" s="65"/>
      <c r="H1219" s="69"/>
      <c r="I1219" s="70"/>
      <c r="J1219" s="70"/>
      <c r="K1219" s="34" t="s">
        <v>65</v>
      </c>
      <c r="L1219" s="77">
        <v>1219</v>
      </c>
      <c r="M1219" s="77"/>
      <c r="N1219" s="72"/>
      <c r="O1219" s="79" t="s">
        <v>610</v>
      </c>
      <c r="P1219" s="79">
        <v>1</v>
      </c>
      <c r="Q1219" s="78" t="str">
        <f>REPLACE(INDEX(GroupVertices[Group],MATCH(Edges[[#This Row],[Vertex 1]],GroupVertices[Vertex],0)),1,1,"")</f>
        <v>ibi sebastian</v>
      </c>
      <c r="R1219" s="78" t="str">
        <f>REPLACE(INDEX(GroupVertices[Group],MATCH(Edges[[#This Row],[Vertex 2]],GroupVertices[Vertex],0)),1,1,"")</f>
        <v>ibi sebastian</v>
      </c>
    </row>
    <row r="1220" spans="1:18" ht="15">
      <c r="A1220" s="64" t="s">
        <v>235</v>
      </c>
      <c r="B1220" s="64" t="s">
        <v>2381</v>
      </c>
      <c r="C1220" s="65" t="s">
        <v>4443</v>
      </c>
      <c r="D1220" s="66">
        <v>3</v>
      </c>
      <c r="E1220" s="67"/>
      <c r="F1220" s="68">
        <v>40</v>
      </c>
      <c r="G1220" s="65"/>
      <c r="H1220" s="69"/>
      <c r="I1220" s="70"/>
      <c r="J1220" s="70"/>
      <c r="K1220" s="34" t="s">
        <v>65</v>
      </c>
      <c r="L1220" s="77">
        <v>1220</v>
      </c>
      <c r="M1220" s="77"/>
      <c r="N1220" s="72"/>
      <c r="O1220" s="79" t="s">
        <v>610</v>
      </c>
      <c r="P1220" s="79">
        <v>1</v>
      </c>
      <c r="Q1220" s="78" t="str">
        <f>REPLACE(INDEX(GroupVertices[Group],MATCH(Edges[[#This Row],[Vertex 1]],GroupVertices[Vertex],0)),1,1,"")</f>
        <v>ibi sebastian</v>
      </c>
      <c r="R1220" s="78" t="str">
        <f>REPLACE(INDEX(GroupVertices[Group],MATCH(Edges[[#This Row],[Vertex 2]],GroupVertices[Vertex],0)),1,1,"")</f>
        <v>ibi sebastian</v>
      </c>
    </row>
    <row r="1221" spans="1:18" ht="15">
      <c r="A1221" s="64" t="s">
        <v>235</v>
      </c>
      <c r="B1221" s="64" t="s">
        <v>2382</v>
      </c>
      <c r="C1221" s="65" t="s">
        <v>4443</v>
      </c>
      <c r="D1221" s="66">
        <v>3</v>
      </c>
      <c r="E1221" s="67"/>
      <c r="F1221" s="68">
        <v>40</v>
      </c>
      <c r="G1221" s="65"/>
      <c r="H1221" s="69"/>
      <c r="I1221" s="70"/>
      <c r="J1221" s="70"/>
      <c r="K1221" s="34" t="s">
        <v>65</v>
      </c>
      <c r="L1221" s="77">
        <v>1221</v>
      </c>
      <c r="M1221" s="77"/>
      <c r="N1221" s="72"/>
      <c r="O1221" s="79" t="s">
        <v>610</v>
      </c>
      <c r="P1221" s="79">
        <v>1</v>
      </c>
      <c r="Q1221" s="78" t="str">
        <f>REPLACE(INDEX(GroupVertices[Group],MATCH(Edges[[#This Row],[Vertex 1]],GroupVertices[Vertex],0)),1,1,"")</f>
        <v>ibi sebastian</v>
      </c>
      <c r="R1221" s="78" t="str">
        <f>REPLACE(INDEX(GroupVertices[Group],MATCH(Edges[[#This Row],[Vertex 2]],GroupVertices[Vertex],0)),1,1,"")</f>
        <v>ibi sebastian</v>
      </c>
    </row>
    <row r="1222" spans="1:18" ht="15">
      <c r="A1222" s="64" t="s">
        <v>235</v>
      </c>
      <c r="B1222" s="64" t="s">
        <v>2383</v>
      </c>
      <c r="C1222" s="65" t="s">
        <v>4443</v>
      </c>
      <c r="D1222" s="66">
        <v>3</v>
      </c>
      <c r="E1222" s="67"/>
      <c r="F1222" s="68">
        <v>40</v>
      </c>
      <c r="G1222" s="65"/>
      <c r="H1222" s="69"/>
      <c r="I1222" s="70"/>
      <c r="J1222" s="70"/>
      <c r="K1222" s="34" t="s">
        <v>65</v>
      </c>
      <c r="L1222" s="77">
        <v>1222</v>
      </c>
      <c r="M1222" s="77"/>
      <c r="N1222" s="72"/>
      <c r="O1222" s="79" t="s">
        <v>610</v>
      </c>
      <c r="P1222" s="79">
        <v>1</v>
      </c>
      <c r="Q1222" s="78" t="str">
        <f>REPLACE(INDEX(GroupVertices[Group],MATCH(Edges[[#This Row],[Vertex 1]],GroupVertices[Vertex],0)),1,1,"")</f>
        <v>ibi sebastian</v>
      </c>
      <c r="R1222" s="78" t="str">
        <f>REPLACE(INDEX(GroupVertices[Group],MATCH(Edges[[#This Row],[Vertex 2]],GroupVertices[Vertex],0)),1,1,"")</f>
        <v>ibi sebastian</v>
      </c>
    </row>
    <row r="1223" spans="1:18" ht="15">
      <c r="A1223" s="64" t="s">
        <v>235</v>
      </c>
      <c r="B1223" s="64" t="s">
        <v>2384</v>
      </c>
      <c r="C1223" s="65" t="s">
        <v>4443</v>
      </c>
      <c r="D1223" s="66">
        <v>3</v>
      </c>
      <c r="E1223" s="67"/>
      <c r="F1223" s="68">
        <v>40</v>
      </c>
      <c r="G1223" s="65"/>
      <c r="H1223" s="69"/>
      <c r="I1223" s="70"/>
      <c r="J1223" s="70"/>
      <c r="K1223" s="34" t="s">
        <v>65</v>
      </c>
      <c r="L1223" s="77">
        <v>1223</v>
      </c>
      <c r="M1223" s="77"/>
      <c r="N1223" s="72"/>
      <c r="O1223" s="79" t="s">
        <v>610</v>
      </c>
      <c r="P1223" s="79">
        <v>1</v>
      </c>
      <c r="Q1223" s="78" t="str">
        <f>REPLACE(INDEX(GroupVertices[Group],MATCH(Edges[[#This Row],[Vertex 1]],GroupVertices[Vertex],0)),1,1,"")</f>
        <v>ibi sebastian</v>
      </c>
      <c r="R1223" s="78" t="str">
        <f>REPLACE(INDEX(GroupVertices[Group],MATCH(Edges[[#This Row],[Vertex 2]],GroupVertices[Vertex],0)),1,1,"")</f>
        <v>ibi sebastian</v>
      </c>
    </row>
    <row r="1224" spans="1:18" ht="15">
      <c r="A1224" s="64" t="s">
        <v>235</v>
      </c>
      <c r="B1224" s="64" t="s">
        <v>2385</v>
      </c>
      <c r="C1224" s="65" t="s">
        <v>4443</v>
      </c>
      <c r="D1224" s="66">
        <v>3</v>
      </c>
      <c r="E1224" s="67"/>
      <c r="F1224" s="68">
        <v>40</v>
      </c>
      <c r="G1224" s="65"/>
      <c r="H1224" s="69"/>
      <c r="I1224" s="70"/>
      <c r="J1224" s="70"/>
      <c r="K1224" s="34" t="s">
        <v>65</v>
      </c>
      <c r="L1224" s="77">
        <v>1224</v>
      </c>
      <c r="M1224" s="77"/>
      <c r="N1224" s="72"/>
      <c r="O1224" s="79" t="s">
        <v>610</v>
      </c>
      <c r="P1224" s="79">
        <v>1</v>
      </c>
      <c r="Q1224" s="78" t="str">
        <f>REPLACE(INDEX(GroupVertices[Group],MATCH(Edges[[#This Row],[Vertex 1]],GroupVertices[Vertex],0)),1,1,"")</f>
        <v>ibi sebastian</v>
      </c>
      <c r="R1224" s="78" t="str">
        <f>REPLACE(INDEX(GroupVertices[Group],MATCH(Edges[[#This Row],[Vertex 2]],GroupVertices[Vertex],0)),1,1,"")</f>
        <v>ibi sebastian</v>
      </c>
    </row>
    <row r="1225" spans="1:18" ht="15">
      <c r="A1225" s="64" t="s">
        <v>235</v>
      </c>
      <c r="B1225" s="64" t="s">
        <v>2386</v>
      </c>
      <c r="C1225" s="65" t="s">
        <v>4443</v>
      </c>
      <c r="D1225" s="66">
        <v>3</v>
      </c>
      <c r="E1225" s="67"/>
      <c r="F1225" s="68">
        <v>40</v>
      </c>
      <c r="G1225" s="65"/>
      <c r="H1225" s="69"/>
      <c r="I1225" s="70"/>
      <c r="J1225" s="70"/>
      <c r="K1225" s="34" t="s">
        <v>65</v>
      </c>
      <c r="L1225" s="77">
        <v>1225</v>
      </c>
      <c r="M1225" s="77"/>
      <c r="N1225" s="72"/>
      <c r="O1225" s="79" t="s">
        <v>610</v>
      </c>
      <c r="P1225" s="79">
        <v>1</v>
      </c>
      <c r="Q1225" s="78" t="str">
        <f>REPLACE(INDEX(GroupVertices[Group],MATCH(Edges[[#This Row],[Vertex 1]],GroupVertices[Vertex],0)),1,1,"")</f>
        <v>ibi sebastian</v>
      </c>
      <c r="R1225" s="78" t="str">
        <f>REPLACE(INDEX(GroupVertices[Group],MATCH(Edges[[#This Row],[Vertex 2]],GroupVertices[Vertex],0)),1,1,"")</f>
        <v>ibi sebastian</v>
      </c>
    </row>
    <row r="1226" spans="1:18" ht="15">
      <c r="A1226" s="64" t="s">
        <v>235</v>
      </c>
      <c r="B1226" s="64" t="s">
        <v>2387</v>
      </c>
      <c r="C1226" s="65" t="s">
        <v>4443</v>
      </c>
      <c r="D1226" s="66">
        <v>3</v>
      </c>
      <c r="E1226" s="67"/>
      <c r="F1226" s="68">
        <v>40</v>
      </c>
      <c r="G1226" s="65"/>
      <c r="H1226" s="69"/>
      <c r="I1226" s="70"/>
      <c r="J1226" s="70"/>
      <c r="K1226" s="34" t="s">
        <v>65</v>
      </c>
      <c r="L1226" s="77">
        <v>1226</v>
      </c>
      <c r="M1226" s="77"/>
      <c r="N1226" s="72"/>
      <c r="O1226" s="79" t="s">
        <v>610</v>
      </c>
      <c r="P1226" s="79">
        <v>1</v>
      </c>
      <c r="Q1226" s="78" t="str">
        <f>REPLACE(INDEX(GroupVertices[Group],MATCH(Edges[[#This Row],[Vertex 1]],GroupVertices[Vertex],0)),1,1,"")</f>
        <v>ibi sebastian</v>
      </c>
      <c r="R1226" s="78" t="str">
        <f>REPLACE(INDEX(GroupVertices[Group],MATCH(Edges[[#This Row],[Vertex 2]],GroupVertices[Vertex],0)),1,1,"")</f>
        <v>ibi sebastian</v>
      </c>
    </row>
    <row r="1227" spans="1:18" ht="15">
      <c r="A1227" s="64" t="s">
        <v>235</v>
      </c>
      <c r="B1227" s="64" t="s">
        <v>2388</v>
      </c>
      <c r="C1227" s="65" t="s">
        <v>4443</v>
      </c>
      <c r="D1227" s="66">
        <v>3</v>
      </c>
      <c r="E1227" s="67"/>
      <c r="F1227" s="68">
        <v>40</v>
      </c>
      <c r="G1227" s="65"/>
      <c r="H1227" s="69"/>
      <c r="I1227" s="70"/>
      <c r="J1227" s="70"/>
      <c r="K1227" s="34" t="s">
        <v>65</v>
      </c>
      <c r="L1227" s="77">
        <v>1227</v>
      </c>
      <c r="M1227" s="77"/>
      <c r="N1227" s="72"/>
      <c r="O1227" s="79" t="s">
        <v>610</v>
      </c>
      <c r="P1227" s="79">
        <v>1</v>
      </c>
      <c r="Q1227" s="78" t="str">
        <f>REPLACE(INDEX(GroupVertices[Group],MATCH(Edges[[#This Row],[Vertex 1]],GroupVertices[Vertex],0)),1,1,"")</f>
        <v>ibi sebastian</v>
      </c>
      <c r="R1227" s="78" t="str">
        <f>REPLACE(INDEX(GroupVertices[Group],MATCH(Edges[[#This Row],[Vertex 2]],GroupVertices[Vertex],0)),1,1,"")</f>
        <v>ibi sebastian</v>
      </c>
    </row>
    <row r="1228" spans="1:18" ht="15">
      <c r="A1228" s="64" t="s">
        <v>235</v>
      </c>
      <c r="B1228" s="64" t="s">
        <v>2389</v>
      </c>
      <c r="C1228" s="65" t="s">
        <v>4443</v>
      </c>
      <c r="D1228" s="66">
        <v>3</v>
      </c>
      <c r="E1228" s="67"/>
      <c r="F1228" s="68">
        <v>40</v>
      </c>
      <c r="G1228" s="65"/>
      <c r="H1228" s="69"/>
      <c r="I1228" s="70"/>
      <c r="J1228" s="70"/>
      <c r="K1228" s="34" t="s">
        <v>65</v>
      </c>
      <c r="L1228" s="77">
        <v>1228</v>
      </c>
      <c r="M1228" s="77"/>
      <c r="N1228" s="72"/>
      <c r="O1228" s="79" t="s">
        <v>610</v>
      </c>
      <c r="P1228" s="79">
        <v>1</v>
      </c>
      <c r="Q1228" s="78" t="str">
        <f>REPLACE(INDEX(GroupVertices[Group],MATCH(Edges[[#This Row],[Vertex 1]],GroupVertices[Vertex],0)),1,1,"")</f>
        <v>ibi sebastian</v>
      </c>
      <c r="R1228" s="78" t="str">
        <f>REPLACE(INDEX(GroupVertices[Group],MATCH(Edges[[#This Row],[Vertex 2]],GroupVertices[Vertex],0)),1,1,"")</f>
        <v>ibi sebastian</v>
      </c>
    </row>
    <row r="1229" spans="1:18" ht="15">
      <c r="A1229" s="64" t="s">
        <v>235</v>
      </c>
      <c r="B1229" s="64" t="s">
        <v>2390</v>
      </c>
      <c r="C1229" s="65" t="s">
        <v>4443</v>
      </c>
      <c r="D1229" s="66">
        <v>3</v>
      </c>
      <c r="E1229" s="67"/>
      <c r="F1229" s="68">
        <v>40</v>
      </c>
      <c r="G1229" s="65"/>
      <c r="H1229" s="69"/>
      <c r="I1229" s="70"/>
      <c r="J1229" s="70"/>
      <c r="K1229" s="34" t="s">
        <v>65</v>
      </c>
      <c r="L1229" s="77">
        <v>1229</v>
      </c>
      <c r="M1229" s="77"/>
      <c r="N1229" s="72"/>
      <c r="O1229" s="79" t="s">
        <v>610</v>
      </c>
      <c r="P1229" s="79">
        <v>1</v>
      </c>
      <c r="Q1229" s="78" t="str">
        <f>REPLACE(INDEX(GroupVertices[Group],MATCH(Edges[[#This Row],[Vertex 1]],GroupVertices[Vertex],0)),1,1,"")</f>
        <v>ibi sebastian</v>
      </c>
      <c r="R1229" s="78" t="str">
        <f>REPLACE(INDEX(GroupVertices[Group],MATCH(Edges[[#This Row],[Vertex 2]],GroupVertices[Vertex],0)),1,1,"")</f>
        <v>ibi sebastian</v>
      </c>
    </row>
    <row r="1230" spans="1:18" ht="15">
      <c r="A1230" s="64" t="s">
        <v>235</v>
      </c>
      <c r="B1230" s="64" t="s">
        <v>2391</v>
      </c>
      <c r="C1230" s="65" t="s">
        <v>4443</v>
      </c>
      <c r="D1230" s="66">
        <v>3</v>
      </c>
      <c r="E1230" s="67"/>
      <c r="F1230" s="68">
        <v>40</v>
      </c>
      <c r="G1230" s="65"/>
      <c r="H1230" s="69"/>
      <c r="I1230" s="70"/>
      <c r="J1230" s="70"/>
      <c r="K1230" s="34" t="s">
        <v>65</v>
      </c>
      <c r="L1230" s="77">
        <v>1230</v>
      </c>
      <c r="M1230" s="77"/>
      <c r="N1230" s="72"/>
      <c r="O1230" s="79" t="s">
        <v>610</v>
      </c>
      <c r="P1230" s="79">
        <v>1</v>
      </c>
      <c r="Q1230" s="78" t="str">
        <f>REPLACE(INDEX(GroupVertices[Group],MATCH(Edges[[#This Row],[Vertex 1]],GroupVertices[Vertex],0)),1,1,"")</f>
        <v>ibi sebastian</v>
      </c>
      <c r="R1230" s="78" t="str">
        <f>REPLACE(INDEX(GroupVertices[Group],MATCH(Edges[[#This Row],[Vertex 2]],GroupVertices[Vertex],0)),1,1,"")</f>
        <v>ibi sebastian</v>
      </c>
    </row>
    <row r="1231" spans="1:18" ht="15">
      <c r="A1231" s="64" t="s">
        <v>235</v>
      </c>
      <c r="B1231" s="64" t="s">
        <v>2392</v>
      </c>
      <c r="C1231" s="65" t="s">
        <v>4443</v>
      </c>
      <c r="D1231" s="66">
        <v>3</v>
      </c>
      <c r="E1231" s="67"/>
      <c r="F1231" s="68">
        <v>40</v>
      </c>
      <c r="G1231" s="65"/>
      <c r="H1231" s="69"/>
      <c r="I1231" s="70"/>
      <c r="J1231" s="70"/>
      <c r="K1231" s="34" t="s">
        <v>65</v>
      </c>
      <c r="L1231" s="77">
        <v>1231</v>
      </c>
      <c r="M1231" s="77"/>
      <c r="N1231" s="72"/>
      <c r="O1231" s="79" t="s">
        <v>610</v>
      </c>
      <c r="P1231" s="79">
        <v>1</v>
      </c>
      <c r="Q1231" s="78" t="str">
        <f>REPLACE(INDEX(GroupVertices[Group],MATCH(Edges[[#This Row],[Vertex 1]],GroupVertices[Vertex],0)),1,1,"")</f>
        <v>ibi sebastian</v>
      </c>
      <c r="R1231" s="78" t="str">
        <f>REPLACE(INDEX(GroupVertices[Group],MATCH(Edges[[#This Row],[Vertex 2]],GroupVertices[Vertex],0)),1,1,"")</f>
        <v>ibi sebastian</v>
      </c>
    </row>
    <row r="1232" spans="1:18" ht="15">
      <c r="A1232" s="64" t="s">
        <v>235</v>
      </c>
      <c r="B1232" s="64" t="s">
        <v>264</v>
      </c>
      <c r="C1232" s="65" t="s">
        <v>4443</v>
      </c>
      <c r="D1232" s="66">
        <v>3</v>
      </c>
      <c r="E1232" s="67"/>
      <c r="F1232" s="68">
        <v>40</v>
      </c>
      <c r="G1232" s="65"/>
      <c r="H1232" s="69"/>
      <c r="I1232" s="70"/>
      <c r="J1232" s="70"/>
      <c r="K1232" s="34" t="s">
        <v>65</v>
      </c>
      <c r="L1232" s="77">
        <v>1232</v>
      </c>
      <c r="M1232" s="77"/>
      <c r="N1232" s="72"/>
      <c r="O1232" s="79" t="s">
        <v>610</v>
      </c>
      <c r="P1232" s="79">
        <v>1</v>
      </c>
      <c r="Q1232" s="78" t="str">
        <f>REPLACE(INDEX(GroupVertices[Group],MATCH(Edges[[#This Row],[Vertex 1]],GroupVertices[Vertex],0)),1,1,"")</f>
        <v>ibi sebastian</v>
      </c>
      <c r="R1232" s="78" t="str">
        <f>REPLACE(INDEX(GroupVertices[Group],MATCH(Edges[[#This Row],[Vertex 2]],GroupVertices[Vertex],0)),1,1,"")</f>
        <v>nline Nursing Classes</v>
      </c>
    </row>
    <row r="1233" spans="1:18" ht="15">
      <c r="A1233" s="64" t="s">
        <v>235</v>
      </c>
      <c r="B1233" s="64" t="s">
        <v>532</v>
      </c>
      <c r="C1233" s="65" t="s">
        <v>4443</v>
      </c>
      <c r="D1233" s="66">
        <v>3</v>
      </c>
      <c r="E1233" s="67"/>
      <c r="F1233" s="68">
        <v>40</v>
      </c>
      <c r="G1233" s="65"/>
      <c r="H1233" s="69"/>
      <c r="I1233" s="70"/>
      <c r="J1233" s="70"/>
      <c r="K1233" s="34" t="s">
        <v>65</v>
      </c>
      <c r="L1233" s="77">
        <v>1233</v>
      </c>
      <c r="M1233" s="77"/>
      <c r="N1233" s="72"/>
      <c r="O1233" s="79" t="s">
        <v>610</v>
      </c>
      <c r="P1233" s="79">
        <v>1</v>
      </c>
      <c r="Q1233" s="78" t="str">
        <f>REPLACE(INDEX(GroupVertices[Group],MATCH(Edges[[#This Row],[Vertex 1]],GroupVertices[Vertex],0)),1,1,"")</f>
        <v>ibi sebastian</v>
      </c>
      <c r="R1233" s="78" t="str">
        <f>REPLACE(INDEX(GroupVertices[Group],MATCH(Edges[[#This Row],[Vertex 2]],GroupVertices[Vertex],0)),1,1,"")</f>
        <v>nline Nursing Classes</v>
      </c>
    </row>
    <row r="1234" spans="1:18" ht="15">
      <c r="A1234" s="64" t="s">
        <v>235</v>
      </c>
      <c r="B1234" s="64" t="s">
        <v>226</v>
      </c>
      <c r="C1234" s="65" t="s">
        <v>4443</v>
      </c>
      <c r="D1234" s="66">
        <v>3</v>
      </c>
      <c r="E1234" s="67"/>
      <c r="F1234" s="68">
        <v>40</v>
      </c>
      <c r="G1234" s="65"/>
      <c r="H1234" s="69"/>
      <c r="I1234" s="70"/>
      <c r="J1234" s="70"/>
      <c r="K1234" s="34" t="s">
        <v>65</v>
      </c>
      <c r="L1234" s="77">
        <v>1234</v>
      </c>
      <c r="M1234" s="77"/>
      <c r="N1234" s="72"/>
      <c r="O1234" s="79" t="s">
        <v>610</v>
      </c>
      <c r="P1234" s="79">
        <v>1</v>
      </c>
      <c r="Q1234" s="78" t="str">
        <f>REPLACE(INDEX(GroupVertices[Group],MATCH(Edges[[#This Row],[Vertex 1]],GroupVertices[Vertex],0)),1,1,"")</f>
        <v>ibi sebastian</v>
      </c>
      <c r="R1234" s="78" t="str">
        <f>REPLACE(INDEX(GroupVertices[Group],MATCH(Edges[[#This Row],[Vertex 2]],GroupVertices[Vertex],0)),1,1,"")</f>
        <v>edico Tannu</v>
      </c>
    </row>
    <row r="1235" spans="1:18" ht="15">
      <c r="A1235" s="64" t="s">
        <v>235</v>
      </c>
      <c r="B1235" s="64" t="s">
        <v>2393</v>
      </c>
      <c r="C1235" s="65" t="s">
        <v>4443</v>
      </c>
      <c r="D1235" s="66">
        <v>3</v>
      </c>
      <c r="E1235" s="67"/>
      <c r="F1235" s="68">
        <v>40</v>
      </c>
      <c r="G1235" s="65"/>
      <c r="H1235" s="69"/>
      <c r="I1235" s="70"/>
      <c r="J1235" s="70"/>
      <c r="K1235" s="34" t="s">
        <v>65</v>
      </c>
      <c r="L1235" s="77">
        <v>1235</v>
      </c>
      <c r="M1235" s="77"/>
      <c r="N1235" s="72"/>
      <c r="O1235" s="79" t="s">
        <v>610</v>
      </c>
      <c r="P1235" s="79">
        <v>1</v>
      </c>
      <c r="Q1235" s="78" t="str">
        <f>REPLACE(INDEX(GroupVertices[Group],MATCH(Edges[[#This Row],[Vertex 1]],GroupVertices[Vertex],0)),1,1,"")</f>
        <v>ibi sebastian</v>
      </c>
      <c r="R1235" s="78" t="str">
        <f>REPLACE(INDEX(GroupVertices[Group],MATCH(Edges[[#This Row],[Vertex 2]],GroupVertices[Vertex],0)),1,1,"")</f>
        <v>tkarsh Nursing Classes</v>
      </c>
    </row>
    <row r="1236" spans="1:18" ht="15">
      <c r="A1236" s="64" t="s">
        <v>235</v>
      </c>
      <c r="B1236" s="64" t="s">
        <v>2395</v>
      </c>
      <c r="C1236" s="65" t="s">
        <v>4443</v>
      </c>
      <c r="D1236" s="66">
        <v>3</v>
      </c>
      <c r="E1236" s="67"/>
      <c r="F1236" s="68">
        <v>40</v>
      </c>
      <c r="G1236" s="65"/>
      <c r="H1236" s="69"/>
      <c r="I1236" s="70"/>
      <c r="J1236" s="70"/>
      <c r="K1236" s="34" t="s">
        <v>65</v>
      </c>
      <c r="L1236" s="77">
        <v>1236</v>
      </c>
      <c r="M1236" s="77"/>
      <c r="N1236" s="72"/>
      <c r="O1236" s="79" t="s">
        <v>610</v>
      </c>
      <c r="P1236" s="79">
        <v>1</v>
      </c>
      <c r="Q1236" s="78" t="str">
        <f>REPLACE(INDEX(GroupVertices[Group],MATCH(Edges[[#This Row],[Vertex 1]],GroupVertices[Vertex],0)),1,1,"")</f>
        <v>ibi sebastian</v>
      </c>
      <c r="R1236" s="78" t="str">
        <f>REPLACE(INDEX(GroupVertices[Group],MATCH(Edges[[#This Row],[Vertex 2]],GroupVertices[Vertex],0)),1,1,"")</f>
        <v>earn With Jenny</v>
      </c>
    </row>
    <row r="1237" spans="1:18" ht="15">
      <c r="A1237" s="64" t="s">
        <v>235</v>
      </c>
      <c r="B1237" s="64" t="s">
        <v>531</v>
      </c>
      <c r="C1237" s="65" t="s">
        <v>4443</v>
      </c>
      <c r="D1237" s="66">
        <v>3</v>
      </c>
      <c r="E1237" s="67"/>
      <c r="F1237" s="68">
        <v>40</v>
      </c>
      <c r="G1237" s="65"/>
      <c r="H1237" s="69"/>
      <c r="I1237" s="70"/>
      <c r="J1237" s="70"/>
      <c r="K1237" s="34" t="s">
        <v>65</v>
      </c>
      <c r="L1237" s="77">
        <v>1237</v>
      </c>
      <c r="M1237" s="77"/>
      <c r="N1237" s="72"/>
      <c r="O1237" s="79" t="s">
        <v>610</v>
      </c>
      <c r="P1237" s="79">
        <v>1</v>
      </c>
      <c r="Q1237" s="78" t="str">
        <f>REPLACE(INDEX(GroupVertices[Group],MATCH(Edges[[#This Row],[Vertex 1]],GroupVertices[Vertex],0)),1,1,"")</f>
        <v>ibi sebastian</v>
      </c>
      <c r="R1237" s="78" t="str">
        <f>REPLACE(INDEX(GroupVertices[Group],MATCH(Edges[[#This Row],[Vertex 2]],GroupVertices[Vertex],0)),1,1,"")</f>
        <v>earn With Jenny</v>
      </c>
    </row>
    <row r="1238" spans="1:18" ht="15">
      <c r="A1238" s="64" t="s">
        <v>235</v>
      </c>
      <c r="B1238" s="64" t="s">
        <v>215</v>
      </c>
      <c r="C1238" s="65" t="s">
        <v>4444</v>
      </c>
      <c r="D1238" s="66">
        <v>3</v>
      </c>
      <c r="E1238" s="67"/>
      <c r="F1238" s="68">
        <v>40</v>
      </c>
      <c r="G1238" s="65"/>
      <c r="H1238" s="69"/>
      <c r="I1238" s="70"/>
      <c r="J1238" s="70"/>
      <c r="K1238" s="34" t="s">
        <v>66</v>
      </c>
      <c r="L1238" s="77">
        <v>1238</v>
      </c>
      <c r="M1238" s="77"/>
      <c r="N1238" s="72"/>
      <c r="O1238" s="79" t="s">
        <v>610</v>
      </c>
      <c r="P1238" s="79">
        <v>1</v>
      </c>
      <c r="Q1238" s="78" t="str">
        <f>REPLACE(INDEX(GroupVertices[Group],MATCH(Edges[[#This Row],[Vertex 1]],GroupVertices[Vertex],0)),1,1,"")</f>
        <v>ibi sebastian</v>
      </c>
      <c r="R1238" s="78" t="str">
        <f>REPLACE(INDEX(GroupVertices[Group],MATCH(Edges[[#This Row],[Vertex 2]],GroupVertices[Vertex],0)),1,1,"")</f>
        <v>edical Centric</v>
      </c>
    </row>
    <row r="1239" spans="1:18" ht="15">
      <c r="A1239" s="64" t="s">
        <v>227</v>
      </c>
      <c r="B1239" s="64" t="s">
        <v>436</v>
      </c>
      <c r="C1239" s="65" t="s">
        <v>4443</v>
      </c>
      <c r="D1239" s="66">
        <v>3</v>
      </c>
      <c r="E1239" s="67"/>
      <c r="F1239" s="68">
        <v>40</v>
      </c>
      <c r="G1239" s="65"/>
      <c r="H1239" s="69"/>
      <c r="I1239" s="70"/>
      <c r="J1239" s="70"/>
      <c r="K1239" s="34" t="s">
        <v>65</v>
      </c>
      <c r="L1239" s="77">
        <v>1239</v>
      </c>
      <c r="M1239" s="77"/>
      <c r="N1239" s="72"/>
      <c r="O1239" s="79" t="s">
        <v>610</v>
      </c>
      <c r="P1239" s="79">
        <v>1</v>
      </c>
      <c r="Q1239" s="78" t="str">
        <f>REPLACE(INDEX(GroupVertices[Group],MATCH(Edges[[#This Row],[Vertex 1]],GroupVertices[Vertex],0)),1,1,"")</f>
        <v>SS Learning</v>
      </c>
      <c r="R1239" s="78" t="str">
        <f>REPLACE(INDEX(GroupVertices[Group],MATCH(Edges[[#This Row],[Vertex 2]],GroupVertices[Vertex],0)),1,1,"")</f>
        <v>est Yorkshire Trading Standards</v>
      </c>
    </row>
    <row r="1240" spans="1:18" ht="15">
      <c r="A1240" s="64" t="s">
        <v>227</v>
      </c>
      <c r="B1240" s="64" t="s">
        <v>437</v>
      </c>
      <c r="C1240" s="65" t="s">
        <v>4443</v>
      </c>
      <c r="D1240" s="66">
        <v>3</v>
      </c>
      <c r="E1240" s="67"/>
      <c r="F1240" s="68">
        <v>40</v>
      </c>
      <c r="G1240" s="65"/>
      <c r="H1240" s="69"/>
      <c r="I1240" s="70"/>
      <c r="J1240" s="70"/>
      <c r="K1240" s="34" t="s">
        <v>65</v>
      </c>
      <c r="L1240" s="77">
        <v>1240</v>
      </c>
      <c r="M1240" s="77"/>
      <c r="N1240" s="72"/>
      <c r="O1240" s="79" t="s">
        <v>610</v>
      </c>
      <c r="P1240" s="79">
        <v>1</v>
      </c>
      <c r="Q1240" s="78" t="str">
        <f>REPLACE(INDEX(GroupVertices[Group],MATCH(Edges[[#This Row],[Vertex 1]],GroupVertices[Vertex],0)),1,1,"")</f>
        <v>SS Learning</v>
      </c>
      <c r="R1240" s="78" t="str">
        <f>REPLACE(INDEX(GroupVertices[Group],MATCH(Edges[[#This Row],[Vertex 2]],GroupVertices[Vertex],0)),1,1,"")</f>
        <v>WL LCNP</v>
      </c>
    </row>
    <row r="1241" spans="1:18" ht="15">
      <c r="A1241" s="64" t="s">
        <v>227</v>
      </c>
      <c r="B1241" s="64" t="s">
        <v>438</v>
      </c>
      <c r="C1241" s="65" t="s">
        <v>4443</v>
      </c>
      <c r="D1241" s="66">
        <v>3</v>
      </c>
      <c r="E1241" s="67"/>
      <c r="F1241" s="68">
        <v>40</v>
      </c>
      <c r="G1241" s="65"/>
      <c r="H1241" s="69"/>
      <c r="I1241" s="70"/>
      <c r="J1241" s="70"/>
      <c r="K1241" s="34" t="s">
        <v>65</v>
      </c>
      <c r="L1241" s="77">
        <v>1241</v>
      </c>
      <c r="M1241" s="77"/>
      <c r="N1241" s="72"/>
      <c r="O1241" s="79" t="s">
        <v>610</v>
      </c>
      <c r="P1241" s="79">
        <v>1</v>
      </c>
      <c r="Q1241" s="78" t="str">
        <f>REPLACE(INDEX(GroupVertices[Group],MATCH(Edges[[#This Row],[Vertex 1]],GroupVertices[Vertex],0)),1,1,"")</f>
        <v>SS Learning</v>
      </c>
      <c r="R1241" s="78" t="str">
        <f>REPLACE(INDEX(GroupVertices[Group],MATCH(Edges[[#This Row],[Vertex 2]],GroupVertices[Vertex],0)),1,1,"")</f>
        <v>WL LCNP</v>
      </c>
    </row>
    <row r="1242" spans="1:18" ht="15">
      <c r="A1242" s="64" t="s">
        <v>227</v>
      </c>
      <c r="B1242" s="64" t="s">
        <v>439</v>
      </c>
      <c r="C1242" s="65" t="s">
        <v>4443</v>
      </c>
      <c r="D1242" s="66">
        <v>3</v>
      </c>
      <c r="E1242" s="67"/>
      <c r="F1242" s="68">
        <v>40</v>
      </c>
      <c r="G1242" s="65"/>
      <c r="H1242" s="69"/>
      <c r="I1242" s="70"/>
      <c r="J1242" s="70"/>
      <c r="K1242" s="34" t="s">
        <v>65</v>
      </c>
      <c r="L1242" s="77">
        <v>1242</v>
      </c>
      <c r="M1242" s="77"/>
      <c r="N1242" s="72"/>
      <c r="O1242" s="79" t="s">
        <v>610</v>
      </c>
      <c r="P1242" s="79">
        <v>1</v>
      </c>
      <c r="Q1242" s="78" t="str">
        <f>REPLACE(INDEX(GroupVertices[Group],MATCH(Edges[[#This Row],[Vertex 1]],GroupVertices[Vertex],0)),1,1,"")</f>
        <v>SS Learning</v>
      </c>
      <c r="R1242" s="78" t="str">
        <f>REPLACE(INDEX(GroupVertices[Group],MATCH(Edges[[#This Row],[Vertex 2]],GroupVertices[Vertex],0)),1,1,"")</f>
        <v>CLxLSE Nudgeathon</v>
      </c>
    </row>
    <row r="1243" spans="1:18" ht="15">
      <c r="A1243" s="64" t="s">
        <v>227</v>
      </c>
      <c r="B1243" s="64" t="s">
        <v>432</v>
      </c>
      <c r="C1243" s="65" t="s">
        <v>4443</v>
      </c>
      <c r="D1243" s="66">
        <v>3</v>
      </c>
      <c r="E1243" s="67"/>
      <c r="F1243" s="68">
        <v>40</v>
      </c>
      <c r="G1243" s="65"/>
      <c r="H1243" s="69"/>
      <c r="I1243" s="70"/>
      <c r="J1243" s="70"/>
      <c r="K1243" s="34" t="s">
        <v>65</v>
      </c>
      <c r="L1243" s="77">
        <v>1243</v>
      </c>
      <c r="M1243" s="77"/>
      <c r="N1243" s="72"/>
      <c r="O1243" s="79" t="s">
        <v>610</v>
      </c>
      <c r="P1243" s="79">
        <v>1</v>
      </c>
      <c r="Q1243" s="78" t="str">
        <f>REPLACE(INDEX(GroupVertices[Group],MATCH(Edges[[#This Row],[Vertex 1]],GroupVertices[Vertex],0)),1,1,"")</f>
        <v>SS Learning</v>
      </c>
      <c r="R1243" s="78" t="str">
        <f>REPLACE(INDEX(GroupVertices[Group],MATCH(Edges[[#This Row],[Vertex 2]],GroupVertices[Vertex],0)),1,1,"")</f>
        <v>ociety for the Study of Addiction</v>
      </c>
    </row>
    <row r="1244" spans="1:18" ht="15">
      <c r="A1244" s="64" t="s">
        <v>227</v>
      </c>
      <c r="B1244" s="64" t="s">
        <v>441</v>
      </c>
      <c r="C1244" s="65" t="s">
        <v>4443</v>
      </c>
      <c r="D1244" s="66">
        <v>3</v>
      </c>
      <c r="E1244" s="67"/>
      <c r="F1244" s="68">
        <v>40</v>
      </c>
      <c r="G1244" s="65"/>
      <c r="H1244" s="69"/>
      <c r="I1244" s="70"/>
      <c r="J1244" s="70"/>
      <c r="K1244" s="34" t="s">
        <v>65</v>
      </c>
      <c r="L1244" s="77">
        <v>1244</v>
      </c>
      <c r="M1244" s="77"/>
      <c r="N1244" s="72"/>
      <c r="O1244" s="79" t="s">
        <v>610</v>
      </c>
      <c r="P1244" s="79">
        <v>1</v>
      </c>
      <c r="Q1244" s="78" t="str">
        <f>REPLACE(INDEX(GroupVertices[Group],MATCH(Edges[[#This Row],[Vertex 1]],GroupVertices[Vertex],0)),1,1,"")</f>
        <v>SS Learning</v>
      </c>
      <c r="R1244" s="78" t="str">
        <f>REPLACE(INDEX(GroupVertices[Group],MATCH(Edges[[#This Row],[Vertex 2]],GroupVertices[Vertex],0)),1,1,"")</f>
        <v>igital Language Teaching -Fit4DigiLinE-</v>
      </c>
    </row>
    <row r="1245" spans="1:18" ht="15">
      <c r="A1245" s="64" t="s">
        <v>227</v>
      </c>
      <c r="B1245" s="64" t="s">
        <v>440</v>
      </c>
      <c r="C1245" s="65" t="s">
        <v>4443</v>
      </c>
      <c r="D1245" s="66">
        <v>3</v>
      </c>
      <c r="E1245" s="67"/>
      <c r="F1245" s="68">
        <v>40</v>
      </c>
      <c r="G1245" s="65"/>
      <c r="H1245" s="69"/>
      <c r="I1245" s="70"/>
      <c r="J1245" s="70"/>
      <c r="K1245" s="34" t="s">
        <v>65</v>
      </c>
      <c r="L1245" s="77">
        <v>1245</v>
      </c>
      <c r="M1245" s="77"/>
      <c r="N1245" s="72"/>
      <c r="O1245" s="79" t="s">
        <v>610</v>
      </c>
      <c r="P1245" s="79">
        <v>1</v>
      </c>
      <c r="Q1245" s="78" t="str">
        <f>REPLACE(INDEX(GroupVertices[Group],MATCH(Edges[[#This Row],[Vertex 1]],GroupVertices[Vertex],0)),1,1,"")</f>
        <v>SS Learning</v>
      </c>
      <c r="R1245" s="78" t="str">
        <f>REPLACE(INDEX(GroupVertices[Group],MATCH(Edges[[#This Row],[Vertex 2]],GroupVertices[Vertex],0)),1,1,"")</f>
        <v>aria Evans</v>
      </c>
    </row>
    <row r="1246" spans="1:18" ht="15">
      <c r="A1246" s="64" t="s">
        <v>227</v>
      </c>
      <c r="B1246" s="64" t="s">
        <v>443</v>
      </c>
      <c r="C1246" s="65" t="s">
        <v>4443</v>
      </c>
      <c r="D1246" s="66">
        <v>3</v>
      </c>
      <c r="E1246" s="67"/>
      <c r="F1246" s="68">
        <v>40</v>
      </c>
      <c r="G1246" s="65"/>
      <c r="H1246" s="69"/>
      <c r="I1246" s="70"/>
      <c r="J1246" s="70"/>
      <c r="K1246" s="34" t="s">
        <v>65</v>
      </c>
      <c r="L1246" s="77">
        <v>1246</v>
      </c>
      <c r="M1246" s="77"/>
      <c r="N1246" s="72"/>
      <c r="O1246" s="79" t="s">
        <v>610</v>
      </c>
      <c r="P1246" s="79">
        <v>1</v>
      </c>
      <c r="Q1246" s="78" t="str">
        <f>REPLACE(INDEX(GroupVertices[Group],MATCH(Edges[[#This Row],[Vertex 1]],GroupVertices[Vertex],0)),1,1,"")</f>
        <v>SS Learning</v>
      </c>
      <c r="R1246" s="78" t="str">
        <f>REPLACE(INDEX(GroupVertices[Group],MATCH(Edges[[#This Row],[Vertex 2]],GroupVertices[Vertex],0)),1,1,"")</f>
        <v>omplete Careers LLP</v>
      </c>
    </row>
    <row r="1247" spans="1:18" ht="15">
      <c r="A1247" s="64" t="s">
        <v>227</v>
      </c>
      <c r="B1247" s="64" t="s">
        <v>442</v>
      </c>
      <c r="C1247" s="65" t="s">
        <v>4443</v>
      </c>
      <c r="D1247" s="66">
        <v>3</v>
      </c>
      <c r="E1247" s="67"/>
      <c r="F1247" s="68">
        <v>40</v>
      </c>
      <c r="G1247" s="65"/>
      <c r="H1247" s="69"/>
      <c r="I1247" s="70"/>
      <c r="J1247" s="70"/>
      <c r="K1247" s="34" t="s">
        <v>65</v>
      </c>
      <c r="L1247" s="77">
        <v>1247</v>
      </c>
      <c r="M1247" s="77"/>
      <c r="N1247" s="72"/>
      <c r="O1247" s="79" t="s">
        <v>610</v>
      </c>
      <c r="P1247" s="79">
        <v>1</v>
      </c>
      <c r="Q1247" s="78" t="str">
        <f>REPLACE(INDEX(GroupVertices[Group],MATCH(Edges[[#This Row],[Vertex 1]],GroupVertices[Vertex],0)),1,1,"")</f>
        <v>SS Learning</v>
      </c>
      <c r="R1247" s="78" t="str">
        <f>REPLACE(INDEX(GroupVertices[Group],MATCH(Edges[[#This Row],[Vertex 2]],GroupVertices[Vertex],0)),1,1,"")</f>
        <v>omplete Careers LLP</v>
      </c>
    </row>
    <row r="1248" spans="1:18" ht="15">
      <c r="A1248" s="64" t="s">
        <v>227</v>
      </c>
      <c r="B1248" s="64" t="s">
        <v>444</v>
      </c>
      <c r="C1248" s="65" t="s">
        <v>4443</v>
      </c>
      <c r="D1248" s="66">
        <v>3</v>
      </c>
      <c r="E1248" s="67"/>
      <c r="F1248" s="68">
        <v>40</v>
      </c>
      <c r="G1248" s="65"/>
      <c r="H1248" s="69"/>
      <c r="I1248" s="70"/>
      <c r="J1248" s="70"/>
      <c r="K1248" s="34" t="s">
        <v>65</v>
      </c>
      <c r="L1248" s="77">
        <v>1248</v>
      </c>
      <c r="M1248" s="77"/>
      <c r="N1248" s="72"/>
      <c r="O1248" s="79" t="s">
        <v>610</v>
      </c>
      <c r="P1248" s="79">
        <v>1</v>
      </c>
      <c r="Q1248" s="78" t="str">
        <f>REPLACE(INDEX(GroupVertices[Group],MATCH(Edges[[#This Row],[Vertex 1]],GroupVertices[Vertex],0)),1,1,"")</f>
        <v>SS Learning</v>
      </c>
      <c r="R1248" s="78" t="str">
        <f>REPLACE(INDEX(GroupVertices[Group],MATCH(Edges[[#This Row],[Vertex 2]],GroupVertices[Vertex],0)),1,1,"")</f>
        <v>lueSky Learning</v>
      </c>
    </row>
    <row r="1249" spans="1:18" ht="15">
      <c r="A1249" s="64" t="s">
        <v>227</v>
      </c>
      <c r="B1249" s="64" t="s">
        <v>433</v>
      </c>
      <c r="C1249" s="65" t="s">
        <v>4443</v>
      </c>
      <c r="D1249" s="66">
        <v>3</v>
      </c>
      <c r="E1249" s="67"/>
      <c r="F1249" s="68">
        <v>40</v>
      </c>
      <c r="G1249" s="65"/>
      <c r="H1249" s="69"/>
      <c r="I1249" s="70"/>
      <c r="J1249" s="70"/>
      <c r="K1249" s="34" t="s">
        <v>65</v>
      </c>
      <c r="L1249" s="77">
        <v>1249</v>
      </c>
      <c r="M1249" s="77"/>
      <c r="N1249" s="72"/>
      <c r="O1249" s="79" t="s">
        <v>610</v>
      </c>
      <c r="P1249" s="79">
        <v>1</v>
      </c>
      <c r="Q1249" s="78" t="str">
        <f>REPLACE(INDEX(GroupVertices[Group],MATCH(Edges[[#This Row],[Vertex 1]],GroupVertices[Vertex],0)),1,1,"")</f>
        <v>SS Learning</v>
      </c>
      <c r="R1249" s="78" t="str">
        <f>REPLACE(INDEX(GroupVertices[Group],MATCH(Edges[[#This Row],[Vertex 2]],GroupVertices[Vertex],0)),1,1,"")</f>
        <v>lueSky Learning</v>
      </c>
    </row>
    <row r="1250" spans="1:18" ht="15">
      <c r="A1250" s="64" t="s">
        <v>227</v>
      </c>
      <c r="B1250" s="64" t="s">
        <v>445</v>
      </c>
      <c r="C1250" s="65" t="s">
        <v>4443</v>
      </c>
      <c r="D1250" s="66">
        <v>3</v>
      </c>
      <c r="E1250" s="67"/>
      <c r="F1250" s="68">
        <v>40</v>
      </c>
      <c r="G1250" s="65"/>
      <c r="H1250" s="69"/>
      <c r="I1250" s="70"/>
      <c r="J1250" s="70"/>
      <c r="K1250" s="34" t="s">
        <v>65</v>
      </c>
      <c r="L1250" s="77">
        <v>1250</v>
      </c>
      <c r="M1250" s="77"/>
      <c r="N1250" s="72"/>
      <c r="O1250" s="79" t="s">
        <v>610</v>
      </c>
      <c r="P1250" s="79">
        <v>1</v>
      </c>
      <c r="Q1250" s="78" t="str">
        <f>REPLACE(INDEX(GroupVertices[Group],MATCH(Edges[[#This Row],[Vertex 1]],GroupVertices[Vertex],0)),1,1,"")</f>
        <v>SS Learning</v>
      </c>
      <c r="R1250" s="78" t="str">
        <f>REPLACE(INDEX(GroupVertices[Group],MATCH(Edges[[#This Row],[Vertex 2]],GroupVertices[Vertex],0)),1,1,"")</f>
        <v>ivitas Strategies</v>
      </c>
    </row>
    <row r="1251" spans="1:18" ht="15">
      <c r="A1251" s="64" t="s">
        <v>227</v>
      </c>
      <c r="B1251" s="64" t="s">
        <v>434</v>
      </c>
      <c r="C1251" s="65" t="s">
        <v>4443</v>
      </c>
      <c r="D1251" s="66">
        <v>3</v>
      </c>
      <c r="E1251" s="67"/>
      <c r="F1251" s="68">
        <v>40</v>
      </c>
      <c r="G1251" s="65"/>
      <c r="H1251" s="69"/>
      <c r="I1251" s="70"/>
      <c r="J1251" s="70"/>
      <c r="K1251" s="34" t="s">
        <v>65</v>
      </c>
      <c r="L1251" s="77">
        <v>1251</v>
      </c>
      <c r="M1251" s="77"/>
      <c r="N1251" s="72"/>
      <c r="O1251" s="79" t="s">
        <v>610</v>
      </c>
      <c r="P1251" s="79">
        <v>1</v>
      </c>
      <c r="Q1251" s="78" t="str">
        <f>REPLACE(INDEX(GroupVertices[Group],MATCH(Edges[[#This Row],[Vertex 1]],GroupVertices[Vertex],0)),1,1,"")</f>
        <v>SS Learning</v>
      </c>
      <c r="R1251" s="78" t="str">
        <f>REPLACE(INDEX(GroupVertices[Group],MATCH(Edges[[#This Row],[Vertex 2]],GroupVertices[Vertex],0)),1,1,"")</f>
        <v>SS Learning</v>
      </c>
    </row>
    <row r="1252" spans="1:18" ht="15">
      <c r="A1252" s="64" t="s">
        <v>227</v>
      </c>
      <c r="B1252" s="64" t="s">
        <v>435</v>
      </c>
      <c r="C1252" s="65" t="s">
        <v>4443</v>
      </c>
      <c r="D1252" s="66">
        <v>3</v>
      </c>
      <c r="E1252" s="67"/>
      <c r="F1252" s="68">
        <v>40</v>
      </c>
      <c r="G1252" s="65"/>
      <c r="H1252" s="69"/>
      <c r="I1252" s="70"/>
      <c r="J1252" s="70"/>
      <c r="K1252" s="34" t="s">
        <v>65</v>
      </c>
      <c r="L1252" s="77">
        <v>1252</v>
      </c>
      <c r="M1252" s="77"/>
      <c r="N1252" s="72"/>
      <c r="O1252" s="79" t="s">
        <v>610</v>
      </c>
      <c r="P1252" s="79">
        <v>1</v>
      </c>
      <c r="Q1252" s="78" t="str">
        <f>REPLACE(INDEX(GroupVertices[Group],MATCH(Edges[[#This Row],[Vertex 1]],GroupVertices[Vertex],0)),1,1,"")</f>
        <v>SS Learning</v>
      </c>
      <c r="R1252" s="78" t="str">
        <f>REPLACE(INDEX(GroupVertices[Group],MATCH(Edges[[#This Row],[Vertex 2]],GroupVertices[Vertex],0)),1,1,"")</f>
        <v>SS Learning</v>
      </c>
    </row>
    <row r="1253" spans="1:18" ht="15">
      <c r="A1253" s="64" t="s">
        <v>227</v>
      </c>
      <c r="B1253" s="64" t="s">
        <v>446</v>
      </c>
      <c r="C1253" s="82" t="s">
        <v>4443</v>
      </c>
      <c r="D1253" s="83">
        <v>3</v>
      </c>
      <c r="E1253" s="109"/>
      <c r="F1253" s="84">
        <v>40</v>
      </c>
      <c r="G1253" s="82"/>
      <c r="H1253" s="85"/>
      <c r="I1253" s="86"/>
      <c r="J1253" s="86"/>
      <c r="K1253" s="34" t="s">
        <v>65</v>
      </c>
      <c r="L1253" s="110">
        <v>1253</v>
      </c>
      <c r="M1253" s="110"/>
      <c r="N1253" s="72"/>
      <c r="O1253" s="79" t="s">
        <v>610</v>
      </c>
      <c r="P1253" s="79">
        <v>1</v>
      </c>
      <c r="Q1253" s="78" t="str">
        <f>REPLACE(INDEX(GroupVertices[Group],MATCH(Edges[[#This Row],[Vertex 1]],GroupVertices[Vertex],0)),1,1,"")</f>
        <v>SS Learning</v>
      </c>
      <c r="R1253" s="78" t="str">
        <f>REPLACE(INDEX(GroupVertices[Group],MATCH(Edges[[#This Row],[Vertex 2]],GroupVertices[Vertex],0)),1,1,"")</f>
        <v>SS Learning</v>
      </c>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3"/>
    <dataValidation allowBlank="1" showErrorMessage="1" sqref="N2:N12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3"/>
    <dataValidation allowBlank="1" showInputMessage="1" promptTitle="Edge Color" prompt="To select an optional edge color, right-click and select Select Color on the right-click menu." sqref="C3:C1253"/>
    <dataValidation allowBlank="1" showInputMessage="1" promptTitle="Edge Width" prompt="Enter an optional edge width between 1 and 10." errorTitle="Invalid Edge Width" error="The optional edge width must be a whole number between 1 and 10." sqref="D3:D1253"/>
    <dataValidation allowBlank="1" showInputMessage="1" promptTitle="Edge Opacity" prompt="Enter an optional edge opacity between 0 (transparent) and 100 (opaque)." errorTitle="Invalid Edge Opacity" error="The optional edge opacity must be a whole number between 0 and 10." sqref="F3:F12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3">
      <formula1>ValidEdgeVisibilities</formula1>
    </dataValidation>
    <dataValidation allowBlank="1" showInputMessage="1" showErrorMessage="1" promptTitle="Vertex 1 Name" prompt="Enter the name of the edge's first vertex." sqref="A3:A1253"/>
    <dataValidation allowBlank="1" showInputMessage="1" showErrorMessage="1" promptTitle="Vertex 2 Name" prompt="Enter the name of the edge's second vertex." sqref="B3:B1253"/>
    <dataValidation allowBlank="1" showInputMessage="1" showErrorMessage="1" promptTitle="Edge Label" prompt="Enter an optional edge label." errorTitle="Invalid Edge Visibility" error="You have entered an unrecognized edge visibility.  Try selecting from the drop-down list instead." sqref="H3:H12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2794"/>
  <sheetViews>
    <sheetView workbookViewId="0" topLeftCell="A1">
      <pane xSplit="1" ySplit="2" topLeftCell="B14" activePane="bottomRight" state="frozen"/>
      <selection pane="topRight" activeCell="B1" sqref="B1"/>
      <selection pane="bottomLeft" activeCell="A3" sqref="A3"/>
      <selection pane="bottomRight" activeCell="S20" sqref="S20"/>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6.57421875" style="0" hidden="1" customWidth="1"/>
    <col min="16" max="16" width="10.7109375" style="0" hidden="1" customWidth="1"/>
    <col min="17" max="17" width="6.421875" style="0" hidden="1" customWidth="1"/>
    <col min="18" max="18" width="12.71093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 min="41" max="41" width="9.71093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4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611</v>
      </c>
      <c r="AE2" s="13" t="s">
        <v>612</v>
      </c>
      <c r="AF2" s="13" t="s">
        <v>613</v>
      </c>
      <c r="AG2" s="13" t="s">
        <v>614</v>
      </c>
      <c r="AH2" s="13" t="s">
        <v>615</v>
      </c>
      <c r="AI2" s="13" t="s">
        <v>616</v>
      </c>
      <c r="AJ2" s="13" t="s">
        <v>617</v>
      </c>
      <c r="AK2" s="13" t="s">
        <v>618</v>
      </c>
      <c r="AL2" s="13" t="s">
        <v>619</v>
      </c>
      <c r="AM2" s="13" t="s">
        <v>620</v>
      </c>
      <c r="AN2" s="13" t="s">
        <v>621</v>
      </c>
      <c r="AO2" s="13" t="s">
        <v>4457</v>
      </c>
      <c r="AP2" s="3"/>
      <c r="AQ2" s="3"/>
    </row>
    <row r="3" spans="1:43" ht="15" customHeight="1">
      <c r="A3" s="64" t="s">
        <v>215</v>
      </c>
      <c r="B3" s="65"/>
      <c r="C3" s="65"/>
      <c r="D3" s="66">
        <v>150</v>
      </c>
      <c r="E3" s="102">
        <v>93.57142857142857</v>
      </c>
      <c r="F3" s="98" t="str">
        <f>HYPERLINK("https://i.ytimg.com/vi/GkgtDmCuMDg/default.jpg")</f>
        <v>https://i.ytimg.com/vi/GkgtDmCuMDg/default.jpg</v>
      </c>
      <c r="G3" s="100"/>
      <c r="H3" s="69" t="s">
        <v>644</v>
      </c>
      <c r="I3" s="70"/>
      <c r="J3" s="104" t="s">
        <v>75</v>
      </c>
      <c r="K3" s="69" t="s">
        <v>644</v>
      </c>
      <c r="L3" s="105">
        <v>8450.109110738316</v>
      </c>
      <c r="M3" s="74">
        <v>1702.4425048828125</v>
      </c>
      <c r="N3" s="74">
        <v>8013.3916015625</v>
      </c>
      <c r="O3" s="75"/>
      <c r="P3" s="76"/>
      <c r="Q3" s="76"/>
      <c r="R3" s="106"/>
      <c r="S3" s="48">
        <v>3</v>
      </c>
      <c r="T3" s="48">
        <v>50</v>
      </c>
      <c r="U3" s="49">
        <v>118022.539343</v>
      </c>
      <c r="V3" s="49">
        <v>0.242348</v>
      </c>
      <c r="W3" s="107"/>
      <c r="X3" s="50"/>
      <c r="Y3" s="50"/>
      <c r="Z3" s="49">
        <v>0.0392156862745098</v>
      </c>
      <c r="AA3" s="71">
        <v>3</v>
      </c>
      <c r="AB3" s="71"/>
      <c r="AC3" s="72"/>
      <c r="AD3" s="79" t="s">
        <v>644</v>
      </c>
      <c r="AE3" s="79" t="s">
        <v>3103</v>
      </c>
      <c r="AF3" s="79" t="s">
        <v>1310</v>
      </c>
      <c r="AG3" s="79" t="s">
        <v>1512</v>
      </c>
      <c r="AH3" s="79" t="s">
        <v>1700</v>
      </c>
      <c r="AI3" s="79">
        <v>7795</v>
      </c>
      <c r="AJ3" s="79">
        <v>5</v>
      </c>
      <c r="AK3" s="79">
        <v>161</v>
      </c>
      <c r="AL3" s="79">
        <v>0</v>
      </c>
      <c r="AM3" s="79" t="s">
        <v>2092</v>
      </c>
      <c r="AN3" s="114" t="str">
        <f>HYPERLINK("https://www.youtube.com/watch?v=GkgtDmCuMDg")</f>
        <v>https://www.youtube.com/watch?v=GkgtDmCuMDg</v>
      </c>
      <c r="AO3" s="78" t="str">
        <f>REPLACE(INDEX(GroupVertices[Group],MATCH(Vertices[[#This Row],[Vertex]],GroupVertices[Vertex],0)),1,1,"")</f>
        <v>edical Centric</v>
      </c>
      <c r="AP3" s="3"/>
      <c r="AQ3" s="3"/>
    </row>
    <row r="4" spans="1:46" ht="15">
      <c r="A4" s="64" t="s">
        <v>226</v>
      </c>
      <c r="B4" s="65"/>
      <c r="C4" s="65"/>
      <c r="D4" s="66">
        <v>150</v>
      </c>
      <c r="E4" s="102">
        <v>97.85714285714286</v>
      </c>
      <c r="F4" s="98" t="str">
        <f>HYPERLINK("https://i.ytimg.com/vi/Zaowh_CrGl0/default.jpg")</f>
        <v>https://i.ytimg.com/vi/Zaowh_CrGl0/default.jpg</v>
      </c>
      <c r="G4" s="100"/>
      <c r="H4" s="69" t="s">
        <v>639</v>
      </c>
      <c r="I4" s="70"/>
      <c r="J4" s="104" t="s">
        <v>75</v>
      </c>
      <c r="K4" s="69" t="s">
        <v>639</v>
      </c>
      <c r="L4" s="105">
        <v>4781.550302228467</v>
      </c>
      <c r="M4" s="74">
        <v>3571.617919921875</v>
      </c>
      <c r="N4" s="74">
        <v>6131.85791015625</v>
      </c>
      <c r="O4" s="75"/>
      <c r="P4" s="76"/>
      <c r="Q4" s="76"/>
      <c r="R4" s="106"/>
      <c r="S4" s="48">
        <v>1</v>
      </c>
      <c r="T4" s="48">
        <v>50</v>
      </c>
      <c r="U4" s="49">
        <v>66777.772512</v>
      </c>
      <c r="V4" s="49">
        <v>0.195366</v>
      </c>
      <c r="W4" s="107"/>
      <c r="X4" s="50"/>
      <c r="Y4" s="50"/>
      <c r="Z4" s="49">
        <v>0</v>
      </c>
      <c r="AA4" s="71">
        <v>4</v>
      </c>
      <c r="AB4" s="71"/>
      <c r="AC4" s="72"/>
      <c r="AD4" s="79" t="s">
        <v>639</v>
      </c>
      <c r="AE4" s="79" t="s">
        <v>1046</v>
      </c>
      <c r="AF4" s="79"/>
      <c r="AG4" s="79" t="s">
        <v>1507</v>
      </c>
      <c r="AH4" s="79" t="s">
        <v>1695</v>
      </c>
      <c r="AI4" s="79">
        <v>1969</v>
      </c>
      <c r="AJ4" s="79">
        <v>4</v>
      </c>
      <c r="AK4" s="79">
        <v>53</v>
      </c>
      <c r="AL4" s="79">
        <v>0</v>
      </c>
      <c r="AM4" s="79" t="s">
        <v>2092</v>
      </c>
      <c r="AN4" s="114" t="str">
        <f>HYPERLINK("https://www.youtube.com/watch?v=Zaowh_CrGl0")</f>
        <v>https://www.youtube.com/watch?v=Zaowh_CrGl0</v>
      </c>
      <c r="AO4" s="78" t="str">
        <f>REPLACE(INDEX(GroupVertices[Group],MATCH(Vertices[[#This Row],[Vertex]],GroupVertices[Vertex],0)),1,1,"")</f>
        <v>edico Tannu</v>
      </c>
      <c r="AP4" s="2"/>
      <c r="AQ4" s="3"/>
      <c r="AR4" s="3"/>
      <c r="AS4" s="3"/>
      <c r="AT4" s="3"/>
    </row>
    <row r="5" spans="1:46" ht="15">
      <c r="A5" s="64" t="s">
        <v>207</v>
      </c>
      <c r="B5" s="65"/>
      <c r="C5" s="65"/>
      <c r="D5" s="66">
        <v>150</v>
      </c>
      <c r="E5" s="102">
        <v>95.71428571428571</v>
      </c>
      <c r="F5" s="98" t="str">
        <f>HYPERLINK("https://i.ytimg.com/vi/s07HxmMwrBE/default.jpg")</f>
        <v>https://i.ytimg.com/vi/s07HxmMwrBE/default.jpg</v>
      </c>
      <c r="G5" s="100"/>
      <c r="H5" s="69" t="s">
        <v>672</v>
      </c>
      <c r="I5" s="70"/>
      <c r="J5" s="104" t="s">
        <v>75</v>
      </c>
      <c r="K5" s="69" t="s">
        <v>672</v>
      </c>
      <c r="L5" s="105">
        <v>5517.031867279776</v>
      </c>
      <c r="M5" s="74">
        <v>3572.26611328125</v>
      </c>
      <c r="N5" s="74">
        <v>3501.80712890625</v>
      </c>
      <c r="O5" s="75"/>
      <c r="P5" s="76"/>
      <c r="Q5" s="76"/>
      <c r="R5" s="106"/>
      <c r="S5" s="48">
        <v>2</v>
      </c>
      <c r="T5" s="48">
        <v>50</v>
      </c>
      <c r="U5" s="49">
        <v>77051.447619</v>
      </c>
      <c r="V5" s="49">
        <v>0.217335</v>
      </c>
      <c r="W5" s="107"/>
      <c r="X5" s="50"/>
      <c r="Y5" s="50"/>
      <c r="Z5" s="49">
        <v>0</v>
      </c>
      <c r="AA5" s="71">
        <v>5</v>
      </c>
      <c r="AB5" s="71"/>
      <c r="AC5" s="72"/>
      <c r="AD5" s="79" t="s">
        <v>672</v>
      </c>
      <c r="AE5" s="79" t="s">
        <v>3176</v>
      </c>
      <c r="AF5" s="79" t="s">
        <v>1325</v>
      </c>
      <c r="AG5" s="79" t="s">
        <v>1538</v>
      </c>
      <c r="AH5" s="79" t="s">
        <v>1725</v>
      </c>
      <c r="AI5" s="79">
        <v>31399</v>
      </c>
      <c r="AJ5" s="79">
        <v>112</v>
      </c>
      <c r="AK5" s="79">
        <v>734</v>
      </c>
      <c r="AL5" s="79">
        <v>0</v>
      </c>
      <c r="AM5" s="79" t="s">
        <v>2092</v>
      </c>
      <c r="AN5" s="114" t="str">
        <f>HYPERLINK("https://www.youtube.com/watch?v=s07HxmMwrBE")</f>
        <v>https://www.youtube.com/watch?v=s07HxmMwrBE</v>
      </c>
      <c r="AO5" s="78" t="str">
        <f>REPLACE(INDEX(GroupVertices[Group],MATCH(Vertices[[#This Row],[Vertex]],GroupVertices[Vertex],0)),1,1,"")</f>
        <v>oc Snipes</v>
      </c>
      <c r="AP5" s="2"/>
      <c r="AQ5" s="3"/>
      <c r="AR5" s="3"/>
      <c r="AS5" s="3"/>
      <c r="AT5" s="3"/>
    </row>
    <row r="6" spans="1:46" ht="15">
      <c r="A6" s="64" t="s">
        <v>243</v>
      </c>
      <c r="B6" s="65"/>
      <c r="C6" s="65"/>
      <c r="D6" s="66">
        <v>150</v>
      </c>
      <c r="E6" s="102">
        <v>89.28571428571429</v>
      </c>
      <c r="F6" s="98" t="str">
        <f>HYPERLINK("https://i.ytimg.com/vi/kNPKb9ouoIg/default.jpg")</f>
        <v>https://i.ytimg.com/vi/kNPKb9ouoIg/default.jpg</v>
      </c>
      <c r="G6" s="100"/>
      <c r="H6" s="69" t="s">
        <v>643</v>
      </c>
      <c r="I6" s="70"/>
      <c r="J6" s="104" t="s">
        <v>75</v>
      </c>
      <c r="K6" s="69" t="s">
        <v>643</v>
      </c>
      <c r="L6" s="105">
        <v>9999</v>
      </c>
      <c r="M6" s="74">
        <v>1840.2230224609375</v>
      </c>
      <c r="N6" s="74">
        <v>1864.9417724609375</v>
      </c>
      <c r="O6" s="75"/>
      <c r="P6" s="76"/>
      <c r="Q6" s="76"/>
      <c r="R6" s="106"/>
      <c r="S6" s="48">
        <v>5</v>
      </c>
      <c r="T6" s="48">
        <v>50</v>
      </c>
      <c r="U6" s="49">
        <v>139658.434148</v>
      </c>
      <c r="V6" s="49">
        <v>0.240091</v>
      </c>
      <c r="W6" s="107"/>
      <c r="X6" s="50"/>
      <c r="Y6" s="50"/>
      <c r="Z6" s="49">
        <v>0</v>
      </c>
      <c r="AA6" s="71">
        <v>6</v>
      </c>
      <c r="AB6" s="71"/>
      <c r="AC6" s="72"/>
      <c r="AD6" s="79" t="s">
        <v>643</v>
      </c>
      <c r="AE6" s="79" t="s">
        <v>1048</v>
      </c>
      <c r="AF6" s="79"/>
      <c r="AG6" s="79" t="s">
        <v>1511</v>
      </c>
      <c r="AH6" s="79" t="s">
        <v>1699</v>
      </c>
      <c r="AI6" s="79">
        <v>15508</v>
      </c>
      <c r="AJ6" s="79">
        <v>11</v>
      </c>
      <c r="AK6" s="79">
        <v>338</v>
      </c>
      <c r="AL6" s="79">
        <v>0</v>
      </c>
      <c r="AM6" s="79" t="s">
        <v>2092</v>
      </c>
      <c r="AN6" s="114" t="str">
        <f>HYPERLINK("https://www.youtube.com/watch?v=kNPKb9ouoIg")</f>
        <v>https://www.youtube.com/watch?v=kNPKb9ouoIg</v>
      </c>
      <c r="AO6" s="78" t="str">
        <f>REPLACE(INDEX(GroupVertices[Group],MATCH(Vertices[[#This Row],[Vertex]],GroupVertices[Vertex],0)),1,1,"")</f>
        <v>emorable Psychiatry and Neurology</v>
      </c>
      <c r="AP6" s="2"/>
      <c r="AQ6" s="3"/>
      <c r="AR6" s="3"/>
      <c r="AS6" s="3"/>
      <c r="AT6" s="3"/>
    </row>
    <row r="7" spans="1:46" ht="15">
      <c r="A7" s="64" t="s">
        <v>244</v>
      </c>
      <c r="B7" s="65"/>
      <c r="C7" s="65"/>
      <c r="D7" s="66">
        <v>150</v>
      </c>
      <c r="E7" s="102">
        <v>91.42857142857143</v>
      </c>
      <c r="F7" s="98" t="str">
        <f>HYPERLINK("https://i.ytimg.com/vi/f7AVZOrCFEI/default.jpg")</f>
        <v>https://i.ytimg.com/vi/f7AVZOrCFEI/default.jpg</v>
      </c>
      <c r="G7" s="100"/>
      <c r="H7" s="69" t="s">
        <v>766</v>
      </c>
      <c r="I7" s="70"/>
      <c r="J7" s="104" t="s">
        <v>75</v>
      </c>
      <c r="K7" s="69" t="s">
        <v>766</v>
      </c>
      <c r="L7" s="105">
        <v>7454.290204400767</v>
      </c>
      <c r="M7" s="74">
        <v>8411.552734375</v>
      </c>
      <c r="N7" s="74">
        <v>8690.1552734375</v>
      </c>
      <c r="O7" s="75"/>
      <c r="P7" s="76"/>
      <c r="Q7" s="76"/>
      <c r="R7" s="106"/>
      <c r="S7" s="48">
        <v>4</v>
      </c>
      <c r="T7" s="48">
        <v>50</v>
      </c>
      <c r="U7" s="49">
        <v>104112.306381</v>
      </c>
      <c r="V7" s="49">
        <v>0.228532</v>
      </c>
      <c r="W7" s="107"/>
      <c r="X7" s="50"/>
      <c r="Y7" s="50"/>
      <c r="Z7" s="49">
        <v>0.018867924528301886</v>
      </c>
      <c r="AA7" s="71">
        <v>7</v>
      </c>
      <c r="AB7" s="71"/>
      <c r="AC7" s="72"/>
      <c r="AD7" s="79" t="s">
        <v>766</v>
      </c>
      <c r="AE7" s="79" t="s">
        <v>1068</v>
      </c>
      <c r="AF7" s="79" t="s">
        <v>1362</v>
      </c>
      <c r="AG7" s="79" t="s">
        <v>1541</v>
      </c>
      <c r="AH7" s="79" t="s">
        <v>1822</v>
      </c>
      <c r="AI7" s="79">
        <v>91467</v>
      </c>
      <c r="AJ7" s="79">
        <v>387</v>
      </c>
      <c r="AK7" s="79">
        <v>2637</v>
      </c>
      <c r="AL7" s="79">
        <v>0</v>
      </c>
      <c r="AM7" s="79" t="s">
        <v>2092</v>
      </c>
      <c r="AN7" s="114" t="str">
        <f>HYPERLINK("https://www.youtube.com/watch?v=f7AVZOrCFEI")</f>
        <v>https://www.youtube.com/watch?v=f7AVZOrCFEI</v>
      </c>
      <c r="AO7" s="78" t="str">
        <f>REPLACE(INDEX(GroupVertices[Group],MATCH(Vertices[[#This Row],[Vertex]],GroupVertices[Vertex],0)),1,1,"")</f>
        <v>ati Morton</v>
      </c>
      <c r="AP7" s="2"/>
      <c r="AQ7" s="3"/>
      <c r="AR7" s="3"/>
      <c r="AS7" s="3"/>
      <c r="AT7" s="3"/>
    </row>
    <row r="8" spans="1:46" ht="15">
      <c r="A8" s="64" t="s">
        <v>245</v>
      </c>
      <c r="B8" s="65"/>
      <c r="C8" s="65"/>
      <c r="D8" s="66">
        <v>150</v>
      </c>
      <c r="E8" s="102">
        <v>89.28571428571429</v>
      </c>
      <c r="F8" s="98" t="str">
        <f>HYPERLINK("https://i.ytimg.com/vi/rgJ9YNI7GbQ/default.jpg")</f>
        <v>https://i.ytimg.com/vi/rgJ9YNI7GbQ/default.jpg</v>
      </c>
      <c r="G8" s="100"/>
      <c r="H8" s="69" t="s">
        <v>642</v>
      </c>
      <c r="I8" s="70"/>
      <c r="J8" s="104" t="s">
        <v>75</v>
      </c>
      <c r="K8" s="69" t="s">
        <v>642</v>
      </c>
      <c r="L8" s="105">
        <v>6277.932531802612</v>
      </c>
      <c r="M8" s="74">
        <v>921.0222778320312</v>
      </c>
      <c r="N8" s="74">
        <v>8214.03125</v>
      </c>
      <c r="O8" s="75"/>
      <c r="P8" s="76"/>
      <c r="Q8" s="76"/>
      <c r="R8" s="106"/>
      <c r="S8" s="48">
        <v>5</v>
      </c>
      <c r="T8" s="48">
        <v>50</v>
      </c>
      <c r="U8" s="49">
        <v>87680.192903</v>
      </c>
      <c r="V8" s="49">
        <v>0.23673</v>
      </c>
      <c r="W8" s="107"/>
      <c r="X8" s="50"/>
      <c r="Y8" s="50"/>
      <c r="Z8" s="49">
        <v>0.057692307692307696</v>
      </c>
      <c r="AA8" s="71">
        <v>8</v>
      </c>
      <c r="AB8" s="71"/>
      <c r="AC8" s="72"/>
      <c r="AD8" s="79" t="s">
        <v>642</v>
      </c>
      <c r="AE8" s="79" t="s">
        <v>3406</v>
      </c>
      <c r="AF8" s="79" t="s">
        <v>1309</v>
      </c>
      <c r="AG8" s="79" t="s">
        <v>1510</v>
      </c>
      <c r="AH8" s="79" t="s">
        <v>1698</v>
      </c>
      <c r="AI8" s="79">
        <v>15614</v>
      </c>
      <c r="AJ8" s="79">
        <v>10</v>
      </c>
      <c r="AK8" s="79">
        <v>298</v>
      </c>
      <c r="AL8" s="79">
        <v>0</v>
      </c>
      <c r="AM8" s="79" t="s">
        <v>2092</v>
      </c>
      <c r="AN8" s="114" t="str">
        <f>HYPERLINK("https://www.youtube.com/watch?v=rgJ9YNI7GbQ")</f>
        <v>https://www.youtube.com/watch?v=rgJ9YNI7GbQ</v>
      </c>
      <c r="AO8" s="78" t="str">
        <f>REPLACE(INDEX(GroupVertices[Group],MATCH(Vertices[[#This Row],[Vertex]],GroupVertices[Vertex],0)),1,1,"")</f>
        <v>emystifying Medicine McMaster</v>
      </c>
      <c r="AP8" s="2"/>
      <c r="AQ8" s="3"/>
      <c r="AR8" s="3"/>
      <c r="AS8" s="3"/>
      <c r="AT8" s="3"/>
    </row>
    <row r="9" spans="1:46" ht="15">
      <c r="A9" s="64" t="s">
        <v>248</v>
      </c>
      <c r="B9" s="65"/>
      <c r="C9" s="65"/>
      <c r="D9" s="66">
        <v>150</v>
      </c>
      <c r="E9" s="102">
        <v>100</v>
      </c>
      <c r="F9" s="98" t="str">
        <f>HYPERLINK("https://i.ytimg.com/vi/EUCIKfNINYU/default.jpg")</f>
        <v>https://i.ytimg.com/vi/EUCIKfNINYU/default.jpg</v>
      </c>
      <c r="G9" s="100"/>
      <c r="H9" s="69" t="s">
        <v>1032</v>
      </c>
      <c r="I9" s="70"/>
      <c r="J9" s="104" t="s">
        <v>75</v>
      </c>
      <c r="K9" s="69" t="s">
        <v>1032</v>
      </c>
      <c r="L9" s="105">
        <v>6958.744655359774</v>
      </c>
      <c r="M9" s="74">
        <v>6267.73193359375</v>
      </c>
      <c r="N9" s="74">
        <v>8701.5634765625</v>
      </c>
      <c r="O9" s="75"/>
      <c r="P9" s="76"/>
      <c r="Q9" s="76"/>
      <c r="R9" s="106"/>
      <c r="S9" s="48">
        <v>0</v>
      </c>
      <c r="T9" s="48">
        <v>50</v>
      </c>
      <c r="U9" s="49">
        <v>97190.210419</v>
      </c>
      <c r="V9" s="49">
        <v>0.236626</v>
      </c>
      <c r="W9" s="107"/>
      <c r="X9" s="50"/>
      <c r="Y9" s="50"/>
      <c r="Z9" s="49">
        <v>0</v>
      </c>
      <c r="AA9" s="71">
        <v>9</v>
      </c>
      <c r="AB9" s="71"/>
      <c r="AC9" s="72"/>
      <c r="AD9" s="79" t="s">
        <v>1032</v>
      </c>
      <c r="AE9" s="79" t="s">
        <v>3474</v>
      </c>
      <c r="AF9" s="79" t="s">
        <v>1481</v>
      </c>
      <c r="AG9" s="79" t="s">
        <v>1524</v>
      </c>
      <c r="AH9" s="79" t="s">
        <v>2089</v>
      </c>
      <c r="AI9" s="79">
        <v>42379</v>
      </c>
      <c r="AJ9" s="79">
        <v>0</v>
      </c>
      <c r="AK9" s="79">
        <v>479</v>
      </c>
      <c r="AL9" s="79">
        <v>0</v>
      </c>
      <c r="AM9" s="79" t="s">
        <v>2092</v>
      </c>
      <c r="AN9" s="114" t="str">
        <f>HYPERLINK("https://www.youtube.com/watch?v=EUCIKfNINYU")</f>
        <v>https://www.youtube.com/watch?v=EUCIKfNINYU</v>
      </c>
      <c r="AO9" s="78" t="str">
        <f>REPLACE(INDEX(GroupVertices[Group],MATCH(Vertices[[#This Row],[Vertex]],GroupVertices[Vertex],0)),1,1,"")</f>
        <v>ip in the Bud</v>
      </c>
      <c r="AP9" s="2"/>
      <c r="AQ9" s="3"/>
      <c r="AR9" s="3"/>
      <c r="AS9" s="3"/>
      <c r="AT9" s="3"/>
    </row>
    <row r="10" spans="1:46" ht="15">
      <c r="A10" s="64" t="s">
        <v>240</v>
      </c>
      <c r="B10" s="65"/>
      <c r="C10" s="65"/>
      <c r="D10" s="66">
        <v>150</v>
      </c>
      <c r="E10" s="102">
        <v>100</v>
      </c>
      <c r="F10" s="98" t="str">
        <f>HYPERLINK("https://i.ytimg.com/vi/szQziyMTPtc/default.jpg")</f>
        <v>https://i.ytimg.com/vi/szQziyMTPtc/default.jpg</v>
      </c>
      <c r="G10" s="100"/>
      <c r="H10" s="69" t="s">
        <v>982</v>
      </c>
      <c r="I10" s="70"/>
      <c r="J10" s="104" t="s">
        <v>75</v>
      </c>
      <c r="K10" s="69" t="s">
        <v>982</v>
      </c>
      <c r="L10" s="105">
        <v>5484.228513714611</v>
      </c>
      <c r="M10" s="74">
        <v>3519.08056640625</v>
      </c>
      <c r="N10" s="74">
        <v>8274.568359375</v>
      </c>
      <c r="O10" s="75"/>
      <c r="P10" s="76"/>
      <c r="Q10" s="76"/>
      <c r="R10" s="106"/>
      <c r="S10" s="48">
        <v>0</v>
      </c>
      <c r="T10" s="48">
        <v>46</v>
      </c>
      <c r="U10" s="49">
        <v>76593.229476</v>
      </c>
      <c r="V10" s="49">
        <v>0.172785</v>
      </c>
      <c r="W10" s="107"/>
      <c r="X10" s="50"/>
      <c r="Y10" s="50"/>
      <c r="Z10" s="49">
        <v>0</v>
      </c>
      <c r="AA10" s="71">
        <v>10</v>
      </c>
      <c r="AB10" s="71"/>
      <c r="AC10" s="72"/>
      <c r="AD10" s="79" t="s">
        <v>982</v>
      </c>
      <c r="AE10" s="79" t="s">
        <v>3330</v>
      </c>
      <c r="AF10" s="79" t="s">
        <v>1457</v>
      </c>
      <c r="AG10" s="79" t="s">
        <v>1671</v>
      </c>
      <c r="AH10" s="79" t="s">
        <v>2038</v>
      </c>
      <c r="AI10" s="79">
        <v>224</v>
      </c>
      <c r="AJ10" s="79">
        <v>0</v>
      </c>
      <c r="AK10" s="79">
        <v>6</v>
      </c>
      <c r="AL10" s="79">
        <v>0</v>
      </c>
      <c r="AM10" s="79" t="s">
        <v>2092</v>
      </c>
      <c r="AN10" s="114" t="str">
        <f>HYPERLINK("https://www.youtube.com/watch?v=szQziyMTPtc")</f>
        <v>https://www.youtube.com/watch?v=szQziyMTPtc</v>
      </c>
      <c r="AO10" s="78" t="str">
        <f>REPLACE(INDEX(GroupVertices[Group],MATCH(Vertices[[#This Row],[Vertex]],GroupVertices[Vertex],0)),1,1,"")</f>
        <v>edical Knowledge Online</v>
      </c>
      <c r="AP10" s="2"/>
      <c r="AQ10" s="3"/>
      <c r="AR10" s="3"/>
      <c r="AS10" s="3"/>
      <c r="AT10" s="3"/>
    </row>
    <row r="11" spans="1:46" ht="15">
      <c r="A11" s="64" t="s">
        <v>235</v>
      </c>
      <c r="B11" s="65"/>
      <c r="C11" s="65"/>
      <c r="D11" s="66">
        <v>150</v>
      </c>
      <c r="E11" s="102">
        <v>97.85714285714286</v>
      </c>
      <c r="F11" s="98" t="str">
        <f>HYPERLINK("https://i.ytimg.com/vi/ZF1wpchHEC8/default.jpg")</f>
        <v>https://i.ytimg.com/vi/ZF1wpchHEC8/default.jpg</v>
      </c>
      <c r="G11" s="100"/>
      <c r="H11" s="69" t="s">
        <v>638</v>
      </c>
      <c r="I11" s="70"/>
      <c r="J11" s="104" t="s">
        <v>75</v>
      </c>
      <c r="K11" s="69" t="s">
        <v>638</v>
      </c>
      <c r="L11" s="105">
        <v>6107.134095727023</v>
      </c>
      <c r="M11" s="74">
        <v>5535.68896484375</v>
      </c>
      <c r="N11" s="74">
        <v>6363.2333984375</v>
      </c>
      <c r="O11" s="75"/>
      <c r="P11" s="76"/>
      <c r="Q11" s="76"/>
      <c r="R11" s="106"/>
      <c r="S11" s="48">
        <v>1</v>
      </c>
      <c r="T11" s="48">
        <v>41</v>
      </c>
      <c r="U11" s="49">
        <v>85294.371525</v>
      </c>
      <c r="V11" s="49">
        <v>0.213983</v>
      </c>
      <c r="W11" s="107"/>
      <c r="X11" s="50"/>
      <c r="Y11" s="50"/>
      <c r="Z11" s="49">
        <v>0.024390243902439025</v>
      </c>
      <c r="AA11" s="71">
        <v>11</v>
      </c>
      <c r="AB11" s="71"/>
      <c r="AC11" s="72"/>
      <c r="AD11" s="79" t="s">
        <v>638</v>
      </c>
      <c r="AE11" s="79" t="s">
        <v>1045</v>
      </c>
      <c r="AF11" s="79" t="s">
        <v>1307</v>
      </c>
      <c r="AG11" s="79" t="s">
        <v>1506</v>
      </c>
      <c r="AH11" s="79" t="s">
        <v>1694</v>
      </c>
      <c r="AI11" s="79">
        <v>13081</v>
      </c>
      <c r="AJ11" s="79">
        <v>0</v>
      </c>
      <c r="AK11" s="79">
        <v>347</v>
      </c>
      <c r="AL11" s="79">
        <v>0</v>
      </c>
      <c r="AM11" s="79" t="s">
        <v>2092</v>
      </c>
      <c r="AN11" s="114" t="str">
        <f>HYPERLINK("https://www.youtube.com/watch?v=ZF1wpchHEC8")</f>
        <v>https://www.youtube.com/watch?v=ZF1wpchHEC8</v>
      </c>
      <c r="AO11" s="78" t="str">
        <f>REPLACE(INDEX(GroupVertices[Group],MATCH(Vertices[[#This Row],[Vertex]],GroupVertices[Vertex],0)),1,1,"")</f>
        <v>ibi sebastian</v>
      </c>
      <c r="AP11" s="2"/>
      <c r="AQ11" s="3"/>
      <c r="AR11" s="3"/>
      <c r="AS11" s="3"/>
      <c r="AT11" s="3"/>
    </row>
    <row r="12" spans="1:46" ht="15">
      <c r="A12" s="64" t="s">
        <v>199</v>
      </c>
      <c r="B12" s="65"/>
      <c r="C12" s="65"/>
      <c r="D12" s="66">
        <v>150</v>
      </c>
      <c r="E12" s="102">
        <v>100</v>
      </c>
      <c r="F12" s="98" t="str">
        <f>HYPERLINK("https://i.ytimg.com/vi/hOqZN-pxO_8/default.jpg")</f>
        <v>https://i.ytimg.com/vi/hOqZN-pxO_8/default.jpg</v>
      </c>
      <c r="G12" s="100"/>
      <c r="H12" s="69" t="s">
        <v>702</v>
      </c>
      <c r="I12" s="70"/>
      <c r="J12" s="104" t="s">
        <v>75</v>
      </c>
      <c r="K12" s="69" t="s">
        <v>702</v>
      </c>
      <c r="L12" s="105">
        <v>3576.8678166960653</v>
      </c>
      <c r="M12" s="74">
        <v>3579.925048828125</v>
      </c>
      <c r="N12" s="74">
        <v>1126.1219482421875</v>
      </c>
      <c r="O12" s="75"/>
      <c r="P12" s="76"/>
      <c r="Q12" s="76"/>
      <c r="R12" s="106"/>
      <c r="S12" s="48">
        <v>0</v>
      </c>
      <c r="T12" s="48">
        <v>38</v>
      </c>
      <c r="U12" s="49">
        <v>49950</v>
      </c>
      <c r="V12" s="49">
        <v>0.124491</v>
      </c>
      <c r="W12" s="107"/>
      <c r="X12" s="50"/>
      <c r="Y12" s="50"/>
      <c r="Z12" s="49">
        <v>0</v>
      </c>
      <c r="AA12" s="71">
        <v>12</v>
      </c>
      <c r="AB12" s="71"/>
      <c r="AC12" s="72"/>
      <c r="AD12" s="79" t="s">
        <v>702</v>
      </c>
      <c r="AE12" s="79" t="s">
        <v>3207</v>
      </c>
      <c r="AF12" s="79" t="s">
        <v>1340</v>
      </c>
      <c r="AG12" s="79" t="s">
        <v>1535</v>
      </c>
      <c r="AH12" s="79" t="s">
        <v>1757</v>
      </c>
      <c r="AI12" s="79">
        <v>914</v>
      </c>
      <c r="AJ12" s="79">
        <v>4</v>
      </c>
      <c r="AK12" s="79">
        <v>33</v>
      </c>
      <c r="AL12" s="79">
        <v>0</v>
      </c>
      <c r="AM12" s="79" t="s">
        <v>2092</v>
      </c>
      <c r="AN12" s="114" t="str">
        <f>HYPERLINK("https://www.youtube.com/watch?v=hOqZN-pxO_8")</f>
        <v>https://www.youtube.com/watch?v=hOqZN-pxO_8</v>
      </c>
      <c r="AO12" s="78" t="str">
        <f>REPLACE(INDEX(GroupVertices[Group],MATCH(Vertices[[#This Row],[Vertex]],GroupVertices[Vertex],0)),1,1,"")</f>
        <v>agnet Brains</v>
      </c>
      <c r="AP12" s="2"/>
      <c r="AQ12" s="3"/>
      <c r="AR12" s="3"/>
      <c r="AS12" s="3"/>
      <c r="AT12" s="3"/>
    </row>
    <row r="13" spans="1:46" ht="15">
      <c r="A13" s="64" t="s">
        <v>228</v>
      </c>
      <c r="B13" s="65"/>
      <c r="C13" s="65"/>
      <c r="D13" s="66">
        <v>150</v>
      </c>
      <c r="E13" s="102">
        <v>97.85714285714286</v>
      </c>
      <c r="F13" s="98" t="str">
        <f>HYPERLINK("https://i.ytimg.com/vi/w23HBKjVJnE/default.jpg")</f>
        <v>https://i.ytimg.com/vi/w23HBKjVJnE/default.jpg</v>
      </c>
      <c r="G13" s="100"/>
      <c r="H13" s="69" t="s">
        <v>679</v>
      </c>
      <c r="I13" s="70"/>
      <c r="J13" s="104" t="s">
        <v>75</v>
      </c>
      <c r="K13" s="69" t="s">
        <v>679</v>
      </c>
      <c r="L13" s="105">
        <v>1681.908435155628</v>
      </c>
      <c r="M13" s="74">
        <v>6964.318359375</v>
      </c>
      <c r="N13" s="74">
        <v>8698.3427734375</v>
      </c>
      <c r="O13" s="75"/>
      <c r="P13" s="76"/>
      <c r="Q13" s="76"/>
      <c r="R13" s="106"/>
      <c r="S13" s="48">
        <v>1</v>
      </c>
      <c r="T13" s="48">
        <v>37</v>
      </c>
      <c r="U13" s="49">
        <v>23480</v>
      </c>
      <c r="V13" s="49">
        <v>0.18495</v>
      </c>
      <c r="W13" s="107"/>
      <c r="X13" s="50"/>
      <c r="Y13" s="50"/>
      <c r="Z13" s="49">
        <v>0</v>
      </c>
      <c r="AA13" s="71">
        <v>13</v>
      </c>
      <c r="AB13" s="71"/>
      <c r="AC13" s="72"/>
      <c r="AD13" s="79" t="s">
        <v>679</v>
      </c>
      <c r="AE13" s="79" t="s">
        <v>3242</v>
      </c>
      <c r="AF13" s="79" t="s">
        <v>1334</v>
      </c>
      <c r="AG13" s="79" t="s">
        <v>1524</v>
      </c>
      <c r="AH13" s="79" t="s">
        <v>1734</v>
      </c>
      <c r="AI13" s="79">
        <v>6298</v>
      </c>
      <c r="AJ13" s="79">
        <v>4</v>
      </c>
      <c r="AK13" s="79">
        <v>75</v>
      </c>
      <c r="AL13" s="79">
        <v>0</v>
      </c>
      <c r="AM13" s="79" t="s">
        <v>2092</v>
      </c>
      <c r="AN13" s="114" t="str">
        <f>HYPERLINK("https://www.youtube.com/watch?v=w23HBKjVJnE")</f>
        <v>https://www.youtube.com/watch?v=w23HBKjVJnE</v>
      </c>
      <c r="AO13" s="78" t="str">
        <f>REPLACE(INDEX(GroupVertices[Group],MATCH(Vertices[[#This Row],[Vertex]],GroupVertices[Vertex],0)),1,1,"")</f>
        <v>ip in the Bud</v>
      </c>
      <c r="AP13" s="2"/>
      <c r="AQ13" s="3"/>
      <c r="AR13" s="3"/>
      <c r="AS13" s="3"/>
      <c r="AT13" s="3"/>
    </row>
    <row r="14" spans="1:46" ht="15">
      <c r="A14" s="64" t="s">
        <v>247</v>
      </c>
      <c r="B14" s="65"/>
      <c r="C14" s="65"/>
      <c r="D14" s="66">
        <v>150</v>
      </c>
      <c r="E14" s="102">
        <v>93.57142857142857</v>
      </c>
      <c r="F14" s="98" t="str">
        <f>HYPERLINK("https://i.ytimg.com/vi/zBFlaQmHGyw/default.jpg")</f>
        <v>https://i.ytimg.com/vi/zBFlaQmHGyw/default.jpg</v>
      </c>
      <c r="G14" s="100"/>
      <c r="H14" s="69" t="s">
        <v>660</v>
      </c>
      <c r="I14" s="70"/>
      <c r="J14" s="104" t="s">
        <v>75</v>
      </c>
      <c r="K14" s="69" t="s">
        <v>660</v>
      </c>
      <c r="L14" s="105">
        <v>3388.588890611768</v>
      </c>
      <c r="M14" s="74">
        <v>7363.92822265625</v>
      </c>
      <c r="N14" s="74">
        <v>6383.85205078125</v>
      </c>
      <c r="O14" s="75"/>
      <c r="P14" s="76"/>
      <c r="Q14" s="76"/>
      <c r="R14" s="106"/>
      <c r="S14" s="48">
        <v>3</v>
      </c>
      <c r="T14" s="48">
        <v>37</v>
      </c>
      <c r="U14" s="49">
        <v>47320</v>
      </c>
      <c r="V14" s="49">
        <v>0.215689</v>
      </c>
      <c r="W14" s="107"/>
      <c r="X14" s="50"/>
      <c r="Y14" s="50"/>
      <c r="Z14" s="49">
        <v>0</v>
      </c>
      <c r="AA14" s="71">
        <v>14</v>
      </c>
      <c r="AB14" s="71"/>
      <c r="AC14" s="72"/>
      <c r="AD14" s="79" t="s">
        <v>660</v>
      </c>
      <c r="AE14" s="79" t="s">
        <v>1056</v>
      </c>
      <c r="AF14" s="79" t="s">
        <v>1320</v>
      </c>
      <c r="AG14" s="79" t="s">
        <v>1497</v>
      </c>
      <c r="AH14" s="79" t="s">
        <v>1715</v>
      </c>
      <c r="AI14" s="79">
        <v>15805</v>
      </c>
      <c r="AJ14" s="79">
        <v>5</v>
      </c>
      <c r="AK14" s="79">
        <v>103</v>
      </c>
      <c r="AL14" s="79">
        <v>0</v>
      </c>
      <c r="AM14" s="79" t="s">
        <v>2092</v>
      </c>
      <c r="AN14" s="114" t="str">
        <f>HYPERLINK("https://www.youtube.com/watch?v=zBFlaQmHGyw")</f>
        <v>https://www.youtube.com/watch?v=zBFlaQmHGyw</v>
      </c>
      <c r="AO14" s="78" t="str">
        <f>REPLACE(INDEX(GroupVertices[Group],MATCH(Vertices[[#This Row],[Vertex]],GroupVertices[Vertex],0)),1,1,"")</f>
        <v>ODAY</v>
      </c>
      <c r="AP14" s="2"/>
      <c r="AQ14" s="3"/>
      <c r="AR14" s="3"/>
      <c r="AS14" s="3"/>
      <c r="AT14" s="3"/>
    </row>
    <row r="15" spans="1:46" ht="15">
      <c r="A15" s="64" t="s">
        <v>233</v>
      </c>
      <c r="B15" s="65"/>
      <c r="C15" s="65"/>
      <c r="D15" s="66">
        <v>150</v>
      </c>
      <c r="E15" s="102">
        <v>100</v>
      </c>
      <c r="F15" s="98" t="str">
        <f>HYPERLINK("https://i.ytimg.com/vi/LtN-oGOM8Q0/default.jpg")</f>
        <v>https://i.ytimg.com/vi/LtN-oGOM8Q0/default.jpg</v>
      </c>
      <c r="G15" s="100"/>
      <c r="H15" s="69" t="s">
        <v>894</v>
      </c>
      <c r="I15" s="70"/>
      <c r="J15" s="104" t="s">
        <v>75</v>
      </c>
      <c r="K15" s="69" t="s">
        <v>894</v>
      </c>
      <c r="L15" s="105">
        <v>72.01623371696691</v>
      </c>
      <c r="M15" s="74">
        <v>9106.0009765625</v>
      </c>
      <c r="N15" s="74">
        <v>6379.65185546875</v>
      </c>
      <c r="O15" s="75"/>
      <c r="P15" s="76"/>
      <c r="Q15" s="76"/>
      <c r="R15" s="106"/>
      <c r="S15" s="48">
        <v>0</v>
      </c>
      <c r="T15" s="48">
        <v>32</v>
      </c>
      <c r="U15" s="49">
        <v>992</v>
      </c>
      <c r="V15" s="49">
        <v>0.035955</v>
      </c>
      <c r="W15" s="107"/>
      <c r="X15" s="50"/>
      <c r="Y15" s="50"/>
      <c r="Z15" s="49">
        <v>0</v>
      </c>
      <c r="AA15" s="71">
        <v>15</v>
      </c>
      <c r="AB15" s="71"/>
      <c r="AC15" s="72"/>
      <c r="AD15" s="79" t="s">
        <v>894</v>
      </c>
      <c r="AE15" s="79" t="s">
        <v>1197</v>
      </c>
      <c r="AF15" s="79" t="s">
        <v>1408</v>
      </c>
      <c r="AG15" s="79" t="s">
        <v>1644</v>
      </c>
      <c r="AH15" s="79" t="s">
        <v>1950</v>
      </c>
      <c r="AI15" s="79">
        <v>14</v>
      </c>
      <c r="AJ15" s="79">
        <v>0</v>
      </c>
      <c r="AK15" s="79">
        <v>3</v>
      </c>
      <c r="AL15" s="79">
        <v>0</v>
      </c>
      <c r="AM15" s="79" t="s">
        <v>2092</v>
      </c>
      <c r="AN15" s="114" t="str">
        <f>HYPERLINK("https://www.youtube.com/watch?v=LtN-oGOM8Q0")</f>
        <v>https://www.youtube.com/watch?v=LtN-oGOM8Q0</v>
      </c>
      <c r="AO15" s="78" t="str">
        <f>REPLACE(INDEX(GroupVertices[Group],MATCH(Vertices[[#This Row],[Vertex]],GroupVertices[Vertex],0)),1,1,"")</f>
        <v>liyyas Ahammed</v>
      </c>
      <c r="AP15" s="2"/>
      <c r="AQ15" s="3"/>
      <c r="AR15" s="3"/>
      <c r="AS15" s="3"/>
      <c r="AT15" s="3"/>
    </row>
    <row r="16" spans="1:46" ht="15">
      <c r="A16" s="64" t="s">
        <v>209</v>
      </c>
      <c r="B16" s="65"/>
      <c r="C16" s="65"/>
      <c r="D16" s="66">
        <v>150</v>
      </c>
      <c r="E16" s="102">
        <v>95.71428571428571</v>
      </c>
      <c r="F16" s="98" t="str">
        <f>HYPERLINK("https://i.ytimg.com/vi/g58qUHEq6fU/default.jpg")</f>
        <v>https://i.ytimg.com/vi/g58qUHEq6fU/default.jpg</v>
      </c>
      <c r="G16" s="100"/>
      <c r="H16" s="69" t="s">
        <v>764</v>
      </c>
      <c r="I16" s="70"/>
      <c r="J16" s="104" t="s">
        <v>75</v>
      </c>
      <c r="K16" s="69" t="s">
        <v>764</v>
      </c>
      <c r="L16" s="105">
        <v>2728.7058559859947</v>
      </c>
      <c r="M16" s="74">
        <v>5538.419921875</v>
      </c>
      <c r="N16" s="74">
        <v>902.22509765625</v>
      </c>
      <c r="O16" s="75"/>
      <c r="P16" s="76"/>
      <c r="Q16" s="76"/>
      <c r="R16" s="106"/>
      <c r="S16" s="48">
        <v>2</v>
      </c>
      <c r="T16" s="48">
        <v>30</v>
      </c>
      <c r="U16" s="49">
        <v>38102.333333</v>
      </c>
      <c r="V16" s="49">
        <v>0.188822</v>
      </c>
      <c r="W16" s="107"/>
      <c r="X16" s="50"/>
      <c r="Y16" s="50"/>
      <c r="Z16" s="49">
        <v>0.03225806451612903</v>
      </c>
      <c r="AA16" s="71">
        <v>16</v>
      </c>
      <c r="AB16" s="71"/>
      <c r="AC16" s="72"/>
      <c r="AD16" s="79" t="s">
        <v>764</v>
      </c>
      <c r="AE16" s="79" t="s">
        <v>1116</v>
      </c>
      <c r="AF16" s="79" t="s">
        <v>1360</v>
      </c>
      <c r="AG16" s="79" t="s">
        <v>1560</v>
      </c>
      <c r="AH16" s="79" t="s">
        <v>1820</v>
      </c>
      <c r="AI16" s="79">
        <v>168882</v>
      </c>
      <c r="AJ16" s="79">
        <v>31</v>
      </c>
      <c r="AK16" s="79">
        <v>329</v>
      </c>
      <c r="AL16" s="79">
        <v>0</v>
      </c>
      <c r="AM16" s="79" t="s">
        <v>2092</v>
      </c>
      <c r="AN16" s="114" t="str">
        <f>HYPERLINK("https://www.youtube.com/watch?v=g58qUHEq6fU")</f>
        <v>https://www.youtube.com/watch?v=g58qUHEq6fU</v>
      </c>
      <c r="AO16" s="78" t="str">
        <f>REPLACE(INDEX(GroupVertices[Group],MATCH(Vertices[[#This Row],[Vertex]],GroupVertices[Vertex],0)),1,1,"")</f>
        <v>owcast</v>
      </c>
      <c r="AP16" s="2"/>
      <c r="AQ16" s="3"/>
      <c r="AR16" s="3"/>
      <c r="AS16" s="3"/>
      <c r="AT16" s="3"/>
    </row>
    <row r="17" spans="1:46" ht="15">
      <c r="A17" s="64" t="s">
        <v>234</v>
      </c>
      <c r="B17" s="65"/>
      <c r="C17" s="65"/>
      <c r="D17" s="66">
        <v>150</v>
      </c>
      <c r="E17" s="102">
        <v>100</v>
      </c>
      <c r="F17" s="98" t="str">
        <f>HYPERLINK("https://i.ytimg.com/vi/P6xcukDRhMY/default.jpg")</f>
        <v>https://i.ytimg.com/vi/P6xcukDRhMY/default.jpg</v>
      </c>
      <c r="G17" s="100"/>
      <c r="H17" s="69" t="s">
        <v>921</v>
      </c>
      <c r="I17" s="70"/>
      <c r="J17" s="104" t="s">
        <v>75</v>
      </c>
      <c r="K17" s="69" t="s">
        <v>921</v>
      </c>
      <c r="L17" s="105">
        <v>63.282382392904445</v>
      </c>
      <c r="M17" s="74">
        <v>5541.33349609375</v>
      </c>
      <c r="N17" s="74">
        <v>2624.775390625</v>
      </c>
      <c r="O17" s="75"/>
      <c r="P17" s="76"/>
      <c r="Q17" s="76"/>
      <c r="R17" s="106"/>
      <c r="S17" s="48">
        <v>0</v>
      </c>
      <c r="T17" s="48">
        <v>30</v>
      </c>
      <c r="U17" s="49">
        <v>870</v>
      </c>
      <c r="V17" s="49">
        <v>0.033708</v>
      </c>
      <c r="W17" s="107"/>
      <c r="X17" s="50"/>
      <c r="Y17" s="50"/>
      <c r="Z17" s="49">
        <v>0</v>
      </c>
      <c r="AA17" s="71">
        <v>17</v>
      </c>
      <c r="AB17" s="71"/>
      <c r="AC17" s="72"/>
      <c r="AD17" s="79" t="s">
        <v>921</v>
      </c>
      <c r="AE17" s="79" t="s">
        <v>1220</v>
      </c>
      <c r="AF17" s="79" t="s">
        <v>1431</v>
      </c>
      <c r="AG17" s="79" t="s">
        <v>1566</v>
      </c>
      <c r="AH17" s="79" t="s">
        <v>1978</v>
      </c>
      <c r="AI17" s="79">
        <v>990</v>
      </c>
      <c r="AJ17" s="79">
        <v>0</v>
      </c>
      <c r="AK17" s="79">
        <v>6</v>
      </c>
      <c r="AL17" s="79">
        <v>0</v>
      </c>
      <c r="AM17" s="79" t="s">
        <v>2092</v>
      </c>
      <c r="AN17" s="114" t="str">
        <f>HYPERLINK("https://www.youtube.com/watch?v=P6xcukDRhMY")</f>
        <v>https://www.youtube.com/watch?v=P6xcukDRhMY</v>
      </c>
      <c r="AO17" s="78" t="str">
        <f>REPLACE(INDEX(GroupVertices[Group],MATCH(Vertices[[#This Row],[Vertex]],GroupVertices[Vertex],0)),1,1,"")</f>
        <v>ourAlberta</v>
      </c>
      <c r="AP17" s="2"/>
      <c r="AQ17" s="3"/>
      <c r="AR17" s="3"/>
      <c r="AS17" s="3"/>
      <c r="AT17" s="3"/>
    </row>
    <row r="18" spans="1:46" ht="15">
      <c r="A18" s="64" t="s">
        <v>224</v>
      </c>
      <c r="B18" s="65"/>
      <c r="C18" s="65"/>
      <c r="D18" s="66">
        <v>150</v>
      </c>
      <c r="E18" s="102">
        <v>100</v>
      </c>
      <c r="F18" s="98" t="str">
        <f>HYPERLINK("https://i.ytimg.com/vi/FAQD6SNNisk/default.jpg")</f>
        <v>https://i.ytimg.com/vi/FAQD6SNNisk/default.jpg</v>
      </c>
      <c r="G18" s="100"/>
      <c r="H18" s="69" t="s">
        <v>824</v>
      </c>
      <c r="I18" s="70"/>
      <c r="J18" s="104" t="s">
        <v>75</v>
      </c>
      <c r="K18" s="69" t="s">
        <v>824</v>
      </c>
      <c r="L18" s="105">
        <v>55.12124263107559</v>
      </c>
      <c r="M18" s="74">
        <v>7481.64892578125</v>
      </c>
      <c r="N18" s="74">
        <v>4482.40380859375</v>
      </c>
      <c r="O18" s="75"/>
      <c r="P18" s="76"/>
      <c r="Q18" s="76"/>
      <c r="R18" s="106"/>
      <c r="S18" s="48">
        <v>0</v>
      </c>
      <c r="T18" s="48">
        <v>28</v>
      </c>
      <c r="U18" s="49">
        <v>756</v>
      </c>
      <c r="V18" s="49">
        <v>0.031461</v>
      </c>
      <c r="W18" s="107"/>
      <c r="X18" s="50"/>
      <c r="Y18" s="50"/>
      <c r="Z18" s="49">
        <v>0</v>
      </c>
      <c r="AA18" s="71">
        <v>18</v>
      </c>
      <c r="AB18" s="71"/>
      <c r="AC18" s="72"/>
      <c r="AD18" s="79" t="s">
        <v>824</v>
      </c>
      <c r="AE18" s="79" t="s">
        <v>1152</v>
      </c>
      <c r="AF18" s="79" t="s">
        <v>1392</v>
      </c>
      <c r="AG18" s="79" t="s">
        <v>1605</v>
      </c>
      <c r="AH18" s="79" t="s">
        <v>1880</v>
      </c>
      <c r="AI18" s="79">
        <v>1904</v>
      </c>
      <c r="AJ18" s="79">
        <v>1</v>
      </c>
      <c r="AK18" s="79">
        <v>23</v>
      </c>
      <c r="AL18" s="79">
        <v>0</v>
      </c>
      <c r="AM18" s="79" t="s">
        <v>2092</v>
      </c>
      <c r="AN18" s="114" t="str">
        <f>HYPERLINK("https://www.youtube.com/watch?v=FAQD6SNNisk")</f>
        <v>https://www.youtube.com/watch?v=FAQD6SNNisk</v>
      </c>
      <c r="AO18" s="78" t="str">
        <f>REPLACE(INDEX(GroupVertices[Group],MATCH(Vertices[[#This Row],[Vertex]],GroupVertices[Vertex],0)),1,1,"")</f>
        <v>TSU Online</v>
      </c>
      <c r="AP18" s="2"/>
      <c r="AQ18" s="3"/>
      <c r="AR18" s="3"/>
      <c r="AS18" s="3"/>
      <c r="AT18" s="3"/>
    </row>
    <row r="19" spans="1:46" ht="15">
      <c r="A19" s="64" t="s">
        <v>236</v>
      </c>
      <c r="B19" s="65"/>
      <c r="C19" s="65"/>
      <c r="D19" s="66">
        <v>150</v>
      </c>
      <c r="E19" s="102">
        <v>100</v>
      </c>
      <c r="F19" s="98" t="str">
        <f>HYPERLINK("https://i.ytimg.com/vi/dP-E77vupbI/default.jpg")</f>
        <v>https://i.ytimg.com/vi/dP-E77vupbI/default.jpg</v>
      </c>
      <c r="G19" s="100"/>
      <c r="H19" s="69" t="s">
        <v>955</v>
      </c>
      <c r="I19" s="70"/>
      <c r="J19" s="104" t="s">
        <v>75</v>
      </c>
      <c r="K19" s="69" t="s">
        <v>955</v>
      </c>
      <c r="L19" s="105">
        <v>5899.269185540317</v>
      </c>
      <c r="M19" s="74">
        <v>4577.109375</v>
      </c>
      <c r="N19" s="74">
        <v>9131.0810546875</v>
      </c>
      <c r="O19" s="75"/>
      <c r="P19" s="76"/>
      <c r="Q19" s="76"/>
      <c r="R19" s="106"/>
      <c r="S19" s="48">
        <v>0</v>
      </c>
      <c r="T19" s="48">
        <v>25</v>
      </c>
      <c r="U19" s="49">
        <v>82390.78202</v>
      </c>
      <c r="V19" s="49">
        <v>0.173952</v>
      </c>
      <c r="W19" s="107"/>
      <c r="X19" s="50"/>
      <c r="Y19" s="50"/>
      <c r="Z19" s="49">
        <v>0</v>
      </c>
      <c r="AA19" s="71">
        <v>19</v>
      </c>
      <c r="AB19" s="71"/>
      <c r="AC19" s="72"/>
      <c r="AD19" s="79" t="s">
        <v>955</v>
      </c>
      <c r="AE19" s="79" t="s">
        <v>1245</v>
      </c>
      <c r="AF19" s="79" t="s">
        <v>1442</v>
      </c>
      <c r="AG19" s="79" t="s">
        <v>1668</v>
      </c>
      <c r="AH19" s="79" t="s">
        <v>2012</v>
      </c>
      <c r="AI19" s="79">
        <v>171</v>
      </c>
      <c r="AJ19" s="79">
        <v>1</v>
      </c>
      <c r="AK19" s="79">
        <v>3</v>
      </c>
      <c r="AL19" s="79">
        <v>0</v>
      </c>
      <c r="AM19" s="79" t="s">
        <v>2092</v>
      </c>
      <c r="AN19" s="114" t="str">
        <f>HYPERLINK("https://www.youtube.com/watch?v=dP-E77vupbI")</f>
        <v>https://www.youtube.com/watch?v=dP-E77vupbI</v>
      </c>
      <c r="AO19" s="78" t="str">
        <f>REPLACE(INDEX(GroupVertices[Group],MATCH(Vertices[[#This Row],[Vertex]],GroupVertices[Vertex],0)),1,1,"")</f>
        <v>PARK</v>
      </c>
      <c r="AP19" s="2"/>
      <c r="AQ19" s="3"/>
      <c r="AR19" s="3"/>
      <c r="AS19" s="3"/>
      <c r="AT19" s="3"/>
    </row>
    <row r="20" spans="1:46" ht="15">
      <c r="A20" s="64" t="s">
        <v>238</v>
      </c>
      <c r="B20" s="65"/>
      <c r="C20" s="65"/>
      <c r="D20" s="66">
        <v>150</v>
      </c>
      <c r="E20" s="102">
        <v>100</v>
      </c>
      <c r="F20" s="98" t="str">
        <f>HYPERLINK("https://i.ytimg.com/vi/kmXob1zhCls/default.jpg")</f>
        <v>https://i.ytimg.com/vi/kmXob1zhCls/default.jpg</v>
      </c>
      <c r="G20" s="100"/>
      <c r="H20" s="69" t="s">
        <v>651</v>
      </c>
      <c r="I20" s="70"/>
      <c r="J20" s="104" t="s">
        <v>75</v>
      </c>
      <c r="K20" s="69" t="s">
        <v>651</v>
      </c>
      <c r="L20" s="105">
        <v>5364.745977730164</v>
      </c>
      <c r="M20" s="74">
        <v>712.2837524414062</v>
      </c>
      <c r="N20" s="74">
        <v>1261.3670654296875</v>
      </c>
      <c r="O20" s="75"/>
      <c r="P20" s="76"/>
      <c r="Q20" s="76"/>
      <c r="R20" s="106"/>
      <c r="S20" s="48">
        <v>0</v>
      </c>
      <c r="T20" s="48">
        <v>22</v>
      </c>
      <c r="U20" s="49">
        <v>74924.221286</v>
      </c>
      <c r="V20" s="49">
        <v>0.205609</v>
      </c>
      <c r="W20" s="107"/>
      <c r="X20" s="50"/>
      <c r="Y20" s="50"/>
      <c r="Z20" s="49">
        <v>0</v>
      </c>
      <c r="AA20" s="71">
        <v>20</v>
      </c>
      <c r="AB20" s="71"/>
      <c r="AC20" s="72"/>
      <c r="AD20" s="79" t="s">
        <v>651</v>
      </c>
      <c r="AE20" s="79" t="s">
        <v>1051</v>
      </c>
      <c r="AF20" s="79"/>
      <c r="AG20" s="79" t="s">
        <v>1520</v>
      </c>
      <c r="AH20" s="79" t="s">
        <v>1707</v>
      </c>
      <c r="AI20" s="79">
        <v>7073</v>
      </c>
      <c r="AJ20" s="79">
        <v>0</v>
      </c>
      <c r="AK20" s="79">
        <v>0</v>
      </c>
      <c r="AL20" s="79">
        <v>0</v>
      </c>
      <c r="AM20" s="79" t="s">
        <v>2092</v>
      </c>
      <c r="AN20" s="114" t="str">
        <f>HYPERLINK("https://www.youtube.com/watch?v=kmXob1zhCls")</f>
        <v>https://www.youtube.com/watch?v=kmXob1zhCls</v>
      </c>
      <c r="AO20" s="78" t="str">
        <f>REPLACE(INDEX(GroupVertices[Group],MATCH(Vertices[[#This Row],[Vertex]],GroupVertices[Vertex],0)),1,1,"")</f>
        <v>iktor Burlaka</v>
      </c>
      <c r="AP20" s="2"/>
      <c r="AQ20" s="3"/>
      <c r="AR20" s="3"/>
      <c r="AS20" s="3"/>
      <c r="AT20" s="3"/>
    </row>
    <row r="21" spans="1:46" ht="15">
      <c r="A21" s="64" t="s">
        <v>213</v>
      </c>
      <c r="B21" s="65"/>
      <c r="C21" s="65"/>
      <c r="D21" s="66">
        <v>150</v>
      </c>
      <c r="E21" s="68">
        <v>100</v>
      </c>
      <c r="F21" s="98" t="str">
        <f>HYPERLINK("https://i.ytimg.com/vi/Tl8nt2HgoLY/default.jpg")</f>
        <v>https://i.ytimg.com/vi/Tl8nt2HgoLY/default.jpg</v>
      </c>
      <c r="G21" s="65"/>
      <c r="H21" s="69" t="s">
        <v>786</v>
      </c>
      <c r="I21" s="70"/>
      <c r="J21" s="70" t="s">
        <v>75</v>
      </c>
      <c r="K21" s="69" t="s">
        <v>786</v>
      </c>
      <c r="L21" s="73">
        <v>31.067357017264214</v>
      </c>
      <c r="M21" s="74">
        <v>9204.09375</v>
      </c>
      <c r="N21" s="74">
        <v>4486.2041015625</v>
      </c>
      <c r="O21" s="75"/>
      <c r="P21" s="76"/>
      <c r="Q21" s="76"/>
      <c r="R21" s="80"/>
      <c r="S21" s="48">
        <v>0</v>
      </c>
      <c r="T21" s="48">
        <v>21</v>
      </c>
      <c r="U21" s="49">
        <v>420</v>
      </c>
      <c r="V21" s="49">
        <v>0.023596</v>
      </c>
      <c r="W21" s="50"/>
      <c r="X21" s="50"/>
      <c r="Y21" s="50"/>
      <c r="Z21" s="49">
        <v>0</v>
      </c>
      <c r="AA21" s="71">
        <v>21</v>
      </c>
      <c r="AB21" s="71"/>
      <c r="AC21" s="72"/>
      <c r="AD21" s="78" t="s">
        <v>786</v>
      </c>
      <c r="AE21" s="78" t="s">
        <v>1127</v>
      </c>
      <c r="AF21" s="78"/>
      <c r="AG21" s="78" t="s">
        <v>1583</v>
      </c>
      <c r="AH21" s="78" t="s">
        <v>1842</v>
      </c>
      <c r="AI21" s="78">
        <v>13</v>
      </c>
      <c r="AJ21" s="78">
        <v>0</v>
      </c>
      <c r="AK21" s="78">
        <v>1</v>
      </c>
      <c r="AL21" s="78">
        <v>0</v>
      </c>
      <c r="AM21" s="78" t="s">
        <v>2092</v>
      </c>
      <c r="AN21" s="97" t="str">
        <f>HYPERLINK("https://www.youtube.com/watch?v=Tl8nt2HgoLY")</f>
        <v>https://www.youtube.com/watch?v=Tl8nt2HgoLY</v>
      </c>
      <c r="AO21" s="78" t="str">
        <f>REPLACE(INDEX(GroupVertices[Group],MATCH(Vertices[[#This Row],[Vertex]],GroupVertices[Vertex],0)),1,1,"")</f>
        <v>2Z OF HEALTH</v>
      </c>
      <c r="AP21" s="2"/>
      <c r="AQ21" s="3"/>
      <c r="AR21" s="3"/>
      <c r="AS21" s="3"/>
      <c r="AT21" s="3"/>
    </row>
    <row r="22" spans="1:46" ht="15">
      <c r="A22" s="64" t="s">
        <v>212</v>
      </c>
      <c r="B22" s="65"/>
      <c r="C22" s="65"/>
      <c r="D22" s="66">
        <v>150</v>
      </c>
      <c r="E22" s="102">
        <v>97.85714285714286</v>
      </c>
      <c r="F22" s="98" t="str">
        <f>HYPERLINK("https://i.ytimg.com/vi/fkoM1ygxdto/default.jpg")</f>
        <v>https://i.ytimg.com/vi/fkoM1ygxdto/default.jpg</v>
      </c>
      <c r="G22" s="100"/>
      <c r="H22" s="69" t="s">
        <v>784</v>
      </c>
      <c r="I22" s="70"/>
      <c r="J22" s="104" t="s">
        <v>75</v>
      </c>
      <c r="K22" s="69" t="s">
        <v>784</v>
      </c>
      <c r="L22" s="105">
        <v>4.908847043849072</v>
      </c>
      <c r="M22" s="74">
        <v>5687.67822265625</v>
      </c>
      <c r="N22" s="74">
        <v>4434.54052734375</v>
      </c>
      <c r="O22" s="75"/>
      <c r="P22" s="76"/>
      <c r="Q22" s="76"/>
      <c r="R22" s="106"/>
      <c r="S22" s="48">
        <v>1</v>
      </c>
      <c r="T22" s="48">
        <v>20</v>
      </c>
      <c r="U22" s="49">
        <v>54.601266</v>
      </c>
      <c r="V22" s="49">
        <v>0.105449</v>
      </c>
      <c r="W22" s="107"/>
      <c r="X22" s="50"/>
      <c r="Y22" s="50"/>
      <c r="Z22" s="49">
        <v>0</v>
      </c>
      <c r="AA22" s="71">
        <v>22</v>
      </c>
      <c r="AB22" s="71"/>
      <c r="AC22" s="72"/>
      <c r="AD22" s="79" t="s">
        <v>784</v>
      </c>
      <c r="AE22" s="79" t="s">
        <v>1125</v>
      </c>
      <c r="AF22" s="79" t="s">
        <v>1378</v>
      </c>
      <c r="AG22" s="79" t="s">
        <v>1562</v>
      </c>
      <c r="AH22" s="79" t="s">
        <v>1840</v>
      </c>
      <c r="AI22" s="79">
        <v>48</v>
      </c>
      <c r="AJ22" s="79">
        <v>0</v>
      </c>
      <c r="AK22" s="79">
        <v>0</v>
      </c>
      <c r="AL22" s="79">
        <v>0</v>
      </c>
      <c r="AM22" s="79" t="s">
        <v>2092</v>
      </c>
      <c r="AN22" s="114" t="str">
        <f>HYPERLINK("https://www.youtube.com/watch?v=fkoM1ygxdto")</f>
        <v>https://www.youtube.com/watch?v=fkoM1ygxdto</v>
      </c>
      <c r="AO22" s="78" t="str">
        <f>REPLACE(INDEX(GroupVertices[Group],MATCH(Vertices[[#This Row],[Vertex]],GroupVertices[Vertex],0)),1,1,"")</f>
        <v>nlineCEUCredit</v>
      </c>
      <c r="AP22" s="2"/>
      <c r="AQ22" s="3"/>
      <c r="AR22" s="3"/>
      <c r="AS22" s="3"/>
      <c r="AT22" s="3"/>
    </row>
    <row r="23" spans="1:46" ht="15">
      <c r="A23" s="64" t="s">
        <v>218</v>
      </c>
      <c r="B23" s="65"/>
      <c r="C23" s="65"/>
      <c r="D23" s="66">
        <v>150</v>
      </c>
      <c r="E23" s="102">
        <v>97.85714285714286</v>
      </c>
      <c r="F23" s="98" t="str">
        <f>HYPERLINK("https://i.ytimg.com/vi/0dAoMPiQ-so/default.jpg")</f>
        <v>https://i.ytimg.com/vi/0dAoMPiQ-so/default.jpg</v>
      </c>
      <c r="G23" s="100"/>
      <c r="H23" s="69" t="s">
        <v>785</v>
      </c>
      <c r="I23" s="70"/>
      <c r="J23" s="104" t="s">
        <v>75</v>
      </c>
      <c r="K23" s="69" t="s">
        <v>785</v>
      </c>
      <c r="L23" s="105">
        <v>5.852549343921633</v>
      </c>
      <c r="M23" s="74">
        <v>5555.6689453125</v>
      </c>
      <c r="N23" s="74">
        <v>4544.82763671875</v>
      </c>
      <c r="O23" s="75"/>
      <c r="P23" s="76"/>
      <c r="Q23" s="76"/>
      <c r="R23" s="106"/>
      <c r="S23" s="48">
        <v>1</v>
      </c>
      <c r="T23" s="48">
        <v>20</v>
      </c>
      <c r="U23" s="49">
        <v>67.783501</v>
      </c>
      <c r="V23" s="49">
        <v>0.105449</v>
      </c>
      <c r="W23" s="107"/>
      <c r="X23" s="50"/>
      <c r="Y23" s="50"/>
      <c r="Z23" s="49">
        <v>0</v>
      </c>
      <c r="AA23" s="71">
        <v>23</v>
      </c>
      <c r="AB23" s="71"/>
      <c r="AC23" s="72"/>
      <c r="AD23" s="79" t="s">
        <v>785</v>
      </c>
      <c r="AE23" s="79" t="s">
        <v>1126</v>
      </c>
      <c r="AF23" s="79" t="s">
        <v>1379</v>
      </c>
      <c r="AG23" s="79" t="s">
        <v>1562</v>
      </c>
      <c r="AH23" s="79" t="s">
        <v>1841</v>
      </c>
      <c r="AI23" s="79">
        <v>88</v>
      </c>
      <c r="AJ23" s="79">
        <v>0</v>
      </c>
      <c r="AK23" s="79">
        <v>1</v>
      </c>
      <c r="AL23" s="79">
        <v>0</v>
      </c>
      <c r="AM23" s="79" t="s">
        <v>2092</v>
      </c>
      <c r="AN23" s="114" t="str">
        <f>HYPERLINK("https://www.youtube.com/watch?v=0dAoMPiQ-so")</f>
        <v>https://www.youtube.com/watch?v=0dAoMPiQ-so</v>
      </c>
      <c r="AO23" s="78" t="str">
        <f>REPLACE(INDEX(GroupVertices[Group],MATCH(Vertices[[#This Row],[Vertex]],GroupVertices[Vertex],0)),1,1,"")</f>
        <v>nlineCEUCredit</v>
      </c>
      <c r="AP23" s="2"/>
      <c r="AQ23" s="3"/>
      <c r="AR23" s="3"/>
      <c r="AS23" s="3"/>
      <c r="AT23" s="3"/>
    </row>
    <row r="24" spans="1:46" ht="15">
      <c r="A24" s="64" t="s">
        <v>210</v>
      </c>
      <c r="B24" s="65"/>
      <c r="C24" s="65"/>
      <c r="D24" s="66">
        <v>150</v>
      </c>
      <c r="E24" s="102">
        <v>97.85714285714286</v>
      </c>
      <c r="F24" s="98" t="str">
        <f>HYPERLINK("https://i.ytimg.com/vi/xYUQ3DTuNl4/default.jpg")</f>
        <v>https://i.ytimg.com/vi/xYUQ3DTuNl4/default.jpg</v>
      </c>
      <c r="G24" s="100"/>
      <c r="H24" s="69" t="s">
        <v>741</v>
      </c>
      <c r="I24" s="70"/>
      <c r="J24" s="104" t="s">
        <v>75</v>
      </c>
      <c r="K24" s="69" t="s">
        <v>741</v>
      </c>
      <c r="L24" s="105">
        <v>5.065727559656528</v>
      </c>
      <c r="M24" s="74">
        <v>5369.9697265625</v>
      </c>
      <c r="N24" s="74">
        <v>4415.359375</v>
      </c>
      <c r="O24" s="75"/>
      <c r="P24" s="76"/>
      <c r="Q24" s="76"/>
      <c r="R24" s="106"/>
      <c r="S24" s="48">
        <v>1</v>
      </c>
      <c r="T24" s="48">
        <v>20</v>
      </c>
      <c r="U24" s="49">
        <v>56.792673</v>
      </c>
      <c r="V24" s="49">
        <v>0.105428</v>
      </c>
      <c r="W24" s="107"/>
      <c r="X24" s="50"/>
      <c r="Y24" s="50"/>
      <c r="Z24" s="49">
        <v>0</v>
      </c>
      <c r="AA24" s="71">
        <v>24</v>
      </c>
      <c r="AB24" s="71"/>
      <c r="AC24" s="72"/>
      <c r="AD24" s="79" t="s">
        <v>741</v>
      </c>
      <c r="AE24" s="79" t="s">
        <v>1101</v>
      </c>
      <c r="AF24" s="79" t="s">
        <v>1353</v>
      </c>
      <c r="AG24" s="79" t="s">
        <v>1562</v>
      </c>
      <c r="AH24" s="79" t="s">
        <v>1796</v>
      </c>
      <c r="AI24" s="79">
        <v>61</v>
      </c>
      <c r="AJ24" s="79">
        <v>0</v>
      </c>
      <c r="AK24" s="79">
        <v>0</v>
      </c>
      <c r="AL24" s="79">
        <v>0</v>
      </c>
      <c r="AM24" s="79" t="s">
        <v>2092</v>
      </c>
      <c r="AN24" s="114" t="str">
        <f>HYPERLINK("https://www.youtube.com/watch?v=xYUQ3DTuNl4")</f>
        <v>https://www.youtube.com/watch?v=xYUQ3DTuNl4</v>
      </c>
      <c r="AO24" s="78" t="str">
        <f>REPLACE(INDEX(GroupVertices[Group],MATCH(Vertices[[#This Row],[Vertex]],GroupVertices[Vertex],0)),1,1,"")</f>
        <v>nlineCEUCredit</v>
      </c>
      <c r="AP24" s="2"/>
      <c r="AQ24" s="3"/>
      <c r="AR24" s="3"/>
      <c r="AS24" s="3"/>
      <c r="AT24" s="3"/>
    </row>
    <row r="25" spans="1:46" ht="15">
      <c r="A25" s="64" t="s">
        <v>214</v>
      </c>
      <c r="B25" s="65"/>
      <c r="C25" s="65"/>
      <c r="D25" s="66">
        <v>150</v>
      </c>
      <c r="E25" s="102">
        <v>97.85714285714286</v>
      </c>
      <c r="F25" s="98" t="str">
        <f>HYPERLINK("https://i.ytimg.com/vi/8wvF4MTv45k/default.jpg")</f>
        <v>https://i.ytimg.com/vi/8wvF4MTv45k/default.jpg</v>
      </c>
      <c r="G25" s="100"/>
      <c r="H25" s="69" t="s">
        <v>795</v>
      </c>
      <c r="I25" s="70"/>
      <c r="J25" s="104" t="s">
        <v>75</v>
      </c>
      <c r="K25" s="69" t="s">
        <v>795</v>
      </c>
      <c r="L25" s="105">
        <v>104.33961125213345</v>
      </c>
      <c r="M25" s="74">
        <v>5546.44775390625</v>
      </c>
      <c r="N25" s="74">
        <v>4265.27392578125</v>
      </c>
      <c r="O25" s="75"/>
      <c r="P25" s="76"/>
      <c r="Q25" s="76"/>
      <c r="R25" s="106"/>
      <c r="S25" s="48">
        <v>1</v>
      </c>
      <c r="T25" s="48">
        <v>20</v>
      </c>
      <c r="U25" s="49">
        <v>1443.513532</v>
      </c>
      <c r="V25" s="49">
        <v>0.105449</v>
      </c>
      <c r="W25" s="107"/>
      <c r="X25" s="50"/>
      <c r="Y25" s="50"/>
      <c r="Z25" s="49">
        <v>0</v>
      </c>
      <c r="AA25" s="71">
        <v>25</v>
      </c>
      <c r="AB25" s="71"/>
      <c r="AC25" s="72"/>
      <c r="AD25" s="79" t="s">
        <v>795</v>
      </c>
      <c r="AE25" s="79" t="s">
        <v>1133</v>
      </c>
      <c r="AF25" s="79" t="s">
        <v>1380</v>
      </c>
      <c r="AG25" s="79" t="s">
        <v>1562</v>
      </c>
      <c r="AH25" s="79" t="s">
        <v>1850</v>
      </c>
      <c r="AI25" s="79">
        <v>87</v>
      </c>
      <c r="AJ25" s="79">
        <v>0</v>
      </c>
      <c r="AK25" s="79">
        <v>0</v>
      </c>
      <c r="AL25" s="79">
        <v>0</v>
      </c>
      <c r="AM25" s="79" t="s">
        <v>2092</v>
      </c>
      <c r="AN25" s="114" t="str">
        <f>HYPERLINK("https://www.youtube.com/watch?v=8wvF4MTv45k")</f>
        <v>https://www.youtube.com/watch?v=8wvF4MTv45k</v>
      </c>
      <c r="AO25" s="78" t="str">
        <f>REPLACE(INDEX(GroupVertices[Group],MATCH(Vertices[[#This Row],[Vertex]],GroupVertices[Vertex],0)),1,1,"")</f>
        <v>nlineCEUCredit</v>
      </c>
      <c r="AP25" s="2"/>
      <c r="AQ25" s="3"/>
      <c r="AR25" s="3"/>
      <c r="AS25" s="3"/>
      <c r="AT25" s="3"/>
    </row>
    <row r="26" spans="1:46" ht="15">
      <c r="A26" s="64" t="s">
        <v>196</v>
      </c>
      <c r="B26" s="65"/>
      <c r="C26" s="65"/>
      <c r="D26" s="66">
        <v>150</v>
      </c>
      <c r="E26" s="102">
        <v>100</v>
      </c>
      <c r="F26" s="98" t="str">
        <f>HYPERLINK("https://i.ytimg.com/vi/WG-2YlvlFpc/default.jpg")</f>
        <v>https://i.ytimg.com/vi/WG-2YlvlFpc/default.jpg</v>
      </c>
      <c r="G26" s="100"/>
      <c r="H26" s="69" t="s">
        <v>682</v>
      </c>
      <c r="I26" s="70"/>
      <c r="J26" s="104" t="s">
        <v>75</v>
      </c>
      <c r="K26" s="69" t="s">
        <v>682</v>
      </c>
      <c r="L26" s="105">
        <v>28.203799206096193</v>
      </c>
      <c r="M26" s="74">
        <v>7114.70654296875</v>
      </c>
      <c r="N26" s="74">
        <v>2722.68798828125</v>
      </c>
      <c r="O26" s="75"/>
      <c r="P26" s="76"/>
      <c r="Q26" s="76"/>
      <c r="R26" s="106"/>
      <c r="S26" s="48">
        <v>0</v>
      </c>
      <c r="T26" s="48">
        <v>20</v>
      </c>
      <c r="U26" s="49">
        <v>380</v>
      </c>
      <c r="V26" s="49">
        <v>0.022472</v>
      </c>
      <c r="W26" s="107"/>
      <c r="X26" s="50"/>
      <c r="Y26" s="50"/>
      <c r="Z26" s="49">
        <v>0</v>
      </c>
      <c r="AA26" s="71">
        <v>26</v>
      </c>
      <c r="AB26" s="71"/>
      <c r="AC26" s="72"/>
      <c r="AD26" s="79" t="s">
        <v>682</v>
      </c>
      <c r="AE26" s="79" t="s">
        <v>1071</v>
      </c>
      <c r="AF26" s="79"/>
      <c r="AG26" s="79" t="s">
        <v>1545</v>
      </c>
      <c r="AH26" s="79" t="s">
        <v>1737</v>
      </c>
      <c r="AI26" s="79">
        <v>49</v>
      </c>
      <c r="AJ26" s="79">
        <v>0</v>
      </c>
      <c r="AK26" s="79">
        <v>2</v>
      </c>
      <c r="AL26" s="79">
        <v>0</v>
      </c>
      <c r="AM26" s="79" t="s">
        <v>2092</v>
      </c>
      <c r="AN26" s="114" t="str">
        <f>HYPERLINK("https://www.youtube.com/watch?v=WG-2YlvlFpc")</f>
        <v>https://www.youtube.com/watch?v=WG-2YlvlFpc</v>
      </c>
      <c r="AO26" s="78" t="str">
        <f>REPLACE(INDEX(GroupVertices[Group],MATCH(Vertices[[#This Row],[Vertex]],GroupVertices[Vertex],0)),1,1,"")</f>
        <v>ogi's NURSING- NEST</v>
      </c>
      <c r="AP26" s="2"/>
      <c r="AQ26" s="3"/>
      <c r="AR26" s="3"/>
      <c r="AS26" s="3"/>
      <c r="AT26" s="3"/>
    </row>
    <row r="27" spans="1:46" ht="15">
      <c r="A27" s="64" t="s">
        <v>211</v>
      </c>
      <c r="B27" s="65"/>
      <c r="C27" s="65"/>
      <c r="D27" s="66">
        <v>150</v>
      </c>
      <c r="E27" s="102">
        <v>97.85714285714286</v>
      </c>
      <c r="F27" s="98" t="str">
        <f>HYPERLINK("https://i.ytimg.com/vi/b-BEQB993Oc/default.jpg")</f>
        <v>https://i.ytimg.com/vi/b-BEQB993Oc/default.jpg</v>
      </c>
      <c r="G27" s="100"/>
      <c r="H27" s="69" t="s">
        <v>763</v>
      </c>
      <c r="I27" s="70"/>
      <c r="J27" s="104" t="s">
        <v>75</v>
      </c>
      <c r="K27" s="69" t="s">
        <v>763</v>
      </c>
      <c r="L27" s="105">
        <v>1144.6163134846463</v>
      </c>
      <c r="M27" s="74">
        <v>5792.4326171875</v>
      </c>
      <c r="N27" s="74">
        <v>4631.775390625</v>
      </c>
      <c r="O27" s="75"/>
      <c r="P27" s="76"/>
      <c r="Q27" s="76"/>
      <c r="R27" s="106"/>
      <c r="S27" s="48">
        <v>1</v>
      </c>
      <c r="T27" s="48">
        <v>20</v>
      </c>
      <c r="U27" s="49">
        <v>15974.761313</v>
      </c>
      <c r="V27" s="49">
        <v>0.12106600000000001</v>
      </c>
      <c r="W27" s="107"/>
      <c r="X27" s="50"/>
      <c r="Y27" s="50"/>
      <c r="Z27" s="49">
        <v>0</v>
      </c>
      <c r="AA27" s="71">
        <v>27</v>
      </c>
      <c r="AB27" s="71"/>
      <c r="AC27" s="72"/>
      <c r="AD27" s="79" t="s">
        <v>763</v>
      </c>
      <c r="AE27" s="79" t="s">
        <v>1115</v>
      </c>
      <c r="AF27" s="79" t="s">
        <v>1359</v>
      </c>
      <c r="AG27" s="79" t="s">
        <v>1562</v>
      </c>
      <c r="AH27" s="79" t="s">
        <v>1819</v>
      </c>
      <c r="AI27" s="79">
        <v>65</v>
      </c>
      <c r="AJ27" s="79">
        <v>0</v>
      </c>
      <c r="AK27" s="79">
        <v>0</v>
      </c>
      <c r="AL27" s="79">
        <v>0</v>
      </c>
      <c r="AM27" s="79" t="s">
        <v>2092</v>
      </c>
      <c r="AN27" s="114" t="str">
        <f>HYPERLINK("https://www.youtube.com/watch?v=b-BEQB993Oc")</f>
        <v>https://www.youtube.com/watch?v=b-BEQB993Oc</v>
      </c>
      <c r="AO27" s="78" t="str">
        <f>REPLACE(INDEX(GroupVertices[Group],MATCH(Vertices[[#This Row],[Vertex]],GroupVertices[Vertex],0)),1,1,"")</f>
        <v>nlineCEUCredit</v>
      </c>
      <c r="AP27" s="2"/>
      <c r="AQ27" s="3"/>
      <c r="AR27" s="3"/>
      <c r="AS27" s="3"/>
      <c r="AT27" s="3"/>
    </row>
    <row r="28" spans="1:46" ht="15">
      <c r="A28" s="64" t="s">
        <v>203</v>
      </c>
      <c r="B28" s="65"/>
      <c r="C28" s="65"/>
      <c r="D28" s="66">
        <v>150</v>
      </c>
      <c r="E28" s="102">
        <v>100</v>
      </c>
      <c r="F28" s="98" t="str">
        <f>HYPERLINK("https://i.ytimg.com/vi/-1UXkUEh-do/default.jpg")</f>
        <v>https://i.ytimg.com/vi/-1UXkUEh-do/default.jpg</v>
      </c>
      <c r="G28" s="100"/>
      <c r="H28" s="69" t="s">
        <v>717</v>
      </c>
      <c r="I28" s="70"/>
      <c r="J28" s="104" t="s">
        <v>75</v>
      </c>
      <c r="K28" s="69" t="s">
        <v>717</v>
      </c>
      <c r="L28" s="105">
        <v>5.528497329833889</v>
      </c>
      <c r="M28" s="74">
        <v>5920.2353515625</v>
      </c>
      <c r="N28" s="74">
        <v>4580.19580078125</v>
      </c>
      <c r="O28" s="75"/>
      <c r="P28" s="76"/>
      <c r="Q28" s="76"/>
      <c r="R28" s="106"/>
      <c r="S28" s="48">
        <v>0</v>
      </c>
      <c r="T28" s="48">
        <v>20</v>
      </c>
      <c r="U28" s="49">
        <v>63.256936</v>
      </c>
      <c r="V28" s="49">
        <v>0.105428</v>
      </c>
      <c r="W28" s="107"/>
      <c r="X28" s="50"/>
      <c r="Y28" s="50"/>
      <c r="Z28" s="49">
        <v>0</v>
      </c>
      <c r="AA28" s="71">
        <v>28</v>
      </c>
      <c r="AB28" s="71"/>
      <c r="AC28" s="72"/>
      <c r="AD28" s="79" t="s">
        <v>717</v>
      </c>
      <c r="AE28" s="79" t="s">
        <v>1081</v>
      </c>
      <c r="AF28" s="79" t="s">
        <v>1351</v>
      </c>
      <c r="AG28" s="79" t="s">
        <v>1562</v>
      </c>
      <c r="AH28" s="79" t="s">
        <v>1772</v>
      </c>
      <c r="AI28" s="79">
        <v>48</v>
      </c>
      <c r="AJ28" s="79">
        <v>0</v>
      </c>
      <c r="AK28" s="79">
        <v>0</v>
      </c>
      <c r="AL28" s="79">
        <v>0</v>
      </c>
      <c r="AM28" s="79" t="s">
        <v>2092</v>
      </c>
      <c r="AN28" s="114" t="str">
        <f>HYPERLINK("https://www.youtube.com/watch?v=-1UXkUEh-do")</f>
        <v>https://www.youtube.com/watch?v=-1UXkUEh-do</v>
      </c>
      <c r="AO28" s="78" t="str">
        <f>REPLACE(INDEX(GroupVertices[Group],MATCH(Vertices[[#This Row],[Vertex]],GroupVertices[Vertex],0)),1,1,"")</f>
        <v>nlineCEUCredit</v>
      </c>
      <c r="AP28" s="2"/>
      <c r="AQ28" s="3"/>
      <c r="AR28" s="3"/>
      <c r="AS28" s="3"/>
      <c r="AT28" s="3"/>
    </row>
    <row r="29" spans="1:46" ht="15">
      <c r="A29" s="64" t="s">
        <v>242</v>
      </c>
      <c r="B29" s="65"/>
      <c r="C29" s="65"/>
      <c r="D29" s="66">
        <v>150</v>
      </c>
      <c r="E29" s="102">
        <v>97.85714285714286</v>
      </c>
      <c r="F29" s="98" t="str">
        <f>HYPERLINK("https://i.ytimg.com/vi/w4K2wmdGNls/default.jpg")</f>
        <v>https://i.ytimg.com/vi/w4K2wmdGNls/default.jpg</v>
      </c>
      <c r="G29" s="100"/>
      <c r="H29" s="69" t="s">
        <v>700</v>
      </c>
      <c r="I29" s="70"/>
      <c r="J29" s="104" t="s">
        <v>75</v>
      </c>
      <c r="K29" s="69" t="s">
        <v>700</v>
      </c>
      <c r="L29" s="105">
        <v>4055.0449256716665</v>
      </c>
      <c r="M29" s="74">
        <v>1879.5357666015625</v>
      </c>
      <c r="N29" s="74">
        <v>4775.51953125</v>
      </c>
      <c r="O29" s="75"/>
      <c r="P29" s="76"/>
      <c r="Q29" s="76"/>
      <c r="R29" s="106"/>
      <c r="S29" s="48">
        <v>1</v>
      </c>
      <c r="T29" s="48">
        <v>20</v>
      </c>
      <c r="U29" s="49">
        <v>56629.482525</v>
      </c>
      <c r="V29" s="49">
        <v>0.176909</v>
      </c>
      <c r="W29" s="107"/>
      <c r="X29" s="50"/>
      <c r="Y29" s="50"/>
      <c r="Z29" s="49">
        <v>0</v>
      </c>
      <c r="AA29" s="71">
        <v>29</v>
      </c>
      <c r="AB29" s="71"/>
      <c r="AC29" s="72"/>
      <c r="AD29" s="79" t="s">
        <v>700</v>
      </c>
      <c r="AE29" s="79" t="s">
        <v>1266</v>
      </c>
      <c r="AF29" s="79" t="s">
        <v>1461</v>
      </c>
      <c r="AG29" s="79" t="s">
        <v>1528</v>
      </c>
      <c r="AH29" s="79" t="s">
        <v>2051</v>
      </c>
      <c r="AI29" s="79">
        <v>8</v>
      </c>
      <c r="AJ29" s="79">
        <v>0</v>
      </c>
      <c r="AK29" s="79">
        <v>0</v>
      </c>
      <c r="AL29" s="79">
        <v>0</v>
      </c>
      <c r="AM29" s="79" t="s">
        <v>2092</v>
      </c>
      <c r="AN29" s="114" t="str">
        <f>HYPERLINK("https://www.youtube.com/watch?v=w4K2wmdGNls")</f>
        <v>https://www.youtube.com/watch?v=w4K2wmdGNls</v>
      </c>
      <c r="AO29" s="78" t="str">
        <f>REPLACE(INDEX(GroupVertices[Group],MATCH(Vertices[[#This Row],[Vertex]],GroupVertices[Vertex],0)),1,1,"")</f>
        <v>en Joyce Ackerson</v>
      </c>
      <c r="AP29" s="2"/>
      <c r="AQ29" s="3"/>
      <c r="AR29" s="3"/>
      <c r="AS29" s="3"/>
      <c r="AT29" s="3"/>
    </row>
    <row r="30" spans="1:46" ht="15">
      <c r="A30" s="64" t="s">
        <v>239</v>
      </c>
      <c r="B30" s="65"/>
      <c r="C30" s="65"/>
      <c r="D30" s="66">
        <v>150</v>
      </c>
      <c r="E30" s="102">
        <v>100</v>
      </c>
      <c r="F30" s="98" t="str">
        <f>HYPERLINK("https://i.ytimg.com/vi/iVQc6XQwHzA/default.jpg")</f>
        <v>https://i.ytimg.com/vi/iVQc6XQwHzA/default.jpg</v>
      </c>
      <c r="G30" s="100"/>
      <c r="H30" s="69" t="s">
        <v>653</v>
      </c>
      <c r="I30" s="70"/>
      <c r="J30" s="104" t="s">
        <v>75</v>
      </c>
      <c r="K30" s="69" t="s">
        <v>653</v>
      </c>
      <c r="L30" s="105">
        <v>792.0745803965477</v>
      </c>
      <c r="M30" s="74">
        <v>1468.98046875</v>
      </c>
      <c r="N30" s="74">
        <v>3981.759765625</v>
      </c>
      <c r="O30" s="75"/>
      <c r="P30" s="76"/>
      <c r="Q30" s="76"/>
      <c r="R30" s="106"/>
      <c r="S30" s="48">
        <v>0</v>
      </c>
      <c r="T30" s="48">
        <v>20</v>
      </c>
      <c r="U30" s="49">
        <v>11050.233766</v>
      </c>
      <c r="V30" s="49">
        <v>0.139691</v>
      </c>
      <c r="W30" s="107"/>
      <c r="X30" s="50"/>
      <c r="Y30" s="50"/>
      <c r="Z30" s="49">
        <v>0</v>
      </c>
      <c r="AA30" s="71">
        <v>30</v>
      </c>
      <c r="AB30" s="71"/>
      <c r="AC30" s="72"/>
      <c r="AD30" s="79" t="s">
        <v>653</v>
      </c>
      <c r="AE30" s="79"/>
      <c r="AF30" s="79" t="s">
        <v>1315</v>
      </c>
      <c r="AG30" s="79" t="s">
        <v>1522</v>
      </c>
      <c r="AH30" s="79" t="s">
        <v>1709</v>
      </c>
      <c r="AI30" s="79">
        <v>2096</v>
      </c>
      <c r="AJ30" s="79">
        <v>0</v>
      </c>
      <c r="AK30" s="79">
        <v>40</v>
      </c>
      <c r="AL30" s="79">
        <v>0</v>
      </c>
      <c r="AM30" s="79" t="s">
        <v>2092</v>
      </c>
      <c r="AN30" s="114" t="str">
        <f>HYPERLINK("https://www.youtube.com/watch?v=iVQc6XQwHzA")</f>
        <v>https://www.youtube.com/watch?v=iVQc6XQwHzA</v>
      </c>
      <c r="AO30" s="78" t="str">
        <f>REPLACE(INDEX(GroupVertices[Group],MATCH(Vertices[[#This Row],[Vertex]],GroupVertices[Vertex],0)),1,1,"")</f>
        <v>lizabeth L. Jeglic Ph.D.</v>
      </c>
      <c r="AP30" s="2"/>
      <c r="AQ30" s="3"/>
      <c r="AR30" s="3"/>
      <c r="AS30" s="3"/>
      <c r="AT30" s="3"/>
    </row>
    <row r="31" spans="1:46" ht="15">
      <c r="A31" s="64" t="s">
        <v>246</v>
      </c>
      <c r="B31" s="65"/>
      <c r="C31" s="65"/>
      <c r="D31" s="66">
        <v>150</v>
      </c>
      <c r="E31" s="102">
        <v>100</v>
      </c>
      <c r="F31" s="98" t="str">
        <f>HYPERLINK("https://i.ytimg.com/vi/qTHy6yu1ffY/default.jpg")</f>
        <v>https://i.ytimg.com/vi/qTHy6yu1ffY/default.jpg</v>
      </c>
      <c r="G31" s="100"/>
      <c r="H31" s="69" t="s">
        <v>656</v>
      </c>
      <c r="I31" s="70"/>
      <c r="J31" s="104" t="s">
        <v>75</v>
      </c>
      <c r="K31" s="69" t="s">
        <v>656</v>
      </c>
      <c r="L31" s="105">
        <v>1605.8093863238378</v>
      </c>
      <c r="M31" s="74">
        <v>7114.263671875</v>
      </c>
      <c r="N31" s="74">
        <v>926.6455078125</v>
      </c>
      <c r="O31" s="75"/>
      <c r="P31" s="76"/>
      <c r="Q31" s="76"/>
      <c r="R31" s="106"/>
      <c r="S31" s="48">
        <v>0</v>
      </c>
      <c r="T31" s="48">
        <v>20</v>
      </c>
      <c r="U31" s="49">
        <v>22417</v>
      </c>
      <c r="V31" s="49">
        <v>0.19643</v>
      </c>
      <c r="W31" s="107"/>
      <c r="X31" s="50"/>
      <c r="Y31" s="50"/>
      <c r="Z31" s="49">
        <v>0</v>
      </c>
      <c r="AA31" s="71">
        <v>31</v>
      </c>
      <c r="AB31" s="71"/>
      <c r="AC31" s="72"/>
      <c r="AD31" s="79" t="s">
        <v>656</v>
      </c>
      <c r="AE31" s="79"/>
      <c r="AF31" s="79" t="s">
        <v>1317</v>
      </c>
      <c r="AG31" s="79" t="s">
        <v>1523</v>
      </c>
      <c r="AH31" s="79" t="s">
        <v>1712</v>
      </c>
      <c r="AI31" s="79">
        <v>9037</v>
      </c>
      <c r="AJ31" s="79">
        <v>5</v>
      </c>
      <c r="AK31" s="79">
        <v>117</v>
      </c>
      <c r="AL31" s="79">
        <v>0</v>
      </c>
      <c r="AM31" s="79" t="s">
        <v>2092</v>
      </c>
      <c r="AN31" s="114" t="str">
        <f>HYPERLINK("https://www.youtube.com/watch?v=qTHy6yu1ffY")</f>
        <v>https://www.youtube.com/watch?v=qTHy6yu1ffY</v>
      </c>
      <c r="AO31" s="78" t="str">
        <f>REPLACE(INDEX(GroupVertices[Group],MATCH(Vertices[[#This Row],[Vertex]],GroupVertices[Vertex],0)),1,1,"")</f>
        <v>mpireum</v>
      </c>
      <c r="AP31" s="2"/>
      <c r="AQ31" s="3"/>
      <c r="AR31" s="3"/>
      <c r="AS31" s="3"/>
      <c r="AT31" s="3"/>
    </row>
    <row r="32" spans="1:46" ht="15">
      <c r="A32" s="64" t="s">
        <v>230</v>
      </c>
      <c r="B32" s="65"/>
      <c r="C32" s="65"/>
      <c r="D32" s="66">
        <v>150</v>
      </c>
      <c r="E32" s="102">
        <v>100</v>
      </c>
      <c r="F32" s="98" t="str">
        <f>HYPERLINK("https://i.ytimg.com/vi/sGJbL0sA9t0/default.jpg")</f>
        <v>https://i.ytimg.com/vi/sGJbL0sA9t0/default.jpg</v>
      </c>
      <c r="G32" s="100"/>
      <c r="H32" s="69" t="s">
        <v>869</v>
      </c>
      <c r="I32" s="70"/>
      <c r="J32" s="104" t="s">
        <v>75</v>
      </c>
      <c r="K32" s="69" t="s">
        <v>869</v>
      </c>
      <c r="L32" s="105">
        <v>693.8545474734847</v>
      </c>
      <c r="M32" s="74">
        <v>1207.2261962890625</v>
      </c>
      <c r="N32" s="74">
        <v>5305.19677734375</v>
      </c>
      <c r="O32" s="75"/>
      <c r="P32" s="76"/>
      <c r="Q32" s="76"/>
      <c r="R32" s="106"/>
      <c r="S32" s="48">
        <v>0</v>
      </c>
      <c r="T32" s="48">
        <v>19</v>
      </c>
      <c r="U32" s="49">
        <v>9678.233766</v>
      </c>
      <c r="V32" s="49">
        <v>0.139619</v>
      </c>
      <c r="W32" s="107"/>
      <c r="X32" s="50"/>
      <c r="Y32" s="50"/>
      <c r="Z32" s="49">
        <v>0</v>
      </c>
      <c r="AA32" s="71">
        <v>32</v>
      </c>
      <c r="AB32" s="71"/>
      <c r="AC32" s="72"/>
      <c r="AD32" s="79" t="s">
        <v>869</v>
      </c>
      <c r="AE32" s="79"/>
      <c r="AF32" s="79"/>
      <c r="AG32" s="79" t="s">
        <v>1623</v>
      </c>
      <c r="AH32" s="79" t="s">
        <v>1925</v>
      </c>
      <c r="AI32" s="79">
        <v>106</v>
      </c>
      <c r="AJ32" s="79">
        <v>0</v>
      </c>
      <c r="AK32" s="79">
        <v>2</v>
      </c>
      <c r="AL32" s="79">
        <v>0</v>
      </c>
      <c r="AM32" s="79" t="s">
        <v>2092</v>
      </c>
      <c r="AN32" s="114" t="str">
        <f>HYPERLINK("https://www.youtube.com/watch?v=sGJbL0sA9t0")</f>
        <v>https://www.youtube.com/watch?v=sGJbL0sA9t0</v>
      </c>
      <c r="AO32" s="78" t="str">
        <f>REPLACE(INDEX(GroupVertices[Group],MATCH(Vertices[[#This Row],[Vertex]],GroupVertices[Vertex],0)),1,1,"")</f>
        <v>len Killian</v>
      </c>
      <c r="AP32" s="2"/>
      <c r="AQ32" s="3"/>
      <c r="AR32" s="3"/>
      <c r="AS32" s="3"/>
      <c r="AT32" s="3"/>
    </row>
    <row r="33" spans="1:46" ht="15">
      <c r="A33" s="64" t="s">
        <v>216</v>
      </c>
      <c r="B33" s="65"/>
      <c r="C33" s="65"/>
      <c r="D33" s="66">
        <v>150</v>
      </c>
      <c r="E33" s="102">
        <v>100</v>
      </c>
      <c r="F33" s="98" t="str">
        <f>HYPERLINK("https://i.ytimg.com/vi/0YxNa8SnT-g/default.jpg")</f>
        <v>https://i.ytimg.com/vi/0YxNa8SnT-g/default.jpg</v>
      </c>
      <c r="G33" s="100"/>
      <c r="H33" s="69" t="s">
        <v>646</v>
      </c>
      <c r="I33" s="70"/>
      <c r="J33" s="104" t="s">
        <v>75</v>
      </c>
      <c r="K33" s="69" t="s">
        <v>646</v>
      </c>
      <c r="L33" s="105">
        <v>2020.012774892708</v>
      </c>
      <c r="M33" s="74">
        <v>1154.898681640625</v>
      </c>
      <c r="N33" s="74">
        <v>4115.728515625</v>
      </c>
      <c r="O33" s="75"/>
      <c r="P33" s="76"/>
      <c r="Q33" s="76"/>
      <c r="R33" s="106"/>
      <c r="S33" s="48">
        <v>0</v>
      </c>
      <c r="T33" s="48">
        <v>18</v>
      </c>
      <c r="U33" s="49">
        <v>28202.856838</v>
      </c>
      <c r="V33" s="49">
        <v>0.151079</v>
      </c>
      <c r="W33" s="107"/>
      <c r="X33" s="50"/>
      <c r="Y33" s="50"/>
      <c r="Z33" s="49">
        <v>0</v>
      </c>
      <c r="AA33" s="71">
        <v>33</v>
      </c>
      <c r="AB33" s="71"/>
      <c r="AC33" s="72"/>
      <c r="AD33" s="79" t="s">
        <v>646</v>
      </c>
      <c r="AE33" s="79" t="s">
        <v>1049</v>
      </c>
      <c r="AF33" s="79" t="s">
        <v>1311</v>
      </c>
      <c r="AG33" s="79" t="s">
        <v>1516</v>
      </c>
      <c r="AH33" s="79" t="s">
        <v>1702</v>
      </c>
      <c r="AI33" s="79">
        <v>78</v>
      </c>
      <c r="AJ33" s="79">
        <v>0</v>
      </c>
      <c r="AK33" s="79">
        <v>1</v>
      </c>
      <c r="AL33" s="79">
        <v>0</v>
      </c>
      <c r="AM33" s="79" t="s">
        <v>2092</v>
      </c>
      <c r="AN33" s="114" t="str">
        <f>HYPERLINK("https://www.youtube.com/watch?v=0YxNa8SnT-g")</f>
        <v>https://www.youtube.com/watch?v=0YxNa8SnT-g</v>
      </c>
      <c r="AO33" s="78" t="str">
        <f>REPLACE(INDEX(GroupVertices[Group],MATCH(Vertices[[#This Row],[Vertex]],GroupVertices[Vertex],0)),1,1,"")</f>
        <v>otcaster bot</v>
      </c>
      <c r="AP33" s="2"/>
      <c r="AQ33" s="3"/>
      <c r="AR33" s="3"/>
      <c r="AS33" s="3"/>
      <c r="AT33" s="3"/>
    </row>
    <row r="34" spans="1:46" ht="15">
      <c r="A34" s="64" t="s">
        <v>232</v>
      </c>
      <c r="B34" s="65"/>
      <c r="C34" s="65"/>
      <c r="D34" s="66">
        <v>150</v>
      </c>
      <c r="E34" s="102">
        <v>100</v>
      </c>
      <c r="F34" s="98" t="str">
        <f>HYPERLINK("https://i.ytimg.com/vi/yaVwQWw8LHs/default.jpg")</f>
        <v>https://i.ytimg.com/vi/yaVwQWw8LHs/default.jpg</v>
      </c>
      <c r="G34" s="100"/>
      <c r="H34" s="69" t="s">
        <v>889</v>
      </c>
      <c r="I34" s="70"/>
      <c r="J34" s="104" t="s">
        <v>75</v>
      </c>
      <c r="K34" s="69" t="s">
        <v>889</v>
      </c>
      <c r="L34" s="105">
        <v>692.2014936526367</v>
      </c>
      <c r="M34" s="74">
        <v>770.8159790039062</v>
      </c>
      <c r="N34" s="74">
        <v>4792.59619140625</v>
      </c>
      <c r="O34" s="75"/>
      <c r="P34" s="76"/>
      <c r="Q34" s="76"/>
      <c r="R34" s="106"/>
      <c r="S34" s="48">
        <v>0</v>
      </c>
      <c r="T34" s="48">
        <v>18</v>
      </c>
      <c r="U34" s="49">
        <v>9655.142857</v>
      </c>
      <c r="V34" s="49">
        <v>0.139547</v>
      </c>
      <c r="W34" s="107"/>
      <c r="X34" s="50"/>
      <c r="Y34" s="50"/>
      <c r="Z34" s="49">
        <v>0</v>
      </c>
      <c r="AA34" s="71">
        <v>34</v>
      </c>
      <c r="AB34" s="71"/>
      <c r="AC34" s="72"/>
      <c r="AD34" s="79" t="s">
        <v>889</v>
      </c>
      <c r="AE34" s="79"/>
      <c r="AF34" s="79"/>
      <c r="AG34" s="79" t="s">
        <v>1639</v>
      </c>
      <c r="AH34" s="79" t="s">
        <v>1945</v>
      </c>
      <c r="AI34" s="79">
        <v>7</v>
      </c>
      <c r="AJ34" s="79">
        <v>0</v>
      </c>
      <c r="AK34" s="79">
        <v>0</v>
      </c>
      <c r="AL34" s="79">
        <v>0</v>
      </c>
      <c r="AM34" s="79" t="s">
        <v>2092</v>
      </c>
      <c r="AN34" s="114" t="str">
        <f>HYPERLINK("https://www.youtube.com/watch?v=yaVwQWw8LHs")</f>
        <v>https://www.youtube.com/watch?v=yaVwQWw8LHs</v>
      </c>
      <c r="AO34" s="78" t="str">
        <f>REPLACE(INDEX(GroupVertices[Group],MATCH(Vertices[[#This Row],[Vertex]],GroupVertices[Vertex],0)),1,1,"")</f>
        <v>ainford Kofi Amponsah</v>
      </c>
      <c r="AP34" s="2"/>
      <c r="AQ34" s="3"/>
      <c r="AR34" s="3"/>
      <c r="AS34" s="3"/>
      <c r="AT34" s="3"/>
    </row>
    <row r="35" spans="1:46" ht="15">
      <c r="A35" s="64" t="s">
        <v>204</v>
      </c>
      <c r="B35" s="65"/>
      <c r="C35" s="65"/>
      <c r="D35" s="66">
        <v>150</v>
      </c>
      <c r="E35" s="102">
        <v>100</v>
      </c>
      <c r="F35" s="98" t="str">
        <f>HYPERLINK("https://i.ytimg.com/vi/E3ZnDpJBvtM/default.jpg")</f>
        <v>https://i.ytimg.com/vi/E3ZnDpJBvtM/default.jpg</v>
      </c>
      <c r="G35" s="100"/>
      <c r="H35" s="69" t="s">
        <v>721</v>
      </c>
      <c r="I35" s="70"/>
      <c r="J35" s="104" t="s">
        <v>75</v>
      </c>
      <c r="K35" s="69" t="s">
        <v>721</v>
      </c>
      <c r="L35" s="105">
        <v>20.472193115942538</v>
      </c>
      <c r="M35" s="74">
        <v>8299.275390625</v>
      </c>
      <c r="N35" s="74">
        <v>2831.85888671875</v>
      </c>
      <c r="O35" s="75"/>
      <c r="P35" s="76"/>
      <c r="Q35" s="76"/>
      <c r="R35" s="106"/>
      <c r="S35" s="48">
        <v>0</v>
      </c>
      <c r="T35" s="48">
        <v>17</v>
      </c>
      <c r="U35" s="49">
        <v>272</v>
      </c>
      <c r="V35" s="49">
        <v>0.019101</v>
      </c>
      <c r="W35" s="107"/>
      <c r="X35" s="50"/>
      <c r="Y35" s="50"/>
      <c r="Z35" s="49">
        <v>0</v>
      </c>
      <c r="AA35" s="71">
        <v>35</v>
      </c>
      <c r="AB35" s="71"/>
      <c r="AC35" s="72"/>
      <c r="AD35" s="79" t="s">
        <v>721</v>
      </c>
      <c r="AE35" s="79" t="s">
        <v>1084</v>
      </c>
      <c r="AF35" s="79"/>
      <c r="AG35" s="79" t="s">
        <v>1565</v>
      </c>
      <c r="AH35" s="79" t="s">
        <v>1776</v>
      </c>
      <c r="AI35" s="79">
        <v>441</v>
      </c>
      <c r="AJ35" s="79">
        <v>0</v>
      </c>
      <c r="AK35" s="79">
        <v>4</v>
      </c>
      <c r="AL35" s="79">
        <v>0</v>
      </c>
      <c r="AM35" s="79" t="s">
        <v>2092</v>
      </c>
      <c r="AN35" s="114" t="str">
        <f>HYPERLINK("https://www.youtube.com/watch?v=E3ZnDpJBvtM")</f>
        <v>https://www.youtube.com/watch?v=E3ZnDpJBvtM</v>
      </c>
      <c r="AO35" s="78" t="str">
        <f>REPLACE(INDEX(GroupVertices[Group],MATCH(Vertices[[#This Row],[Vertex]],GroupVertices[Vertex],0)),1,1,"")</f>
        <v>chool of Psychology by Sakshi Kohli</v>
      </c>
      <c r="AP35" s="2"/>
      <c r="AQ35" s="3"/>
      <c r="AR35" s="3"/>
      <c r="AS35" s="3"/>
      <c r="AT35" s="3"/>
    </row>
    <row r="36" spans="1:46" ht="15">
      <c r="A36" s="64" t="s">
        <v>202</v>
      </c>
      <c r="B36" s="65"/>
      <c r="C36" s="65"/>
      <c r="D36" s="66">
        <v>150</v>
      </c>
      <c r="E36" s="102">
        <v>97.85714285714286</v>
      </c>
      <c r="F36" s="98" t="str">
        <f>HYPERLINK("https://i.ytimg.com/vi/a9vvM16zP-4/default.jpg")</f>
        <v>https://i.ytimg.com/vi/a9vvM16zP-4/default.jpg</v>
      </c>
      <c r="G36" s="100"/>
      <c r="H36" s="69" t="s">
        <v>713</v>
      </c>
      <c r="I36" s="70"/>
      <c r="J36" s="104" t="s">
        <v>75</v>
      </c>
      <c r="K36" s="69" t="s">
        <v>713</v>
      </c>
      <c r="L36" s="105">
        <v>857.438779115675</v>
      </c>
      <c r="M36" s="74">
        <v>4922.63916015625</v>
      </c>
      <c r="N36" s="74">
        <v>4428.9775390625</v>
      </c>
      <c r="O36" s="75"/>
      <c r="P36" s="76"/>
      <c r="Q36" s="76"/>
      <c r="R36" s="106"/>
      <c r="S36" s="48">
        <v>1</v>
      </c>
      <c r="T36" s="48">
        <v>17</v>
      </c>
      <c r="U36" s="49">
        <v>11963.28254</v>
      </c>
      <c r="V36" s="49">
        <v>0.120931</v>
      </c>
      <c r="W36" s="107"/>
      <c r="X36" s="50"/>
      <c r="Y36" s="50"/>
      <c r="Z36" s="49">
        <v>0</v>
      </c>
      <c r="AA36" s="71">
        <v>36</v>
      </c>
      <c r="AB36" s="71"/>
      <c r="AC36" s="72"/>
      <c r="AD36" s="79" t="s">
        <v>713</v>
      </c>
      <c r="AE36" s="79" t="s">
        <v>1077</v>
      </c>
      <c r="AF36" s="79" t="s">
        <v>1350</v>
      </c>
      <c r="AG36" s="79" t="s">
        <v>1562</v>
      </c>
      <c r="AH36" s="79" t="s">
        <v>1768</v>
      </c>
      <c r="AI36" s="79">
        <v>43</v>
      </c>
      <c r="AJ36" s="79">
        <v>0</v>
      </c>
      <c r="AK36" s="79">
        <v>0</v>
      </c>
      <c r="AL36" s="79">
        <v>0</v>
      </c>
      <c r="AM36" s="79" t="s">
        <v>2092</v>
      </c>
      <c r="AN36" s="114" t="str">
        <f>HYPERLINK("https://www.youtube.com/watch?v=a9vvM16zP-4")</f>
        <v>https://www.youtube.com/watch?v=a9vvM16zP-4</v>
      </c>
      <c r="AO36" s="78" t="str">
        <f>REPLACE(INDEX(GroupVertices[Group],MATCH(Vertices[[#This Row],[Vertex]],GroupVertices[Vertex],0)),1,1,"")</f>
        <v>nlineCEUCredit</v>
      </c>
      <c r="AP36" s="2"/>
      <c r="AQ36" s="3"/>
      <c r="AR36" s="3"/>
      <c r="AS36" s="3"/>
      <c r="AT36" s="3"/>
    </row>
    <row r="37" spans="1:46" ht="15">
      <c r="A37" s="64" t="s">
        <v>221</v>
      </c>
      <c r="B37" s="65"/>
      <c r="C37" s="65"/>
      <c r="D37" s="66">
        <v>150</v>
      </c>
      <c r="E37" s="102">
        <v>97.85714285714286</v>
      </c>
      <c r="F37" s="98" t="str">
        <f>HYPERLINK("https://i.ytimg.com/vi/RjRS4e-l18I/default.jpg")</f>
        <v>https://i.ytimg.com/vi/RjRS4e-l18I/default.jpg</v>
      </c>
      <c r="G37" s="100"/>
      <c r="H37" s="69" t="s">
        <v>825</v>
      </c>
      <c r="I37" s="70"/>
      <c r="J37" s="104" t="s">
        <v>75</v>
      </c>
      <c r="K37" s="69" t="s">
        <v>825</v>
      </c>
      <c r="L37" s="105">
        <v>3.5339472734240727</v>
      </c>
      <c r="M37" s="74">
        <v>5096.86328125</v>
      </c>
      <c r="N37" s="74">
        <v>4365.82373046875</v>
      </c>
      <c r="O37" s="75"/>
      <c r="P37" s="76"/>
      <c r="Q37" s="76"/>
      <c r="R37" s="106"/>
      <c r="S37" s="48">
        <v>1</v>
      </c>
      <c r="T37" s="48">
        <v>17</v>
      </c>
      <c r="U37" s="49">
        <v>35.39579</v>
      </c>
      <c r="V37" s="49">
        <v>0.105387</v>
      </c>
      <c r="W37" s="107"/>
      <c r="X37" s="50"/>
      <c r="Y37" s="50"/>
      <c r="Z37" s="49">
        <v>0</v>
      </c>
      <c r="AA37" s="71">
        <v>37</v>
      </c>
      <c r="AB37" s="71"/>
      <c r="AC37" s="72"/>
      <c r="AD37" s="79" t="s">
        <v>825</v>
      </c>
      <c r="AE37" s="79" t="s">
        <v>1153</v>
      </c>
      <c r="AF37" s="79" t="s">
        <v>1393</v>
      </c>
      <c r="AG37" s="79" t="s">
        <v>1562</v>
      </c>
      <c r="AH37" s="79" t="s">
        <v>1881</v>
      </c>
      <c r="AI37" s="79">
        <v>148</v>
      </c>
      <c r="AJ37" s="79">
        <v>0</v>
      </c>
      <c r="AK37" s="79">
        <v>0</v>
      </c>
      <c r="AL37" s="79">
        <v>0</v>
      </c>
      <c r="AM37" s="79" t="s">
        <v>2092</v>
      </c>
      <c r="AN37" s="114" t="str">
        <f>HYPERLINK("https://www.youtube.com/watch?v=RjRS4e-l18I")</f>
        <v>https://www.youtube.com/watch?v=RjRS4e-l18I</v>
      </c>
      <c r="AO37" s="78" t="str">
        <f>REPLACE(INDEX(GroupVertices[Group],MATCH(Vertices[[#This Row],[Vertex]],GroupVertices[Vertex],0)),1,1,"")</f>
        <v>nlineCEUCredit</v>
      </c>
      <c r="AP37" s="2"/>
      <c r="AQ37" s="3"/>
      <c r="AR37" s="3"/>
      <c r="AS37" s="3"/>
      <c r="AT37" s="3"/>
    </row>
    <row r="38" spans="1:46" ht="15">
      <c r="A38" s="64" t="s">
        <v>222</v>
      </c>
      <c r="B38" s="65"/>
      <c r="C38" s="65"/>
      <c r="D38" s="66">
        <v>150</v>
      </c>
      <c r="E38" s="102">
        <v>97.85714285714286</v>
      </c>
      <c r="F38" s="98" t="str">
        <f>HYPERLINK("https://i.ytimg.com/vi/nheoNBGTiuk/default.jpg")</f>
        <v>https://i.ytimg.com/vi/nheoNBGTiuk/default.jpg</v>
      </c>
      <c r="G38" s="100"/>
      <c r="H38" s="69" t="s">
        <v>826</v>
      </c>
      <c r="I38" s="70"/>
      <c r="J38" s="104" t="s">
        <v>75</v>
      </c>
      <c r="K38" s="69" t="s">
        <v>826</v>
      </c>
      <c r="L38" s="105">
        <v>4.061305377510726</v>
      </c>
      <c r="M38" s="74">
        <v>4954.05615234375</v>
      </c>
      <c r="N38" s="74">
        <v>4600.46142578125</v>
      </c>
      <c r="O38" s="75"/>
      <c r="P38" s="76"/>
      <c r="Q38" s="76"/>
      <c r="R38" s="106"/>
      <c r="S38" s="48">
        <v>1</v>
      </c>
      <c r="T38" s="48">
        <v>17</v>
      </c>
      <c r="U38" s="49">
        <v>42.762264</v>
      </c>
      <c r="V38" s="49">
        <v>0.105326</v>
      </c>
      <c r="W38" s="107"/>
      <c r="X38" s="50"/>
      <c r="Y38" s="50"/>
      <c r="Z38" s="49">
        <v>0</v>
      </c>
      <c r="AA38" s="71">
        <v>38</v>
      </c>
      <c r="AB38" s="71"/>
      <c r="AC38" s="72"/>
      <c r="AD38" s="79" t="s">
        <v>826</v>
      </c>
      <c r="AE38" s="79" t="s">
        <v>1154</v>
      </c>
      <c r="AF38" s="79" t="s">
        <v>1394</v>
      </c>
      <c r="AG38" s="79" t="s">
        <v>1562</v>
      </c>
      <c r="AH38" s="79" t="s">
        <v>1882</v>
      </c>
      <c r="AI38" s="79">
        <v>92</v>
      </c>
      <c r="AJ38" s="79">
        <v>0</v>
      </c>
      <c r="AK38" s="79">
        <v>0</v>
      </c>
      <c r="AL38" s="79">
        <v>0</v>
      </c>
      <c r="AM38" s="79" t="s">
        <v>2092</v>
      </c>
      <c r="AN38" s="114" t="str">
        <f>HYPERLINK("https://www.youtube.com/watch?v=nheoNBGTiuk")</f>
        <v>https://www.youtube.com/watch?v=nheoNBGTiuk</v>
      </c>
      <c r="AO38" s="78" t="str">
        <f>REPLACE(INDEX(GroupVertices[Group],MATCH(Vertices[[#This Row],[Vertex]],GroupVertices[Vertex],0)),1,1,"")</f>
        <v>nlineCEUCredit</v>
      </c>
      <c r="AP38" s="2"/>
      <c r="AQ38" s="3"/>
      <c r="AR38" s="3"/>
      <c r="AS38" s="3"/>
      <c r="AT38" s="3"/>
    </row>
    <row r="39" spans="1:46" ht="15">
      <c r="A39" s="64" t="s">
        <v>223</v>
      </c>
      <c r="B39" s="65"/>
      <c r="C39" s="65"/>
      <c r="D39" s="66">
        <v>150</v>
      </c>
      <c r="E39" s="102">
        <v>100</v>
      </c>
      <c r="F39" s="98" t="str">
        <f>HYPERLINK("https://i.ytimg.com/vi/uDO-5UeCEas/default.jpg")</f>
        <v>https://i.ytimg.com/vi/uDO-5UeCEas/default.jpg</v>
      </c>
      <c r="G39" s="100"/>
      <c r="H39" s="69" t="s">
        <v>827</v>
      </c>
      <c r="I39" s="70"/>
      <c r="J39" s="104" t="s">
        <v>75</v>
      </c>
      <c r="K39" s="69" t="s">
        <v>827</v>
      </c>
      <c r="L39" s="105">
        <v>398.335381360945</v>
      </c>
      <c r="M39" s="74">
        <v>1479.73095703125</v>
      </c>
      <c r="N39" s="74">
        <v>5247.89404296875</v>
      </c>
      <c r="O39" s="75"/>
      <c r="P39" s="76"/>
      <c r="Q39" s="76"/>
      <c r="R39" s="106"/>
      <c r="S39" s="48">
        <v>0</v>
      </c>
      <c r="T39" s="48">
        <v>16</v>
      </c>
      <c r="U39" s="49">
        <v>5550.233766</v>
      </c>
      <c r="V39" s="49">
        <v>0.139403</v>
      </c>
      <c r="W39" s="107"/>
      <c r="X39" s="50"/>
      <c r="Y39" s="50"/>
      <c r="Z39" s="49">
        <v>0</v>
      </c>
      <c r="AA39" s="71">
        <v>39</v>
      </c>
      <c r="AB39" s="71"/>
      <c r="AC39" s="72"/>
      <c r="AD39" s="79" t="s">
        <v>827</v>
      </c>
      <c r="AE39" s="79" t="s">
        <v>1155</v>
      </c>
      <c r="AF39" s="79"/>
      <c r="AG39" s="79" t="s">
        <v>1606</v>
      </c>
      <c r="AH39" s="79" t="s">
        <v>1883</v>
      </c>
      <c r="AI39" s="79">
        <v>58</v>
      </c>
      <c r="AJ39" s="79">
        <v>0</v>
      </c>
      <c r="AK39" s="79">
        <v>2</v>
      </c>
      <c r="AL39" s="79">
        <v>0</v>
      </c>
      <c r="AM39" s="79" t="s">
        <v>2092</v>
      </c>
      <c r="AN39" s="114" t="str">
        <f>HYPERLINK("https://www.youtube.com/watch?v=uDO-5UeCEas")</f>
        <v>https://www.youtube.com/watch?v=uDO-5UeCEas</v>
      </c>
      <c r="AO39" s="78" t="str">
        <f>REPLACE(INDEX(GroupVertices[Group],MATCH(Vertices[[#This Row],[Vertex]],GroupVertices[Vertex],0)),1,1,"")</f>
        <v>amily Trauma Solutions with Dr. Scott Sells</v>
      </c>
      <c r="AP39" s="2"/>
      <c r="AQ39" s="3"/>
      <c r="AR39" s="3"/>
      <c r="AS39" s="3"/>
      <c r="AT39" s="3"/>
    </row>
    <row r="40" spans="1:46" ht="15">
      <c r="A40" s="64" t="s">
        <v>237</v>
      </c>
      <c r="B40" s="65"/>
      <c r="C40" s="65"/>
      <c r="D40" s="66">
        <v>150</v>
      </c>
      <c r="E40" s="102">
        <v>100</v>
      </c>
      <c r="F40" s="98" t="str">
        <f>HYPERLINK("https://i.ytimg.com/vi/eBkAL2C14R0/default.jpg")</f>
        <v>https://i.ytimg.com/vi/eBkAL2C14R0/default.jpg</v>
      </c>
      <c r="G40" s="100"/>
      <c r="H40" s="69" t="s">
        <v>719</v>
      </c>
      <c r="I40" s="70"/>
      <c r="J40" s="104" t="s">
        <v>75</v>
      </c>
      <c r="K40" s="69" t="s">
        <v>719</v>
      </c>
      <c r="L40" s="105">
        <v>398.335381360945</v>
      </c>
      <c r="M40" s="74">
        <v>1682.9249267578125</v>
      </c>
      <c r="N40" s="74">
        <v>4265.296875</v>
      </c>
      <c r="O40" s="75"/>
      <c r="P40" s="76"/>
      <c r="Q40" s="76"/>
      <c r="R40" s="106"/>
      <c r="S40" s="48">
        <v>0</v>
      </c>
      <c r="T40" s="48">
        <v>16</v>
      </c>
      <c r="U40" s="49">
        <v>5550.233766</v>
      </c>
      <c r="V40" s="49">
        <v>0.139403</v>
      </c>
      <c r="W40" s="107"/>
      <c r="X40" s="50"/>
      <c r="Y40" s="50"/>
      <c r="Z40" s="49">
        <v>0</v>
      </c>
      <c r="AA40" s="71">
        <v>40</v>
      </c>
      <c r="AB40" s="71"/>
      <c r="AC40" s="72"/>
      <c r="AD40" s="79" t="s">
        <v>719</v>
      </c>
      <c r="AE40" s="79"/>
      <c r="AF40" s="79"/>
      <c r="AG40" s="79" t="s">
        <v>1564</v>
      </c>
      <c r="AH40" s="79" t="s">
        <v>1774</v>
      </c>
      <c r="AI40" s="79">
        <v>5981</v>
      </c>
      <c r="AJ40" s="79">
        <v>2</v>
      </c>
      <c r="AK40" s="79">
        <v>58</v>
      </c>
      <c r="AL40" s="79">
        <v>0</v>
      </c>
      <c r="AM40" s="79" t="s">
        <v>2092</v>
      </c>
      <c r="AN40" s="114" t="str">
        <f>HYPERLINK("https://www.youtube.com/watch?v=eBkAL2C14R0")</f>
        <v>https://www.youtube.com/watch?v=eBkAL2C14R0</v>
      </c>
      <c r="AO40" s="78" t="str">
        <f>REPLACE(INDEX(GroupVertices[Group],MATCH(Vertices[[#This Row],[Vertex]],GroupVertices[Vertex],0)),1,1,"")</f>
        <v>ennessey Lustica</v>
      </c>
      <c r="AP40" s="2"/>
      <c r="AQ40" s="3"/>
      <c r="AR40" s="3"/>
      <c r="AS40" s="3"/>
      <c r="AT40" s="3"/>
    </row>
    <row r="41" spans="1:46" ht="15">
      <c r="A41" s="64" t="s">
        <v>227</v>
      </c>
      <c r="B41" s="65"/>
      <c r="C41" s="65"/>
      <c r="D41" s="66">
        <v>150</v>
      </c>
      <c r="E41" s="102">
        <v>100</v>
      </c>
      <c r="F41" s="98" t="str">
        <f>HYPERLINK("https://i.ytimg.com/vi/ZLEyyR4IR6A/default.jpg")</f>
        <v>https://i.ytimg.com/vi/ZLEyyR4IR6A/default.jpg</v>
      </c>
      <c r="G41" s="100"/>
      <c r="H41" s="69" t="s">
        <v>849</v>
      </c>
      <c r="I41" s="70"/>
      <c r="J41" s="104" t="s">
        <v>75</v>
      </c>
      <c r="K41" s="69" t="s">
        <v>849</v>
      </c>
      <c r="L41" s="105">
        <v>16.033678508632107</v>
      </c>
      <c r="M41" s="74">
        <v>9423.40234375</v>
      </c>
      <c r="N41" s="74">
        <v>2804.36572265625</v>
      </c>
      <c r="O41" s="75"/>
      <c r="P41" s="76"/>
      <c r="Q41" s="76"/>
      <c r="R41" s="106"/>
      <c r="S41" s="48">
        <v>0</v>
      </c>
      <c r="T41" s="48">
        <v>15</v>
      </c>
      <c r="U41" s="49">
        <v>210</v>
      </c>
      <c r="V41" s="49">
        <v>0.016854</v>
      </c>
      <c r="W41" s="107"/>
      <c r="X41" s="50"/>
      <c r="Y41" s="50"/>
      <c r="Z41" s="49">
        <v>0</v>
      </c>
      <c r="AA41" s="71">
        <v>41</v>
      </c>
      <c r="AB41" s="71"/>
      <c r="AC41" s="72"/>
      <c r="AD41" s="79" t="s">
        <v>849</v>
      </c>
      <c r="AE41" s="79" t="s">
        <v>1172</v>
      </c>
      <c r="AF41" s="79"/>
      <c r="AG41" s="79" t="s">
        <v>1610</v>
      </c>
      <c r="AH41" s="79" t="s">
        <v>1905</v>
      </c>
      <c r="AI41" s="79">
        <v>252</v>
      </c>
      <c r="AJ41" s="79">
        <v>0</v>
      </c>
      <c r="AK41" s="79">
        <v>3</v>
      </c>
      <c r="AL41" s="79">
        <v>0</v>
      </c>
      <c r="AM41" s="79" t="s">
        <v>2092</v>
      </c>
      <c r="AN41" s="114" t="str">
        <f>HYPERLINK("https://www.youtube.com/watch?v=ZLEyyR4IR6A")</f>
        <v>https://www.youtube.com/watch?v=ZLEyyR4IR6A</v>
      </c>
      <c r="AO41" s="78" t="str">
        <f>REPLACE(INDEX(GroupVertices[Group],MATCH(Vertices[[#This Row],[Vertex]],GroupVertices[Vertex],0)),1,1,"")</f>
        <v>SS Learning</v>
      </c>
      <c r="AP41" s="2"/>
      <c r="AQ41" s="3"/>
      <c r="AR41" s="3"/>
      <c r="AS41" s="3"/>
      <c r="AT41" s="3"/>
    </row>
    <row r="42" spans="1:46" ht="15">
      <c r="A42" s="64" t="s">
        <v>241</v>
      </c>
      <c r="B42" s="65"/>
      <c r="C42" s="65"/>
      <c r="D42" s="66">
        <v>150</v>
      </c>
      <c r="E42" s="102">
        <v>100</v>
      </c>
      <c r="F42" s="98" t="str">
        <f>HYPERLINK("https://i.ytimg.com/vi/gVILmwjLEAA/default.jpg")</f>
        <v>https://i.ytimg.com/vi/gVILmwjLEAA/default.jpg</v>
      </c>
      <c r="G42" s="100"/>
      <c r="H42" s="69" t="s">
        <v>667</v>
      </c>
      <c r="I42" s="70"/>
      <c r="J42" s="104" t="s">
        <v>75</v>
      </c>
      <c r="K42" s="69" t="s">
        <v>667</v>
      </c>
      <c r="L42" s="105">
        <v>3597.449086083534</v>
      </c>
      <c r="M42" s="74">
        <v>9454.30859375</v>
      </c>
      <c r="N42" s="74">
        <v>9063.4990234375</v>
      </c>
      <c r="O42" s="75"/>
      <c r="P42" s="76"/>
      <c r="Q42" s="76"/>
      <c r="R42" s="106"/>
      <c r="S42" s="48">
        <v>0</v>
      </c>
      <c r="T42" s="48">
        <v>15</v>
      </c>
      <c r="U42" s="49">
        <v>50237.492284</v>
      </c>
      <c r="V42" s="49">
        <v>0.168587</v>
      </c>
      <c r="W42" s="107"/>
      <c r="X42" s="50"/>
      <c r="Y42" s="50"/>
      <c r="Z42" s="49">
        <v>0</v>
      </c>
      <c r="AA42" s="71">
        <v>42</v>
      </c>
      <c r="AB42" s="71"/>
      <c r="AC42" s="72"/>
      <c r="AD42" s="79" t="s">
        <v>667</v>
      </c>
      <c r="AE42" s="79" t="s">
        <v>1103</v>
      </c>
      <c r="AF42" s="79" t="s">
        <v>1355</v>
      </c>
      <c r="AG42" s="79" t="s">
        <v>1568</v>
      </c>
      <c r="AH42" s="79" t="s">
        <v>1798</v>
      </c>
      <c r="AI42" s="79">
        <v>18086</v>
      </c>
      <c r="AJ42" s="79">
        <v>5</v>
      </c>
      <c r="AK42" s="79">
        <v>110</v>
      </c>
      <c r="AL42" s="79">
        <v>0</v>
      </c>
      <c r="AM42" s="79" t="s">
        <v>2092</v>
      </c>
      <c r="AN42" s="114" t="str">
        <f>HYPERLINK("https://www.youtube.com/watch?v=gVILmwjLEAA")</f>
        <v>https://www.youtube.com/watch?v=gVILmwjLEAA</v>
      </c>
      <c r="AO42" s="78" t="str">
        <f>REPLACE(INDEX(GroupVertices[Group],MATCH(Vertices[[#This Row],[Vertex]],GroupVertices[Vertex],0)),1,1,"")</f>
        <v>ichael</v>
      </c>
      <c r="AP42" s="2"/>
      <c r="AQ42" s="3"/>
      <c r="AR42" s="3"/>
      <c r="AS42" s="3"/>
      <c r="AT42" s="3"/>
    </row>
    <row r="43" spans="1:46" ht="15">
      <c r="A43" s="64" t="s">
        <v>200</v>
      </c>
      <c r="B43" s="65"/>
      <c r="C43" s="65"/>
      <c r="D43" s="66">
        <v>150</v>
      </c>
      <c r="E43" s="102">
        <v>100</v>
      </c>
      <c r="F43" s="98" t="str">
        <f>HYPERLINK("https://i.ytimg.com/vi/eRYYarKw7I4/default.jpg")</f>
        <v>https://i.ytimg.com/vi/eRYYarKw7I4/default.jpg</v>
      </c>
      <c r="G43" s="100"/>
      <c r="H43" s="69" t="s">
        <v>649</v>
      </c>
      <c r="I43" s="70"/>
      <c r="J43" s="104" t="s">
        <v>75</v>
      </c>
      <c r="K43" s="69" t="s">
        <v>649</v>
      </c>
      <c r="L43" s="105">
        <v>200.60671449979316</v>
      </c>
      <c r="M43" s="74">
        <v>1573.6761474609375</v>
      </c>
      <c r="N43" s="74">
        <v>5090.41748046875</v>
      </c>
      <c r="O43" s="75"/>
      <c r="P43" s="76"/>
      <c r="Q43" s="76"/>
      <c r="R43" s="106"/>
      <c r="S43" s="48">
        <v>0</v>
      </c>
      <c r="T43" s="48">
        <v>14</v>
      </c>
      <c r="U43" s="49">
        <v>2788.233766</v>
      </c>
      <c r="V43" s="49">
        <v>0.13926</v>
      </c>
      <c r="W43" s="107"/>
      <c r="X43" s="50"/>
      <c r="Y43" s="50"/>
      <c r="Z43" s="49">
        <v>0</v>
      </c>
      <c r="AA43" s="71">
        <v>43</v>
      </c>
      <c r="AB43" s="71"/>
      <c r="AC43" s="72"/>
      <c r="AD43" s="79" t="s">
        <v>649</v>
      </c>
      <c r="AE43" s="79"/>
      <c r="AF43" s="79"/>
      <c r="AG43" s="79" t="s">
        <v>1519</v>
      </c>
      <c r="AH43" s="79" t="s">
        <v>1705</v>
      </c>
      <c r="AI43" s="79">
        <v>56</v>
      </c>
      <c r="AJ43" s="79">
        <v>0</v>
      </c>
      <c r="AK43" s="79">
        <v>1</v>
      </c>
      <c r="AL43" s="79">
        <v>0</v>
      </c>
      <c r="AM43" s="79" t="s">
        <v>2092</v>
      </c>
      <c r="AN43" s="114" t="str">
        <f>HYPERLINK("https://www.youtube.com/watch?v=eRYYarKw7I4")</f>
        <v>https://www.youtube.com/watch?v=eRYYarKw7I4</v>
      </c>
      <c r="AO43" s="78" t="str">
        <f>REPLACE(INDEX(GroupVertices[Group],MATCH(Vertices[[#This Row],[Vertex]],GroupVertices[Vertex],0)),1,1,"")</f>
        <v>r. Charles F. Shepard</v>
      </c>
      <c r="AP43" s="2"/>
      <c r="AQ43" s="3"/>
      <c r="AR43" s="3"/>
      <c r="AS43" s="3"/>
      <c r="AT43" s="3"/>
    </row>
    <row r="44" spans="1:46" ht="15">
      <c r="A44" s="64" t="s">
        <v>205</v>
      </c>
      <c r="B44" s="65"/>
      <c r="C44" s="65"/>
      <c r="D44" s="66">
        <v>150</v>
      </c>
      <c r="E44" s="102">
        <v>97.85714285714286</v>
      </c>
      <c r="F44" s="98" t="str">
        <f>HYPERLINK("https://i.ytimg.com/vi/2LedAZUSnc8/default.jpg")</f>
        <v>https://i.ytimg.com/vi/2LedAZUSnc8/default.jpg</v>
      </c>
      <c r="G44" s="100"/>
      <c r="H44" s="69" t="s">
        <v>742</v>
      </c>
      <c r="I44" s="70"/>
      <c r="J44" s="104" t="s">
        <v>75</v>
      </c>
      <c r="K44" s="69" t="s">
        <v>742</v>
      </c>
      <c r="L44" s="105">
        <v>3035.3992113491186</v>
      </c>
      <c r="M44" s="74">
        <v>1460.7872314453125</v>
      </c>
      <c r="N44" s="74">
        <v>4317.75830078125</v>
      </c>
      <c r="O44" s="75"/>
      <c r="P44" s="76"/>
      <c r="Q44" s="76"/>
      <c r="R44" s="106"/>
      <c r="S44" s="48">
        <v>1</v>
      </c>
      <c r="T44" s="48">
        <v>14</v>
      </c>
      <c r="U44" s="49">
        <v>42386.421528</v>
      </c>
      <c r="V44" s="49">
        <v>0.141444</v>
      </c>
      <c r="W44" s="107"/>
      <c r="X44" s="50"/>
      <c r="Y44" s="50"/>
      <c r="Z44" s="49">
        <v>0</v>
      </c>
      <c r="AA44" s="71">
        <v>44</v>
      </c>
      <c r="AB44" s="71"/>
      <c r="AC44" s="72"/>
      <c r="AD44" s="79" t="s">
        <v>742</v>
      </c>
      <c r="AE44" s="79" t="s">
        <v>1102</v>
      </c>
      <c r="AF44" s="79" t="s">
        <v>1354</v>
      </c>
      <c r="AG44" s="79" t="s">
        <v>1562</v>
      </c>
      <c r="AH44" s="79" t="s">
        <v>1797</v>
      </c>
      <c r="AI44" s="79">
        <v>56</v>
      </c>
      <c r="AJ44" s="79">
        <v>0</v>
      </c>
      <c r="AK44" s="79">
        <v>0</v>
      </c>
      <c r="AL44" s="79">
        <v>0</v>
      </c>
      <c r="AM44" s="79" t="s">
        <v>2092</v>
      </c>
      <c r="AN44" s="114" t="str">
        <f>HYPERLINK("https://www.youtube.com/watch?v=2LedAZUSnc8")</f>
        <v>https://www.youtube.com/watch?v=2LedAZUSnc8</v>
      </c>
      <c r="AO44" s="78" t="str">
        <f>REPLACE(INDEX(GroupVertices[Group],MATCH(Vertices[[#This Row],[Vertex]],GroupVertices[Vertex],0)),1,1,"")</f>
        <v>nlineCEUCredit</v>
      </c>
      <c r="AP44" s="2"/>
      <c r="AQ44" s="3"/>
      <c r="AR44" s="3"/>
      <c r="AS44" s="3"/>
      <c r="AT44" s="3"/>
    </row>
    <row r="45" spans="1:46" ht="15">
      <c r="A45" s="64" t="s">
        <v>198</v>
      </c>
      <c r="B45" s="65"/>
      <c r="C45" s="65"/>
      <c r="D45" s="66">
        <v>150</v>
      </c>
      <c r="E45" s="102">
        <v>100</v>
      </c>
      <c r="F45" s="98" t="str">
        <f>HYPERLINK("https://i.ytimg.com/vi/gosAf_2vX5A/default.jpg")</f>
        <v>https://i.ytimg.com/vi/gosAf_2vX5A/default.jpg</v>
      </c>
      <c r="G45" s="100"/>
      <c r="H45" s="69" t="s">
        <v>645</v>
      </c>
      <c r="I45" s="70"/>
      <c r="J45" s="104" t="s">
        <v>75</v>
      </c>
      <c r="K45" s="69" t="s">
        <v>645</v>
      </c>
      <c r="L45" s="105">
        <v>101.52761423337967</v>
      </c>
      <c r="M45" s="74">
        <v>1557.4822998046875</v>
      </c>
      <c r="N45" s="74">
        <v>4937.58984375</v>
      </c>
      <c r="O45" s="75"/>
      <c r="P45" s="76"/>
      <c r="Q45" s="76"/>
      <c r="R45" s="106"/>
      <c r="S45" s="48">
        <v>0</v>
      </c>
      <c r="T45" s="48">
        <v>13</v>
      </c>
      <c r="U45" s="49">
        <v>1404.233766</v>
      </c>
      <c r="V45" s="49">
        <v>0.139188</v>
      </c>
      <c r="W45" s="107"/>
      <c r="X45" s="50"/>
      <c r="Y45" s="50"/>
      <c r="Z45" s="49">
        <v>0</v>
      </c>
      <c r="AA45" s="71">
        <v>45</v>
      </c>
      <c r="AB45" s="71"/>
      <c r="AC45" s="72"/>
      <c r="AD45" s="79" t="s">
        <v>645</v>
      </c>
      <c r="AE45" s="79"/>
      <c r="AF45" s="79"/>
      <c r="AG45" s="79" t="s">
        <v>1515</v>
      </c>
      <c r="AH45" s="79" t="s">
        <v>1701</v>
      </c>
      <c r="AI45" s="79">
        <v>60</v>
      </c>
      <c r="AJ45" s="79">
        <v>0</v>
      </c>
      <c r="AK45" s="79">
        <v>3</v>
      </c>
      <c r="AL45" s="79">
        <v>0</v>
      </c>
      <c r="AM45" s="79" t="s">
        <v>2092</v>
      </c>
      <c r="AN45" s="114" t="str">
        <f>HYPERLINK("https://www.youtube.com/watch?v=gosAf_2vX5A")</f>
        <v>https://www.youtube.com/watch?v=gosAf_2vX5A</v>
      </c>
      <c r="AO45" s="78" t="str">
        <f>REPLACE(INDEX(GroupVertices[Group],MATCH(Vertices[[#This Row],[Vertex]],GroupVertices[Vertex],0)),1,1,"")</f>
        <v>ealthy Morning On HSTV</v>
      </c>
      <c r="AP45" s="2"/>
      <c r="AQ45" s="3"/>
      <c r="AR45" s="3"/>
      <c r="AS45" s="3"/>
      <c r="AT45" s="3"/>
    </row>
    <row r="46" spans="1:46" ht="15">
      <c r="A46" s="64" t="s">
        <v>217</v>
      </c>
      <c r="B46" s="65"/>
      <c r="C46" s="65"/>
      <c r="D46" s="66">
        <v>150</v>
      </c>
      <c r="E46" s="102">
        <v>100</v>
      </c>
      <c r="F46" s="98" t="str">
        <f>HYPERLINK("https://i.ytimg.com/vi/71jpFGkoyf8/default.jpg")</f>
        <v>https://i.ytimg.com/vi/71jpFGkoyf8/default.jpg</v>
      </c>
      <c r="G46" s="100"/>
      <c r="H46" s="69" t="s">
        <v>807</v>
      </c>
      <c r="I46" s="70"/>
      <c r="J46" s="104" t="s">
        <v>75</v>
      </c>
      <c r="K46" s="69" t="s">
        <v>807</v>
      </c>
      <c r="L46" s="105">
        <v>101.52761423337967</v>
      </c>
      <c r="M46" s="74">
        <v>1160.96240234375</v>
      </c>
      <c r="N46" s="74">
        <v>5019.1611328125</v>
      </c>
      <c r="O46" s="75"/>
      <c r="P46" s="76"/>
      <c r="Q46" s="76"/>
      <c r="R46" s="106"/>
      <c r="S46" s="48">
        <v>0</v>
      </c>
      <c r="T46" s="48">
        <v>13</v>
      </c>
      <c r="U46" s="49">
        <v>1404.233766</v>
      </c>
      <c r="V46" s="49">
        <v>0.139188</v>
      </c>
      <c r="W46" s="107"/>
      <c r="X46" s="50"/>
      <c r="Y46" s="50"/>
      <c r="Z46" s="49">
        <v>0</v>
      </c>
      <c r="AA46" s="71">
        <v>46</v>
      </c>
      <c r="AB46" s="71"/>
      <c r="AC46" s="72"/>
      <c r="AD46" s="79" t="s">
        <v>807</v>
      </c>
      <c r="AE46" s="79" t="s">
        <v>1140</v>
      </c>
      <c r="AF46" s="79" t="s">
        <v>1387</v>
      </c>
      <c r="AG46" s="79" t="s">
        <v>1590</v>
      </c>
      <c r="AH46" s="79" t="s">
        <v>1862</v>
      </c>
      <c r="AI46" s="79">
        <v>1227</v>
      </c>
      <c r="AJ46" s="79">
        <v>0</v>
      </c>
      <c r="AK46" s="79">
        <v>13</v>
      </c>
      <c r="AL46" s="79">
        <v>0</v>
      </c>
      <c r="AM46" s="79" t="s">
        <v>2092</v>
      </c>
      <c r="AN46" s="114" t="str">
        <f>HYPERLINK("https://www.youtube.com/watch?v=71jpFGkoyf8")</f>
        <v>https://www.youtube.com/watch?v=71jpFGkoyf8</v>
      </c>
      <c r="AO46" s="78" t="str">
        <f>REPLACE(INDEX(GroupVertices[Group],MATCH(Vertices[[#This Row],[Vertex]],GroupVertices[Vertex],0)),1,1,"")</f>
        <v>roy Reiner</v>
      </c>
      <c r="AP46" s="2"/>
      <c r="AQ46" s="3"/>
      <c r="AR46" s="3"/>
      <c r="AS46" s="3"/>
      <c r="AT46" s="3"/>
    </row>
    <row r="47" spans="1:46" ht="15">
      <c r="A47" s="64" t="s">
        <v>219</v>
      </c>
      <c r="B47" s="65"/>
      <c r="C47" s="65"/>
      <c r="D47" s="66">
        <v>150</v>
      </c>
      <c r="E47" s="102">
        <v>100</v>
      </c>
      <c r="F47" s="98" t="str">
        <f>HYPERLINK("https://i.ytimg.com/vi/fKt2DixbTkc/default.jpg")</f>
        <v>https://i.ytimg.com/vi/fKt2DixbTkc/default.jpg</v>
      </c>
      <c r="G47" s="100"/>
      <c r="H47" s="69" t="s">
        <v>809</v>
      </c>
      <c r="I47" s="70"/>
      <c r="J47" s="104" t="s">
        <v>75</v>
      </c>
      <c r="K47" s="69" t="s">
        <v>809</v>
      </c>
      <c r="L47" s="105">
        <v>198.23777122615314</v>
      </c>
      <c r="M47" s="74">
        <v>878.8538818359375</v>
      </c>
      <c r="N47" s="74">
        <v>4528.11083984375</v>
      </c>
      <c r="O47" s="75"/>
      <c r="P47" s="76"/>
      <c r="Q47" s="76"/>
      <c r="R47" s="106"/>
      <c r="S47" s="48">
        <v>0</v>
      </c>
      <c r="T47" s="48">
        <v>13</v>
      </c>
      <c r="U47" s="49">
        <v>2755.142857</v>
      </c>
      <c r="V47" s="49">
        <v>0.139188</v>
      </c>
      <c r="W47" s="107"/>
      <c r="X47" s="50"/>
      <c r="Y47" s="50"/>
      <c r="Z47" s="49">
        <v>0</v>
      </c>
      <c r="AA47" s="71">
        <v>47</v>
      </c>
      <c r="AB47" s="71"/>
      <c r="AC47" s="72"/>
      <c r="AD47" s="79" t="s">
        <v>809</v>
      </c>
      <c r="AE47" s="79" t="s">
        <v>1142</v>
      </c>
      <c r="AF47" s="79"/>
      <c r="AG47" s="79" t="s">
        <v>1591</v>
      </c>
      <c r="AH47" s="79" t="s">
        <v>1864</v>
      </c>
      <c r="AI47" s="79">
        <v>1309</v>
      </c>
      <c r="AJ47" s="79">
        <v>0</v>
      </c>
      <c r="AK47" s="79">
        <v>8</v>
      </c>
      <c r="AL47" s="79">
        <v>0</v>
      </c>
      <c r="AM47" s="79" t="s">
        <v>2092</v>
      </c>
      <c r="AN47" s="114" t="str">
        <f>HYPERLINK("https://www.youtube.com/watch?v=fKt2DixbTkc")</f>
        <v>https://www.youtube.com/watch?v=fKt2DixbTkc</v>
      </c>
      <c r="AO47" s="78" t="str">
        <f>REPLACE(INDEX(GroupVertices[Group],MATCH(Vertices[[#This Row],[Vertex]],GroupVertices[Vertex],0)),1,1,"")</f>
        <v>éminaires CESP Villejuif</v>
      </c>
      <c r="AP47" s="2"/>
      <c r="AQ47" s="3"/>
      <c r="AR47" s="3"/>
      <c r="AS47" s="3"/>
      <c r="AT47" s="3"/>
    </row>
    <row r="48" spans="1:46" ht="15">
      <c r="A48" s="64" t="s">
        <v>225</v>
      </c>
      <c r="B48" s="65"/>
      <c r="C48" s="65"/>
      <c r="D48" s="66">
        <v>150</v>
      </c>
      <c r="E48" s="102">
        <v>100</v>
      </c>
      <c r="F48" s="98" t="str">
        <f>HYPERLINK("https://i.ytimg.com/vi/KPG4f4bVRDM/default.jpg")</f>
        <v>https://i.ytimg.com/vi/KPG4f4bVRDM/default.jpg</v>
      </c>
      <c r="G48" s="100"/>
      <c r="H48" s="69" t="s">
        <v>835</v>
      </c>
      <c r="I48" s="70"/>
      <c r="J48" s="104" t="s">
        <v>75</v>
      </c>
      <c r="K48" s="69" t="s">
        <v>835</v>
      </c>
      <c r="L48" s="105">
        <v>2.76574892373968</v>
      </c>
      <c r="M48" s="74">
        <v>5094.31689453125</v>
      </c>
      <c r="N48" s="74">
        <v>5120.32763671875</v>
      </c>
      <c r="O48" s="75"/>
      <c r="P48" s="76"/>
      <c r="Q48" s="76"/>
      <c r="R48" s="106"/>
      <c r="S48" s="48">
        <v>0</v>
      </c>
      <c r="T48" s="48">
        <v>13</v>
      </c>
      <c r="U48" s="49">
        <v>24.665106</v>
      </c>
      <c r="V48" s="49">
        <v>0.105223</v>
      </c>
      <c r="W48" s="107"/>
      <c r="X48" s="50"/>
      <c r="Y48" s="50"/>
      <c r="Z48" s="49">
        <v>0</v>
      </c>
      <c r="AA48" s="71">
        <v>48</v>
      </c>
      <c r="AB48" s="71"/>
      <c r="AC48" s="72"/>
      <c r="AD48" s="79" t="s">
        <v>835</v>
      </c>
      <c r="AE48" s="79" t="s">
        <v>1158</v>
      </c>
      <c r="AF48" s="79" t="s">
        <v>1396</v>
      </c>
      <c r="AG48" s="79" t="s">
        <v>1562</v>
      </c>
      <c r="AH48" s="79" t="s">
        <v>1891</v>
      </c>
      <c r="AI48" s="79">
        <v>500</v>
      </c>
      <c r="AJ48" s="79">
        <v>0</v>
      </c>
      <c r="AK48" s="79">
        <v>0</v>
      </c>
      <c r="AL48" s="79">
        <v>0</v>
      </c>
      <c r="AM48" s="79" t="s">
        <v>2092</v>
      </c>
      <c r="AN48" s="114" t="str">
        <f>HYPERLINK("https://www.youtube.com/watch?v=KPG4f4bVRDM")</f>
        <v>https://www.youtube.com/watch?v=KPG4f4bVRDM</v>
      </c>
      <c r="AO48" s="78" t="str">
        <f>REPLACE(INDEX(GroupVertices[Group],MATCH(Vertices[[#This Row],[Vertex]],GroupVertices[Vertex],0)),1,1,"")</f>
        <v>nlineCEUCredit</v>
      </c>
      <c r="AP48" s="2"/>
      <c r="AQ48" s="3"/>
      <c r="AR48" s="3"/>
      <c r="AS48" s="3"/>
      <c r="AT48" s="3"/>
    </row>
    <row r="49" spans="1:46" ht="15">
      <c r="A49" s="64" t="s">
        <v>229</v>
      </c>
      <c r="B49" s="65"/>
      <c r="C49" s="65"/>
      <c r="D49" s="66">
        <v>150</v>
      </c>
      <c r="E49" s="102">
        <v>100</v>
      </c>
      <c r="F49" s="98" t="str">
        <f>HYPERLINK("https://i.ytimg.com/vi/guiH-4YVio4/default.jpg")</f>
        <v>https://i.ytimg.com/vi/guiH-4YVio4/default.jpg</v>
      </c>
      <c r="G49" s="100"/>
      <c r="H49" s="69" t="s">
        <v>867</v>
      </c>
      <c r="I49" s="70"/>
      <c r="J49" s="104" t="s">
        <v>75</v>
      </c>
      <c r="K49" s="69" t="s">
        <v>867</v>
      </c>
      <c r="L49" s="105">
        <v>198.23777122615314</v>
      </c>
      <c r="M49" s="74">
        <v>902.2467041015625</v>
      </c>
      <c r="N49" s="74">
        <v>4389.455078125</v>
      </c>
      <c r="O49" s="75"/>
      <c r="P49" s="76"/>
      <c r="Q49" s="76"/>
      <c r="R49" s="106"/>
      <c r="S49" s="48">
        <v>0</v>
      </c>
      <c r="T49" s="48">
        <v>13</v>
      </c>
      <c r="U49" s="49">
        <v>2755.142857</v>
      </c>
      <c r="V49" s="49">
        <v>0.139188</v>
      </c>
      <c r="W49" s="107"/>
      <c r="X49" s="50"/>
      <c r="Y49" s="50"/>
      <c r="Z49" s="49">
        <v>0</v>
      </c>
      <c r="AA49" s="71">
        <v>49</v>
      </c>
      <c r="AB49" s="71"/>
      <c r="AC49" s="72"/>
      <c r="AD49" s="79" t="s">
        <v>867</v>
      </c>
      <c r="AE49" s="79" t="s">
        <v>1185</v>
      </c>
      <c r="AF49" s="79"/>
      <c r="AG49" s="79" t="s">
        <v>1621</v>
      </c>
      <c r="AH49" s="79" t="s">
        <v>1923</v>
      </c>
      <c r="AI49" s="79">
        <v>186</v>
      </c>
      <c r="AJ49" s="79">
        <v>0</v>
      </c>
      <c r="AK49" s="79">
        <v>0</v>
      </c>
      <c r="AL49" s="79">
        <v>0</v>
      </c>
      <c r="AM49" s="79" t="s">
        <v>2092</v>
      </c>
      <c r="AN49" s="114" t="str">
        <f>HYPERLINK("https://www.youtube.com/watch?v=guiH-4YVio4")</f>
        <v>https://www.youtube.com/watch?v=guiH-4YVio4</v>
      </c>
      <c r="AO49" s="78" t="str">
        <f>REPLACE(INDEX(GroupVertices[Group],MATCH(Vertices[[#This Row],[Vertex]],GroupVertices[Vertex],0)),1,1,"")</f>
        <v>he Carter-Jenkins Center</v>
      </c>
      <c r="AP49" s="2"/>
      <c r="AQ49" s="3"/>
      <c r="AR49" s="3"/>
      <c r="AS49" s="3"/>
      <c r="AT49" s="3"/>
    </row>
    <row r="50" spans="1:46" ht="15">
      <c r="A50" s="64" t="s">
        <v>208</v>
      </c>
      <c r="B50" s="65"/>
      <c r="C50" s="65"/>
      <c r="D50" s="66">
        <v>150</v>
      </c>
      <c r="E50" s="102">
        <v>100</v>
      </c>
      <c r="F50" s="98" t="str">
        <f>HYPERLINK("https://i.ytimg.com/vi/DRRWa_kBGB8/default.jpg")</f>
        <v>https://i.ytimg.com/vi/DRRWa_kBGB8/default.jpg</v>
      </c>
      <c r="G50" s="100"/>
      <c r="H50" s="69" t="s">
        <v>753</v>
      </c>
      <c r="I50" s="70"/>
      <c r="J50" s="104" t="s">
        <v>75</v>
      </c>
      <c r="K50" s="69" t="s">
        <v>753</v>
      </c>
      <c r="L50" s="105">
        <v>10.449740776854467</v>
      </c>
      <c r="M50" s="74">
        <v>8488.3876953125</v>
      </c>
      <c r="N50" s="74">
        <v>569.9456176757812</v>
      </c>
      <c r="O50" s="75"/>
      <c r="P50" s="76"/>
      <c r="Q50" s="76"/>
      <c r="R50" s="106"/>
      <c r="S50" s="48">
        <v>0</v>
      </c>
      <c r="T50" s="48">
        <v>12</v>
      </c>
      <c r="U50" s="49">
        <v>132</v>
      </c>
      <c r="V50" s="49">
        <v>0.013483</v>
      </c>
      <c r="W50" s="107"/>
      <c r="X50" s="50"/>
      <c r="Y50" s="50"/>
      <c r="Z50" s="49">
        <v>0</v>
      </c>
      <c r="AA50" s="71">
        <v>50</v>
      </c>
      <c r="AB50" s="71"/>
      <c r="AC50" s="72"/>
      <c r="AD50" s="79" t="s">
        <v>753</v>
      </c>
      <c r="AE50" s="79" t="s">
        <v>1110</v>
      </c>
      <c r="AF50" s="79"/>
      <c r="AG50" s="79" t="s">
        <v>1571</v>
      </c>
      <c r="AH50" s="79" t="s">
        <v>1809</v>
      </c>
      <c r="AI50" s="79">
        <v>30</v>
      </c>
      <c r="AJ50" s="79">
        <v>0</v>
      </c>
      <c r="AK50" s="79">
        <v>1</v>
      </c>
      <c r="AL50" s="79">
        <v>0</v>
      </c>
      <c r="AM50" s="79" t="s">
        <v>2092</v>
      </c>
      <c r="AN50" s="114" t="str">
        <f>HYPERLINK("https://www.youtube.com/watch?v=DRRWa_kBGB8")</f>
        <v>https://www.youtube.com/watch?v=DRRWa_kBGB8</v>
      </c>
      <c r="AO50" s="78" t="str">
        <f>REPLACE(INDEX(GroupVertices[Group],MATCH(Vertices[[#This Row],[Vertex]],GroupVertices[Vertex],0)),1,1,"")</f>
        <v>fficial mdw</v>
      </c>
      <c r="AP50" s="2"/>
      <c r="AQ50" s="3"/>
      <c r="AR50" s="3"/>
      <c r="AS50" s="3"/>
      <c r="AT50" s="3"/>
    </row>
    <row r="51" spans="1:46" ht="15">
      <c r="A51" s="64" t="s">
        <v>220</v>
      </c>
      <c r="B51" s="65"/>
      <c r="C51" s="65"/>
      <c r="D51" s="66">
        <v>150</v>
      </c>
      <c r="E51" s="102">
        <v>100</v>
      </c>
      <c r="F51" s="98" t="str">
        <f>HYPERLINK("https://i.ytimg.com/vi/4uaWo9B5ej8/default.jpg")</f>
        <v>https://i.ytimg.com/vi/4uaWo9B5ej8/default.jpg</v>
      </c>
      <c r="G51" s="100"/>
      <c r="H51" s="69" t="s">
        <v>668</v>
      </c>
      <c r="I51" s="70"/>
      <c r="J51" s="104" t="s">
        <v>75</v>
      </c>
      <c r="K51" s="69" t="s">
        <v>668</v>
      </c>
      <c r="L51" s="105">
        <v>10.449740776854467</v>
      </c>
      <c r="M51" s="74">
        <v>8481.7099609375</v>
      </c>
      <c r="N51" s="74">
        <v>1497.373291015625</v>
      </c>
      <c r="O51" s="75"/>
      <c r="P51" s="76"/>
      <c r="Q51" s="76"/>
      <c r="R51" s="106"/>
      <c r="S51" s="48">
        <v>0</v>
      </c>
      <c r="T51" s="48">
        <v>12</v>
      </c>
      <c r="U51" s="49">
        <v>132</v>
      </c>
      <c r="V51" s="49">
        <v>0.013483</v>
      </c>
      <c r="W51" s="107"/>
      <c r="X51" s="50"/>
      <c r="Y51" s="50"/>
      <c r="Z51" s="49">
        <v>0</v>
      </c>
      <c r="AA51" s="71">
        <v>51</v>
      </c>
      <c r="AB51" s="71"/>
      <c r="AC51" s="72"/>
      <c r="AD51" s="79" t="s">
        <v>668</v>
      </c>
      <c r="AE51" s="79" t="s">
        <v>1143</v>
      </c>
      <c r="AF51" s="79"/>
      <c r="AG51" s="79" t="s">
        <v>1593</v>
      </c>
      <c r="AH51" s="79" t="s">
        <v>1867</v>
      </c>
      <c r="AI51" s="79">
        <v>180</v>
      </c>
      <c r="AJ51" s="79">
        <v>0</v>
      </c>
      <c r="AK51" s="79">
        <v>10</v>
      </c>
      <c r="AL51" s="79">
        <v>0</v>
      </c>
      <c r="AM51" s="79" t="s">
        <v>2092</v>
      </c>
      <c r="AN51" s="114" t="str">
        <f>HYPERLINK("https://www.youtube.com/watch?v=4uaWo9B5ej8")</f>
        <v>https://www.youtube.com/watch?v=4uaWo9B5ej8</v>
      </c>
      <c r="AO51" s="78" t="str">
        <f>REPLACE(INDEX(GroupVertices[Group],MATCH(Vertices[[#This Row],[Vertex]],GroupVertices[Vertex],0)),1,1,"")</f>
        <v>r. Nasar Khan</v>
      </c>
      <c r="AP51" s="2"/>
      <c r="AQ51" s="3"/>
      <c r="AR51" s="3"/>
      <c r="AS51" s="3"/>
      <c r="AT51" s="3"/>
    </row>
    <row r="52" spans="1:46" ht="15">
      <c r="A52" s="64" t="s">
        <v>231</v>
      </c>
      <c r="B52" s="65"/>
      <c r="C52" s="65"/>
      <c r="D52" s="66">
        <v>150</v>
      </c>
      <c r="E52" s="102">
        <v>100</v>
      </c>
      <c r="F52" s="98" t="str">
        <f>HYPERLINK("https://i.ytimg.com/vi/PBAmJBL1SvI/default.jpg")</f>
        <v>https://i.ytimg.com/vi/PBAmJBL1SvI/default.jpg</v>
      </c>
      <c r="G52" s="100"/>
      <c r="H52" s="69" t="s">
        <v>648</v>
      </c>
      <c r="I52" s="70"/>
      <c r="J52" s="104" t="s">
        <v>75</v>
      </c>
      <c r="K52" s="69" t="s">
        <v>648</v>
      </c>
      <c r="L52" s="105">
        <v>1084.570275745979</v>
      </c>
      <c r="M52" s="74">
        <v>9579.5224609375</v>
      </c>
      <c r="N52" s="74">
        <v>1024.066650390625</v>
      </c>
      <c r="O52" s="75"/>
      <c r="P52" s="76"/>
      <c r="Q52" s="76"/>
      <c r="R52" s="106"/>
      <c r="S52" s="48">
        <v>0</v>
      </c>
      <c r="T52" s="48">
        <v>12</v>
      </c>
      <c r="U52" s="49">
        <v>15136</v>
      </c>
      <c r="V52" s="49">
        <v>0.141296</v>
      </c>
      <c r="W52" s="107"/>
      <c r="X52" s="50"/>
      <c r="Y52" s="50"/>
      <c r="Z52" s="49">
        <v>0</v>
      </c>
      <c r="AA52" s="71">
        <v>52</v>
      </c>
      <c r="AB52" s="71"/>
      <c r="AC52" s="72"/>
      <c r="AD52" s="79" t="s">
        <v>648</v>
      </c>
      <c r="AE52" s="79"/>
      <c r="AF52" s="79" t="s">
        <v>1312</v>
      </c>
      <c r="AG52" s="79" t="s">
        <v>1518</v>
      </c>
      <c r="AH52" s="79" t="s">
        <v>1704</v>
      </c>
      <c r="AI52" s="79">
        <v>83</v>
      </c>
      <c r="AJ52" s="79">
        <v>0</v>
      </c>
      <c r="AK52" s="79">
        <v>2</v>
      </c>
      <c r="AL52" s="79">
        <v>0</v>
      </c>
      <c r="AM52" s="79" t="s">
        <v>2092</v>
      </c>
      <c r="AN52" s="114" t="str">
        <f>HYPERLINK("https://www.youtube.com/watch?v=PBAmJBL1SvI")</f>
        <v>https://www.youtube.com/watch?v=PBAmJBL1SvI</v>
      </c>
      <c r="AO52" s="78" t="str">
        <f>REPLACE(INDEX(GroupVertices[Group],MATCH(Vertices[[#This Row],[Vertex]],GroupVertices[Vertex],0)),1,1,"")</f>
        <v>sych and Chill</v>
      </c>
      <c r="AP52" s="2"/>
      <c r="AQ52" s="3"/>
      <c r="AR52" s="3"/>
      <c r="AS52" s="3"/>
      <c r="AT52" s="3"/>
    </row>
    <row r="53" spans="1:46" ht="15">
      <c r="A53" s="64" t="s">
        <v>2602</v>
      </c>
      <c r="B53" s="65"/>
      <c r="C53" s="65"/>
      <c r="D53" s="66">
        <v>150</v>
      </c>
      <c r="E53" s="102">
        <v>97.85714285714286</v>
      </c>
      <c r="F53" s="98" t="str">
        <f>HYPERLINK("https://i.ytimg.com/vi/0QtsyV0YBvw/default.jpg")</f>
        <v>https://i.ytimg.com/vi/0QtsyV0YBvw/default.jpg</v>
      </c>
      <c r="G53" s="100"/>
      <c r="H53" s="69" t="s">
        <v>2603</v>
      </c>
      <c r="I53" s="70"/>
      <c r="J53" s="104" t="s">
        <v>159</v>
      </c>
      <c r="K53" s="69" t="s">
        <v>2603</v>
      </c>
      <c r="L53" s="105">
        <v>1</v>
      </c>
      <c r="M53" s="74">
        <v>9518.0478515625</v>
      </c>
      <c r="N53" s="74">
        <v>4693.91259765625</v>
      </c>
      <c r="O53" s="75"/>
      <c r="P53" s="76"/>
      <c r="Q53" s="76"/>
      <c r="R53" s="106"/>
      <c r="S53" s="48">
        <v>1</v>
      </c>
      <c r="T53" s="48">
        <v>0</v>
      </c>
      <c r="U53" s="49">
        <v>0</v>
      </c>
      <c r="V53" s="49">
        <v>0.012086</v>
      </c>
      <c r="W53" s="107"/>
      <c r="X53" s="50"/>
      <c r="Y53" s="50"/>
      <c r="Z53" s="49">
        <v>0</v>
      </c>
      <c r="AA53" s="71">
        <v>53</v>
      </c>
      <c r="AB53" s="71"/>
      <c r="AC53" s="72"/>
      <c r="AD53" s="79" t="s">
        <v>2603</v>
      </c>
      <c r="AE53" s="79" t="s">
        <v>3075</v>
      </c>
      <c r="AF53" s="79"/>
      <c r="AG53" s="79" t="s">
        <v>3690</v>
      </c>
      <c r="AH53" s="79" t="s">
        <v>3968</v>
      </c>
      <c r="AI53" s="79">
        <v>0</v>
      </c>
      <c r="AJ53" s="79">
        <v>0</v>
      </c>
      <c r="AK53" s="79">
        <v>0</v>
      </c>
      <c r="AL53" s="79">
        <v>0</v>
      </c>
      <c r="AM53" s="79" t="s">
        <v>2092</v>
      </c>
      <c r="AN53" s="114" t="str">
        <f>HYPERLINK("https://www.youtube.com/watch?v=0QtsyV0YBvw")</f>
        <v>https://www.youtube.com/watch?v=0QtsyV0YBvw</v>
      </c>
      <c r="AO53" s="78" t="str">
        <f>REPLACE(INDEX(GroupVertices[Group],MATCH(Vertices[[#This Row],[Vertex]],GroupVertices[Vertex],0)),1,1,"")</f>
        <v>稚晴</v>
      </c>
      <c r="AP53" s="2"/>
      <c r="AQ53" s="3"/>
      <c r="AR53" s="3"/>
      <c r="AS53" s="3"/>
      <c r="AT53" s="3"/>
    </row>
    <row r="54" spans="1:46" ht="15">
      <c r="A54" s="64" t="s">
        <v>2126</v>
      </c>
      <c r="B54" s="65"/>
      <c r="C54" s="65"/>
      <c r="D54" s="66">
        <v>150</v>
      </c>
      <c r="E54" s="102">
        <v>97.85714285714286</v>
      </c>
      <c r="F54" s="98" t="str">
        <f>HYPERLINK("https://i.ytimg.com/vi/pe8S9v2q3mI/default.jpg")</f>
        <v>https://i.ytimg.com/vi/pe8S9v2q3mI/default.jpg</v>
      </c>
      <c r="G54" s="100"/>
      <c r="H54" s="69" t="s">
        <v>2604</v>
      </c>
      <c r="I54" s="70"/>
      <c r="J54" s="104" t="s">
        <v>159</v>
      </c>
      <c r="K54" s="69" t="s">
        <v>2604</v>
      </c>
      <c r="L54" s="105">
        <v>1</v>
      </c>
      <c r="M54" s="74">
        <v>8746.2900390625</v>
      </c>
      <c r="N54" s="74">
        <v>3938.52734375</v>
      </c>
      <c r="O54" s="75"/>
      <c r="P54" s="76"/>
      <c r="Q54" s="76"/>
      <c r="R54" s="106"/>
      <c r="S54" s="48">
        <v>1</v>
      </c>
      <c r="T54" s="48">
        <v>0</v>
      </c>
      <c r="U54" s="49">
        <v>0</v>
      </c>
      <c r="V54" s="49">
        <v>0.012086</v>
      </c>
      <c r="W54" s="107"/>
      <c r="X54" s="50"/>
      <c r="Y54" s="50"/>
      <c r="Z54" s="49">
        <v>0</v>
      </c>
      <c r="AA54" s="71">
        <v>54</v>
      </c>
      <c r="AB54" s="71"/>
      <c r="AC54" s="72"/>
      <c r="AD54" s="79" t="s">
        <v>2604</v>
      </c>
      <c r="AE54" s="79" t="s">
        <v>3076</v>
      </c>
      <c r="AF54" s="79"/>
      <c r="AG54" s="79" t="s">
        <v>3691</v>
      </c>
      <c r="AH54" s="79" t="s">
        <v>3969</v>
      </c>
      <c r="AI54" s="79">
        <v>46101</v>
      </c>
      <c r="AJ54" s="79">
        <v>0</v>
      </c>
      <c r="AK54" s="79">
        <v>113</v>
      </c>
      <c r="AL54" s="79">
        <v>0</v>
      </c>
      <c r="AM54" s="79" t="s">
        <v>2092</v>
      </c>
      <c r="AN54" s="114" t="str">
        <f>HYPERLINK("https://www.youtube.com/watch?v=pe8S9v2q3mI")</f>
        <v>https://www.youtube.com/watch?v=pe8S9v2q3mI</v>
      </c>
      <c r="AO54" s="78" t="str">
        <f>REPLACE(INDEX(GroupVertices[Group],MATCH(Vertices[[#This Row],[Vertex]],GroupVertices[Vertex],0)),1,1,"")</f>
        <v>omforts are bad teachers</v>
      </c>
      <c r="AP54" s="2"/>
      <c r="AQ54" s="3"/>
      <c r="AR54" s="3"/>
      <c r="AS54" s="3"/>
      <c r="AT54" s="3"/>
    </row>
    <row r="55" spans="1:46" ht="15">
      <c r="A55" s="64" t="s">
        <v>2127</v>
      </c>
      <c r="B55" s="65"/>
      <c r="C55" s="65"/>
      <c r="D55" s="66">
        <v>150</v>
      </c>
      <c r="E55" s="102">
        <v>97.85714285714286</v>
      </c>
      <c r="F55" s="98" t="str">
        <f>HYPERLINK("https://i.ytimg.com/vi/jFZm0zNZn1w/default.jpg")</f>
        <v>https://i.ytimg.com/vi/jFZm0zNZn1w/default.jpg</v>
      </c>
      <c r="G55" s="100"/>
      <c r="H55" s="69" t="s">
        <v>2605</v>
      </c>
      <c r="I55" s="70"/>
      <c r="J55" s="104" t="s">
        <v>159</v>
      </c>
      <c r="K55" s="69" t="s">
        <v>2605</v>
      </c>
      <c r="L55" s="105">
        <v>1</v>
      </c>
      <c r="M55" s="74">
        <v>8597.7392578125</v>
      </c>
      <c r="N55" s="74">
        <v>4194.10595703125</v>
      </c>
      <c r="O55" s="75"/>
      <c r="P55" s="76"/>
      <c r="Q55" s="76"/>
      <c r="R55" s="106"/>
      <c r="S55" s="48">
        <v>1</v>
      </c>
      <c r="T55" s="48">
        <v>0</v>
      </c>
      <c r="U55" s="49">
        <v>0</v>
      </c>
      <c r="V55" s="49">
        <v>0.012086</v>
      </c>
      <c r="W55" s="107"/>
      <c r="X55" s="50"/>
      <c r="Y55" s="50"/>
      <c r="Z55" s="49">
        <v>0</v>
      </c>
      <c r="AA55" s="71">
        <v>55</v>
      </c>
      <c r="AB55" s="71"/>
      <c r="AC55" s="72"/>
      <c r="AD55" s="79" t="s">
        <v>2605</v>
      </c>
      <c r="AE55" s="79" t="s">
        <v>3077</v>
      </c>
      <c r="AF55" s="79" t="s">
        <v>3500</v>
      </c>
      <c r="AG55" s="79" t="s">
        <v>3692</v>
      </c>
      <c r="AH55" s="79" t="s">
        <v>3970</v>
      </c>
      <c r="AI55" s="79">
        <v>123302</v>
      </c>
      <c r="AJ55" s="79">
        <v>1</v>
      </c>
      <c r="AK55" s="79">
        <v>278</v>
      </c>
      <c r="AL55" s="79">
        <v>0</v>
      </c>
      <c r="AM55" s="79" t="s">
        <v>2092</v>
      </c>
      <c r="AN55" s="114" t="str">
        <f>HYPERLINK("https://www.youtube.com/watch?v=jFZm0zNZn1w")</f>
        <v>https://www.youtube.com/watch?v=jFZm0zNZn1w</v>
      </c>
      <c r="AO55" s="78" t="str">
        <f>REPLACE(INDEX(GroupVertices[Group],MATCH(Vertices[[#This Row],[Vertex]],GroupVertices[Vertex],0)),1,1,"")</f>
        <v>osé Carlos Bassani Junior</v>
      </c>
      <c r="AP55" s="2"/>
      <c r="AQ55" s="3"/>
      <c r="AR55" s="3"/>
      <c r="AS55" s="3"/>
      <c r="AT55" s="3"/>
    </row>
    <row r="56" spans="1:46" ht="15">
      <c r="A56" s="64" t="s">
        <v>2128</v>
      </c>
      <c r="B56" s="65"/>
      <c r="C56" s="65"/>
      <c r="D56" s="66">
        <v>150</v>
      </c>
      <c r="E56" s="102">
        <v>97.85714285714286</v>
      </c>
      <c r="F56" s="98" t="str">
        <f>HYPERLINK("https://i.ytimg.com/vi/jgXjZG7YMg0/default.jpg")</f>
        <v>https://i.ytimg.com/vi/jgXjZG7YMg0/default.jpg</v>
      </c>
      <c r="G56" s="100"/>
      <c r="H56" s="69" t="s">
        <v>2606</v>
      </c>
      <c r="I56" s="70"/>
      <c r="J56" s="104" t="s">
        <v>159</v>
      </c>
      <c r="K56" s="69" t="s">
        <v>2606</v>
      </c>
      <c r="L56" s="105">
        <v>1</v>
      </c>
      <c r="M56" s="74">
        <v>9265.275390625</v>
      </c>
      <c r="N56" s="74">
        <v>5214.99560546875</v>
      </c>
      <c r="O56" s="75"/>
      <c r="P56" s="76"/>
      <c r="Q56" s="76"/>
      <c r="R56" s="106"/>
      <c r="S56" s="48">
        <v>1</v>
      </c>
      <c r="T56" s="48">
        <v>0</v>
      </c>
      <c r="U56" s="49">
        <v>0</v>
      </c>
      <c r="V56" s="49">
        <v>0.012086</v>
      </c>
      <c r="W56" s="107"/>
      <c r="X56" s="50"/>
      <c r="Y56" s="50"/>
      <c r="Z56" s="49">
        <v>0</v>
      </c>
      <c r="AA56" s="71">
        <v>56</v>
      </c>
      <c r="AB56" s="71"/>
      <c r="AC56" s="72"/>
      <c r="AD56" s="79" t="s">
        <v>2606</v>
      </c>
      <c r="AE56" s="79" t="s">
        <v>3078</v>
      </c>
      <c r="AF56" s="79"/>
      <c r="AG56" s="79" t="s">
        <v>3693</v>
      </c>
      <c r="AH56" s="79" t="s">
        <v>3971</v>
      </c>
      <c r="AI56" s="79">
        <v>74477</v>
      </c>
      <c r="AJ56" s="79">
        <v>4</v>
      </c>
      <c r="AK56" s="79">
        <v>197</v>
      </c>
      <c r="AL56" s="79">
        <v>0</v>
      </c>
      <c r="AM56" s="79" t="s">
        <v>2092</v>
      </c>
      <c r="AN56" s="114" t="str">
        <f>HYPERLINK("https://www.youtube.com/watch?v=jgXjZG7YMg0")</f>
        <v>https://www.youtube.com/watch?v=jgXjZG7YMg0</v>
      </c>
      <c r="AO56" s="78" t="str">
        <f>REPLACE(INDEX(GroupVertices[Group],MATCH(Vertices[[#This Row],[Vertex]],GroupVertices[Vertex],0)),1,1,"")</f>
        <v>onika Liese- deine Stillspezialistin®</v>
      </c>
      <c r="AP56" s="2"/>
      <c r="AQ56" s="3"/>
      <c r="AR56" s="3"/>
      <c r="AS56" s="3"/>
      <c r="AT56" s="3"/>
    </row>
    <row r="57" spans="1:46" ht="15">
      <c r="A57" s="64" t="s">
        <v>2129</v>
      </c>
      <c r="B57" s="65"/>
      <c r="C57" s="65"/>
      <c r="D57" s="66">
        <v>150</v>
      </c>
      <c r="E57" s="102">
        <v>97.85714285714286</v>
      </c>
      <c r="F57" s="98" t="str">
        <f>HYPERLINK("https://i.ytimg.com/vi/aVChh3s2z7c/default.jpg")</f>
        <v>https://i.ytimg.com/vi/aVChh3s2z7c/default.jpg</v>
      </c>
      <c r="G57" s="100"/>
      <c r="H57" s="69" t="s">
        <v>2607</v>
      </c>
      <c r="I57" s="70"/>
      <c r="J57" s="104" t="s">
        <v>159</v>
      </c>
      <c r="K57" s="69" t="s">
        <v>2607</v>
      </c>
      <c r="L57" s="105">
        <v>1</v>
      </c>
      <c r="M57" s="74">
        <v>9574.822265625</v>
      </c>
      <c r="N57" s="74">
        <v>4269.3671875</v>
      </c>
      <c r="O57" s="75"/>
      <c r="P57" s="76"/>
      <c r="Q57" s="76"/>
      <c r="R57" s="106"/>
      <c r="S57" s="48">
        <v>1</v>
      </c>
      <c r="T57" s="48">
        <v>0</v>
      </c>
      <c r="U57" s="49">
        <v>0</v>
      </c>
      <c r="V57" s="49">
        <v>0.012086</v>
      </c>
      <c r="W57" s="107"/>
      <c r="X57" s="50"/>
      <c r="Y57" s="50"/>
      <c r="Z57" s="49">
        <v>0</v>
      </c>
      <c r="AA57" s="71">
        <v>57</v>
      </c>
      <c r="AB57" s="71"/>
      <c r="AC57" s="72"/>
      <c r="AD57" s="79" t="s">
        <v>2607</v>
      </c>
      <c r="AE57" s="79"/>
      <c r="AF57" s="79"/>
      <c r="AG57" s="79" t="s">
        <v>3694</v>
      </c>
      <c r="AH57" s="79" t="s">
        <v>3972</v>
      </c>
      <c r="AI57" s="79">
        <v>1</v>
      </c>
      <c r="AJ57" s="79">
        <v>0</v>
      </c>
      <c r="AK57" s="79">
        <v>0</v>
      </c>
      <c r="AL57" s="79">
        <v>0</v>
      </c>
      <c r="AM57" s="79" t="s">
        <v>2092</v>
      </c>
      <c r="AN57" s="114" t="str">
        <f>HYPERLINK("https://www.youtube.com/watch?v=aVChh3s2z7c")</f>
        <v>https://www.youtube.com/watch?v=aVChh3s2z7c</v>
      </c>
      <c r="AO57" s="78" t="str">
        <f>REPLACE(INDEX(GroupVertices[Group],MATCH(Vertices[[#This Row],[Vertex]],GroupVertices[Vertex],0)),1,1,"")</f>
        <v>anelle Hernández</v>
      </c>
      <c r="AP57" s="2"/>
      <c r="AQ57" s="3"/>
      <c r="AR57" s="3"/>
      <c r="AS57" s="3"/>
      <c r="AT57" s="3"/>
    </row>
    <row r="58" spans="1:46" ht="15">
      <c r="A58" s="64" t="s">
        <v>2130</v>
      </c>
      <c r="B58" s="65"/>
      <c r="C58" s="65"/>
      <c r="D58" s="66">
        <v>150</v>
      </c>
      <c r="E58" s="102">
        <v>97.85714285714286</v>
      </c>
      <c r="F58" s="98" t="str">
        <f>HYPERLINK("https://i.ytimg.com/vi/1uSRQQgz65E/default.jpg")</f>
        <v>https://i.ytimg.com/vi/1uSRQQgz65E/default.jpg</v>
      </c>
      <c r="G58" s="100"/>
      <c r="H58" s="69" t="s">
        <v>2608</v>
      </c>
      <c r="I58" s="70"/>
      <c r="J58" s="104" t="s">
        <v>159</v>
      </c>
      <c r="K58" s="69" t="s">
        <v>2608</v>
      </c>
      <c r="L58" s="105">
        <v>1</v>
      </c>
      <c r="M58" s="74">
        <v>9703.8984375</v>
      </c>
      <c r="N58" s="74">
        <v>4983.40771484375</v>
      </c>
      <c r="O58" s="75"/>
      <c r="P58" s="76"/>
      <c r="Q58" s="76"/>
      <c r="R58" s="106"/>
      <c r="S58" s="48">
        <v>1</v>
      </c>
      <c r="T58" s="48">
        <v>0</v>
      </c>
      <c r="U58" s="49">
        <v>0</v>
      </c>
      <c r="V58" s="49">
        <v>0.012086</v>
      </c>
      <c r="W58" s="107"/>
      <c r="X58" s="50"/>
      <c r="Y58" s="50"/>
      <c r="Z58" s="49">
        <v>0</v>
      </c>
      <c r="AA58" s="71">
        <v>58</v>
      </c>
      <c r="AB58" s="71"/>
      <c r="AC58" s="72"/>
      <c r="AD58" s="79" t="s">
        <v>2608</v>
      </c>
      <c r="AE58" s="79"/>
      <c r="AF58" s="79"/>
      <c r="AG58" s="79" t="s">
        <v>3695</v>
      </c>
      <c r="AH58" s="79" t="s">
        <v>3973</v>
      </c>
      <c r="AI58" s="79">
        <v>5763</v>
      </c>
      <c r="AJ58" s="79">
        <v>0</v>
      </c>
      <c r="AK58" s="79">
        <v>15</v>
      </c>
      <c r="AL58" s="79">
        <v>0</v>
      </c>
      <c r="AM58" s="79" t="s">
        <v>2092</v>
      </c>
      <c r="AN58" s="114" t="str">
        <f>HYPERLINK("https://www.youtube.com/watch?v=1uSRQQgz65E")</f>
        <v>https://www.youtube.com/watch?v=1uSRQQgz65E</v>
      </c>
      <c r="AO58" s="78" t="str">
        <f>REPLACE(INDEX(GroupVertices[Group],MATCH(Vertices[[#This Row],[Vertex]],GroupVertices[Vertex],0)),1,1,"")</f>
        <v>AMILY DJM</v>
      </c>
      <c r="AP58" s="2"/>
      <c r="AQ58" s="3"/>
      <c r="AR58" s="3"/>
      <c r="AS58" s="3"/>
      <c r="AT58" s="3"/>
    </row>
    <row r="59" spans="1:46" ht="15">
      <c r="A59" s="64" t="s">
        <v>2131</v>
      </c>
      <c r="B59" s="65"/>
      <c r="C59" s="65"/>
      <c r="D59" s="66">
        <v>150</v>
      </c>
      <c r="E59" s="102">
        <v>97.85714285714286</v>
      </c>
      <c r="F59" s="98" t="str">
        <f>HYPERLINK("https://i.ytimg.com/vi/kUJ_7No9jqc/default.jpg")</f>
        <v>https://i.ytimg.com/vi/kUJ_7No9jqc/default.jpg</v>
      </c>
      <c r="G59" s="100"/>
      <c r="H59" s="69" t="s">
        <v>2609</v>
      </c>
      <c r="I59" s="70"/>
      <c r="J59" s="104" t="s">
        <v>159</v>
      </c>
      <c r="K59" s="69" t="s">
        <v>2609</v>
      </c>
      <c r="L59" s="105">
        <v>1</v>
      </c>
      <c r="M59" s="74">
        <v>8941.98828125</v>
      </c>
      <c r="N59" s="74">
        <v>4177.44873046875</v>
      </c>
      <c r="O59" s="75"/>
      <c r="P59" s="76"/>
      <c r="Q59" s="76"/>
      <c r="R59" s="106"/>
      <c r="S59" s="48">
        <v>1</v>
      </c>
      <c r="T59" s="48">
        <v>0</v>
      </c>
      <c r="U59" s="49">
        <v>0</v>
      </c>
      <c r="V59" s="49">
        <v>0.012086</v>
      </c>
      <c r="W59" s="107"/>
      <c r="X59" s="50"/>
      <c r="Y59" s="50"/>
      <c r="Z59" s="49">
        <v>0</v>
      </c>
      <c r="AA59" s="71">
        <v>59</v>
      </c>
      <c r="AB59" s="71"/>
      <c r="AC59" s="72"/>
      <c r="AD59" s="79" t="s">
        <v>2609</v>
      </c>
      <c r="AE59" s="79" t="s">
        <v>3079</v>
      </c>
      <c r="AF59" s="79"/>
      <c r="AG59" s="79" t="s">
        <v>3696</v>
      </c>
      <c r="AH59" s="79" t="s">
        <v>3974</v>
      </c>
      <c r="AI59" s="79">
        <v>126509</v>
      </c>
      <c r="AJ59" s="79">
        <v>6</v>
      </c>
      <c r="AK59" s="79">
        <v>190</v>
      </c>
      <c r="AL59" s="79">
        <v>0</v>
      </c>
      <c r="AM59" s="79" t="s">
        <v>2092</v>
      </c>
      <c r="AN59" s="114" t="str">
        <f>HYPERLINK("https://www.youtube.com/watch?v=kUJ_7No9jqc")</f>
        <v>https://www.youtube.com/watch?v=kUJ_7No9jqc</v>
      </c>
      <c r="AO59" s="78" t="str">
        <f>REPLACE(INDEX(GroupVertices[Group],MATCH(Vertices[[#This Row],[Vertex]],GroupVertices[Vertex],0)),1,1,"")</f>
        <v>ey Mama</v>
      </c>
      <c r="AP59" s="2"/>
      <c r="AQ59" s="3"/>
      <c r="AR59" s="3"/>
      <c r="AS59" s="3"/>
      <c r="AT59" s="3"/>
    </row>
    <row r="60" spans="1:46" ht="15">
      <c r="A60" s="64" t="s">
        <v>2132</v>
      </c>
      <c r="B60" s="65"/>
      <c r="C60" s="65"/>
      <c r="D60" s="66">
        <v>150</v>
      </c>
      <c r="E60" s="102">
        <v>97.85714285714286</v>
      </c>
      <c r="F60" s="98" t="str">
        <f>HYPERLINK("https://i.ytimg.com/vi/pqkM0r9Cv48/default.jpg")</f>
        <v>https://i.ytimg.com/vi/pqkM0r9Cv48/default.jpg</v>
      </c>
      <c r="G60" s="100"/>
      <c r="H60" s="69" t="s">
        <v>2610</v>
      </c>
      <c r="I60" s="70"/>
      <c r="J60" s="104" t="s">
        <v>159</v>
      </c>
      <c r="K60" s="69" t="s">
        <v>2610</v>
      </c>
      <c r="L60" s="105">
        <v>1</v>
      </c>
      <c r="M60" s="74">
        <v>9838.7880859375</v>
      </c>
      <c r="N60" s="74">
        <v>4714.04150390625</v>
      </c>
      <c r="O60" s="75"/>
      <c r="P60" s="76"/>
      <c r="Q60" s="76"/>
      <c r="R60" s="106"/>
      <c r="S60" s="48">
        <v>1</v>
      </c>
      <c r="T60" s="48">
        <v>0</v>
      </c>
      <c r="U60" s="49">
        <v>0</v>
      </c>
      <c r="V60" s="49">
        <v>0.012086</v>
      </c>
      <c r="W60" s="107"/>
      <c r="X60" s="50"/>
      <c r="Y60" s="50"/>
      <c r="Z60" s="49">
        <v>0</v>
      </c>
      <c r="AA60" s="71">
        <v>60</v>
      </c>
      <c r="AB60" s="71"/>
      <c r="AC60" s="72"/>
      <c r="AD60" s="79" t="s">
        <v>2610</v>
      </c>
      <c r="AE60" s="79" t="s">
        <v>1061</v>
      </c>
      <c r="AF60" s="79" t="s">
        <v>1406</v>
      </c>
      <c r="AG60" s="79" t="s">
        <v>3697</v>
      </c>
      <c r="AH60" s="79" t="s">
        <v>3975</v>
      </c>
      <c r="AI60" s="79">
        <v>0</v>
      </c>
      <c r="AJ60" s="79">
        <v>0</v>
      </c>
      <c r="AK60" s="79">
        <v>0</v>
      </c>
      <c r="AL60" s="79">
        <v>0</v>
      </c>
      <c r="AM60" s="79" t="s">
        <v>2092</v>
      </c>
      <c r="AN60" s="114" t="str">
        <f>HYPERLINK("https://www.youtube.com/watch?v=pqkM0r9Cv48")</f>
        <v>https://www.youtube.com/watch?v=pqkM0r9Cv48</v>
      </c>
      <c r="AO60" s="78" t="str">
        <f>REPLACE(INDEX(GroupVertices[Group],MATCH(Vertices[[#This Row],[Vertex]],GroupVertices[Vertex],0)),1,1,"")</f>
        <v>uben Ruiz</v>
      </c>
      <c r="AP60" s="2"/>
      <c r="AQ60" s="3"/>
      <c r="AR60" s="3"/>
      <c r="AS60" s="3"/>
      <c r="AT60" s="3"/>
    </row>
    <row r="61" spans="1:46" ht="15">
      <c r="A61" s="64" t="s">
        <v>2133</v>
      </c>
      <c r="B61" s="65"/>
      <c r="C61" s="65"/>
      <c r="D61" s="66">
        <v>150</v>
      </c>
      <c r="E61" s="102">
        <v>97.85714285714286</v>
      </c>
      <c r="F61" s="98" t="str">
        <f>HYPERLINK("https://i.ytimg.com/vi/rgnTMRfGR4I/default.jpg")</f>
        <v>https://i.ytimg.com/vi/rgnTMRfGR4I/default.jpg</v>
      </c>
      <c r="G61" s="100"/>
      <c r="H61" s="69" t="s">
        <v>2611</v>
      </c>
      <c r="I61" s="70"/>
      <c r="J61" s="104" t="s">
        <v>159</v>
      </c>
      <c r="K61" s="69" t="s">
        <v>2611</v>
      </c>
      <c r="L61" s="105">
        <v>1</v>
      </c>
      <c r="M61" s="74">
        <v>8602.2080078125</v>
      </c>
      <c r="N61" s="74">
        <v>4817.328125</v>
      </c>
      <c r="O61" s="75"/>
      <c r="P61" s="76"/>
      <c r="Q61" s="76"/>
      <c r="R61" s="106"/>
      <c r="S61" s="48">
        <v>1</v>
      </c>
      <c r="T61" s="48">
        <v>0</v>
      </c>
      <c r="U61" s="49">
        <v>0</v>
      </c>
      <c r="V61" s="49">
        <v>0.012086</v>
      </c>
      <c r="W61" s="107"/>
      <c r="X61" s="50"/>
      <c r="Y61" s="50"/>
      <c r="Z61" s="49">
        <v>0</v>
      </c>
      <c r="AA61" s="71">
        <v>61</v>
      </c>
      <c r="AB61" s="71"/>
      <c r="AC61" s="72"/>
      <c r="AD61" s="79" t="s">
        <v>2611</v>
      </c>
      <c r="AE61" s="79" t="s">
        <v>1061</v>
      </c>
      <c r="AF61" s="79" t="s">
        <v>1406</v>
      </c>
      <c r="AG61" s="79" t="s">
        <v>3698</v>
      </c>
      <c r="AH61" s="79" t="s">
        <v>3976</v>
      </c>
      <c r="AI61" s="79">
        <v>0</v>
      </c>
      <c r="AJ61" s="79">
        <v>0</v>
      </c>
      <c r="AK61" s="79">
        <v>0</v>
      </c>
      <c r="AL61" s="79">
        <v>0</v>
      </c>
      <c r="AM61" s="79" t="s">
        <v>2092</v>
      </c>
      <c r="AN61" s="114" t="str">
        <f>HYPERLINK("https://www.youtube.com/watch?v=rgnTMRfGR4I")</f>
        <v>https://www.youtube.com/watch?v=rgnTMRfGR4I</v>
      </c>
      <c r="AO61" s="78" t="str">
        <f>REPLACE(INDEX(GroupVertices[Group],MATCH(Vertices[[#This Row],[Vertex]],GroupVertices[Vertex],0)),1,1,"")</f>
        <v>ilyana guillermo</v>
      </c>
      <c r="AP61" s="2"/>
      <c r="AQ61" s="3"/>
      <c r="AR61" s="3"/>
      <c r="AS61" s="3"/>
      <c r="AT61" s="3"/>
    </row>
    <row r="62" spans="1:46" ht="15">
      <c r="A62" s="64" t="s">
        <v>2134</v>
      </c>
      <c r="B62" s="65"/>
      <c r="C62" s="65"/>
      <c r="D62" s="66">
        <v>150</v>
      </c>
      <c r="E62" s="102">
        <v>97.85714285714286</v>
      </c>
      <c r="F62" s="98" t="str">
        <f>HYPERLINK("https://i.ytimg.com/vi/lMqdJ0vaAo8/default.jpg")</f>
        <v>https://i.ytimg.com/vi/lMqdJ0vaAo8/default.jpg</v>
      </c>
      <c r="G62" s="100"/>
      <c r="H62" s="69" t="s">
        <v>2612</v>
      </c>
      <c r="I62" s="70"/>
      <c r="J62" s="104" t="s">
        <v>159</v>
      </c>
      <c r="K62" s="69" t="s">
        <v>2612</v>
      </c>
      <c r="L62" s="105">
        <v>1</v>
      </c>
      <c r="M62" s="74">
        <v>8994.6337890625</v>
      </c>
      <c r="N62" s="74">
        <v>3790.5166015625</v>
      </c>
      <c r="O62" s="75"/>
      <c r="P62" s="76"/>
      <c r="Q62" s="76"/>
      <c r="R62" s="106"/>
      <c r="S62" s="48">
        <v>1</v>
      </c>
      <c r="T62" s="48">
        <v>0</v>
      </c>
      <c r="U62" s="49">
        <v>0</v>
      </c>
      <c r="V62" s="49">
        <v>0.012086</v>
      </c>
      <c r="W62" s="107"/>
      <c r="X62" s="50"/>
      <c r="Y62" s="50"/>
      <c r="Z62" s="49">
        <v>0</v>
      </c>
      <c r="AA62" s="71">
        <v>62</v>
      </c>
      <c r="AB62" s="71"/>
      <c r="AC62" s="72"/>
      <c r="AD62" s="79" t="s">
        <v>2612</v>
      </c>
      <c r="AE62" s="79"/>
      <c r="AF62" s="79"/>
      <c r="AG62" s="79" t="s">
        <v>3699</v>
      </c>
      <c r="AH62" s="79" t="s">
        <v>3977</v>
      </c>
      <c r="AI62" s="79">
        <v>2</v>
      </c>
      <c r="AJ62" s="79">
        <v>0</v>
      </c>
      <c r="AK62" s="79">
        <v>0</v>
      </c>
      <c r="AL62" s="79">
        <v>0</v>
      </c>
      <c r="AM62" s="79" t="s">
        <v>2092</v>
      </c>
      <c r="AN62" s="114" t="str">
        <f>HYPERLINK("https://www.youtube.com/watch?v=lMqdJ0vaAo8")</f>
        <v>https://www.youtube.com/watch?v=lMqdJ0vaAo8</v>
      </c>
      <c r="AO62" s="78" t="str">
        <f>REPLACE(INDEX(GroupVertices[Group],MATCH(Vertices[[#This Row],[Vertex]],GroupVertices[Vertex],0)),1,1,"")</f>
        <v>anialim</v>
      </c>
      <c r="AP62" s="2"/>
      <c r="AQ62" s="3"/>
      <c r="AR62" s="3"/>
      <c r="AS62" s="3"/>
      <c r="AT62" s="3"/>
    </row>
    <row r="63" spans="1:46" ht="15">
      <c r="A63" s="64" t="s">
        <v>2135</v>
      </c>
      <c r="B63" s="65"/>
      <c r="C63" s="65"/>
      <c r="D63" s="66">
        <v>150</v>
      </c>
      <c r="E63" s="102">
        <v>97.85714285714286</v>
      </c>
      <c r="F63" s="98" t="str">
        <f>HYPERLINK("https://i.ytimg.com/vi/_zE6EAxkBQg/default.jpg")</f>
        <v>https://i.ytimg.com/vi/_zE6EAxkBQg/default.jpg</v>
      </c>
      <c r="G63" s="100"/>
      <c r="H63" s="69" t="s">
        <v>2613</v>
      </c>
      <c r="I63" s="70"/>
      <c r="J63" s="104" t="s">
        <v>159</v>
      </c>
      <c r="K63" s="69" t="s">
        <v>2613</v>
      </c>
      <c r="L63" s="105">
        <v>1</v>
      </c>
      <c r="M63" s="74">
        <v>9791.7744140625</v>
      </c>
      <c r="N63" s="74">
        <v>4101.18603515625</v>
      </c>
      <c r="O63" s="75"/>
      <c r="P63" s="76"/>
      <c r="Q63" s="76"/>
      <c r="R63" s="106"/>
      <c r="S63" s="48">
        <v>1</v>
      </c>
      <c r="T63" s="48">
        <v>0</v>
      </c>
      <c r="U63" s="49">
        <v>0</v>
      </c>
      <c r="V63" s="49">
        <v>0.012086</v>
      </c>
      <c r="W63" s="107"/>
      <c r="X63" s="50"/>
      <c r="Y63" s="50"/>
      <c r="Z63" s="49">
        <v>0</v>
      </c>
      <c r="AA63" s="71">
        <v>63</v>
      </c>
      <c r="AB63" s="71"/>
      <c r="AC63" s="72"/>
      <c r="AD63" s="79" t="s">
        <v>2613</v>
      </c>
      <c r="AE63" s="79" t="s">
        <v>3080</v>
      </c>
      <c r="AF63" s="79"/>
      <c r="AG63" s="79" t="s">
        <v>3700</v>
      </c>
      <c r="AH63" s="79" t="s">
        <v>3978</v>
      </c>
      <c r="AI63" s="79">
        <v>67171</v>
      </c>
      <c r="AJ63" s="79">
        <v>8</v>
      </c>
      <c r="AK63" s="79">
        <v>96</v>
      </c>
      <c r="AL63" s="79">
        <v>0</v>
      </c>
      <c r="AM63" s="79" t="s">
        <v>2092</v>
      </c>
      <c r="AN63" s="114" t="str">
        <f>HYPERLINK("https://www.youtube.com/watch?v=_zE6EAxkBQg")</f>
        <v>https://www.youtube.com/watch?v=_zE6EAxkBQg</v>
      </c>
      <c r="AO63" s="78" t="str">
        <f>REPLACE(INDEX(GroupVertices[Group],MATCH(Vertices[[#This Row],[Vertex]],GroupVertices[Vertex],0)),1,1,"")</f>
        <v>xpertisecentrum Kraamzorg 'de wieg' voor ouders</v>
      </c>
      <c r="AP63" s="2"/>
      <c r="AQ63" s="3"/>
      <c r="AR63" s="3"/>
      <c r="AS63" s="3"/>
      <c r="AT63" s="3"/>
    </row>
    <row r="64" spans="1:46" ht="15">
      <c r="A64" s="64" t="s">
        <v>2136</v>
      </c>
      <c r="B64" s="65"/>
      <c r="C64" s="65"/>
      <c r="D64" s="66">
        <v>150</v>
      </c>
      <c r="E64" s="102">
        <v>97.85714285714286</v>
      </c>
      <c r="F64" s="98" t="str">
        <f>HYPERLINK("https://i.ytimg.com/vi/zNPJhb9S4LY/default.jpg")</f>
        <v>https://i.ytimg.com/vi/zNPJhb9S4LY/default.jpg</v>
      </c>
      <c r="G64" s="100"/>
      <c r="H64" s="69" t="s">
        <v>2614</v>
      </c>
      <c r="I64" s="70"/>
      <c r="J64" s="104" t="s">
        <v>159</v>
      </c>
      <c r="K64" s="69" t="s">
        <v>2614</v>
      </c>
      <c r="L64" s="105">
        <v>1</v>
      </c>
      <c r="M64" s="74">
        <v>8803.328125</v>
      </c>
      <c r="N64" s="74">
        <v>4579.26171875</v>
      </c>
      <c r="O64" s="75"/>
      <c r="P64" s="76"/>
      <c r="Q64" s="76"/>
      <c r="R64" s="106"/>
      <c r="S64" s="48">
        <v>1</v>
      </c>
      <c r="T64" s="48">
        <v>0</v>
      </c>
      <c r="U64" s="49">
        <v>0</v>
      </c>
      <c r="V64" s="49">
        <v>0.012086</v>
      </c>
      <c r="W64" s="107"/>
      <c r="X64" s="50"/>
      <c r="Y64" s="50"/>
      <c r="Z64" s="49">
        <v>0</v>
      </c>
      <c r="AA64" s="71">
        <v>64</v>
      </c>
      <c r="AB64" s="71"/>
      <c r="AC64" s="72"/>
      <c r="AD64" s="79" t="s">
        <v>2614</v>
      </c>
      <c r="AE64" s="79" t="s">
        <v>3081</v>
      </c>
      <c r="AF64" s="79"/>
      <c r="AG64" s="79" t="s">
        <v>3701</v>
      </c>
      <c r="AH64" s="79" t="s">
        <v>3979</v>
      </c>
      <c r="AI64" s="79">
        <v>53</v>
      </c>
      <c r="AJ64" s="79">
        <v>2</v>
      </c>
      <c r="AK64" s="79">
        <v>2</v>
      </c>
      <c r="AL64" s="79">
        <v>0</v>
      </c>
      <c r="AM64" s="79" t="s">
        <v>2092</v>
      </c>
      <c r="AN64" s="114" t="str">
        <f>HYPERLINK("https://www.youtube.com/watch?v=zNPJhb9S4LY")</f>
        <v>https://www.youtube.com/watch?v=zNPJhb9S4LY</v>
      </c>
      <c r="AO64" s="78" t="str">
        <f>REPLACE(INDEX(GroupVertices[Group],MATCH(Vertices[[#This Row],[Vertex]],GroupVertices[Vertex],0)),1,1,"")</f>
        <v>eather Anne</v>
      </c>
      <c r="AP64" s="2"/>
      <c r="AQ64" s="3"/>
      <c r="AR64" s="3"/>
      <c r="AS64" s="3"/>
      <c r="AT64" s="3"/>
    </row>
    <row r="65" spans="1:46" ht="15">
      <c r="A65" s="64" t="s">
        <v>2137</v>
      </c>
      <c r="B65" s="65"/>
      <c r="C65" s="65"/>
      <c r="D65" s="66">
        <v>150</v>
      </c>
      <c r="E65" s="102">
        <v>97.85714285714286</v>
      </c>
      <c r="F65" s="98" t="str">
        <f>HYPERLINK("https://i.ytimg.com/vi/MdTPy-zQtF4/default.jpg")</f>
        <v>https://i.ytimg.com/vi/MdTPy-zQtF4/default.jpg</v>
      </c>
      <c r="G65" s="100"/>
      <c r="H65" s="69" t="s">
        <v>2615</v>
      </c>
      <c r="I65" s="70"/>
      <c r="J65" s="104" t="s">
        <v>159</v>
      </c>
      <c r="K65" s="69" t="s">
        <v>2615</v>
      </c>
      <c r="L65" s="105">
        <v>1</v>
      </c>
      <c r="M65" s="74">
        <v>9108.0966796875</v>
      </c>
      <c r="N65" s="74">
        <v>4873.2099609375</v>
      </c>
      <c r="O65" s="75"/>
      <c r="P65" s="76"/>
      <c r="Q65" s="76"/>
      <c r="R65" s="106"/>
      <c r="S65" s="48">
        <v>1</v>
      </c>
      <c r="T65" s="48">
        <v>0</v>
      </c>
      <c r="U65" s="49">
        <v>0</v>
      </c>
      <c r="V65" s="49">
        <v>0.012086</v>
      </c>
      <c r="W65" s="107"/>
      <c r="X65" s="50"/>
      <c r="Y65" s="50"/>
      <c r="Z65" s="49">
        <v>0</v>
      </c>
      <c r="AA65" s="71">
        <v>65</v>
      </c>
      <c r="AB65" s="71"/>
      <c r="AC65" s="72"/>
      <c r="AD65" s="79" t="s">
        <v>2615</v>
      </c>
      <c r="AE65" s="79" t="s">
        <v>3082</v>
      </c>
      <c r="AF65" s="79"/>
      <c r="AG65" s="79" t="s">
        <v>3702</v>
      </c>
      <c r="AH65" s="79" t="s">
        <v>3980</v>
      </c>
      <c r="AI65" s="79">
        <v>3</v>
      </c>
      <c r="AJ65" s="79">
        <v>0</v>
      </c>
      <c r="AK65" s="79">
        <v>0</v>
      </c>
      <c r="AL65" s="79">
        <v>0</v>
      </c>
      <c r="AM65" s="79" t="s">
        <v>2092</v>
      </c>
      <c r="AN65" s="114" t="str">
        <f>HYPERLINK("https://www.youtube.com/watch?v=MdTPy-zQtF4")</f>
        <v>https://www.youtube.com/watch?v=MdTPy-zQtF4</v>
      </c>
      <c r="AO65" s="78" t="str">
        <f>REPLACE(INDEX(GroupVertices[Group],MATCH(Vertices[[#This Row],[Vertex]],GroupVertices[Vertex],0)),1,1,"")</f>
        <v>indRich Entertainment</v>
      </c>
      <c r="AP65" s="2"/>
      <c r="AQ65" s="3"/>
      <c r="AR65" s="3"/>
      <c r="AS65" s="3"/>
      <c r="AT65" s="3"/>
    </row>
    <row r="66" spans="1:46" ht="15">
      <c r="A66" s="64" t="s">
        <v>278</v>
      </c>
      <c r="B66" s="65"/>
      <c r="C66" s="65"/>
      <c r="D66" s="66">
        <v>150</v>
      </c>
      <c r="E66" s="102">
        <v>97.85714285714286</v>
      </c>
      <c r="F66" s="98" t="str">
        <f>HYPERLINK("https://i.ytimg.com/vi/34awnW3ayZ4/default.jpg")</f>
        <v>https://i.ytimg.com/vi/34awnW3ayZ4/default.jpg</v>
      </c>
      <c r="G66" s="100"/>
      <c r="H66" s="69" t="s">
        <v>670</v>
      </c>
      <c r="I66" s="70"/>
      <c r="J66" s="104" t="s">
        <v>159</v>
      </c>
      <c r="K66" s="69" t="s">
        <v>670</v>
      </c>
      <c r="L66" s="105">
        <v>1</v>
      </c>
      <c r="M66" s="74">
        <v>9865.14453125</v>
      </c>
      <c r="N66" s="74">
        <v>4425.80224609375</v>
      </c>
      <c r="O66" s="75"/>
      <c r="P66" s="76"/>
      <c r="Q66" s="76"/>
      <c r="R66" s="106"/>
      <c r="S66" s="48">
        <v>1</v>
      </c>
      <c r="T66" s="48">
        <v>0</v>
      </c>
      <c r="U66" s="49">
        <v>0</v>
      </c>
      <c r="V66" s="49">
        <v>0.012086</v>
      </c>
      <c r="W66" s="107"/>
      <c r="X66" s="50"/>
      <c r="Y66" s="50"/>
      <c r="Z66" s="49">
        <v>0</v>
      </c>
      <c r="AA66" s="71">
        <v>66</v>
      </c>
      <c r="AB66" s="71"/>
      <c r="AC66" s="72"/>
      <c r="AD66" s="79" t="s">
        <v>670</v>
      </c>
      <c r="AE66" s="79" t="s">
        <v>3083</v>
      </c>
      <c r="AF66" s="79"/>
      <c r="AG66" s="79" t="s">
        <v>1534</v>
      </c>
      <c r="AH66" s="79" t="s">
        <v>1723</v>
      </c>
      <c r="AI66" s="79">
        <v>12</v>
      </c>
      <c r="AJ66" s="79">
        <v>0</v>
      </c>
      <c r="AK66" s="79">
        <v>1</v>
      </c>
      <c r="AL66" s="79">
        <v>0</v>
      </c>
      <c r="AM66" s="79" t="s">
        <v>2092</v>
      </c>
      <c r="AN66" s="114" t="str">
        <f>HYPERLINK("https://www.youtube.com/watch?v=34awnW3ayZ4")</f>
        <v>https://www.youtube.com/watch?v=34awnW3ayZ4</v>
      </c>
      <c r="AO66" s="78" t="str">
        <f>REPLACE(INDEX(GroupVertices[Group],MATCH(Vertices[[#This Row],[Vertex]],GroupVertices[Vertex],0)),1,1,"")</f>
        <v>uilding Resilience In Children</v>
      </c>
      <c r="AP66" s="2"/>
      <c r="AQ66" s="3"/>
      <c r="AR66" s="3"/>
      <c r="AS66" s="3"/>
      <c r="AT66" s="3"/>
    </row>
    <row r="67" spans="1:46" ht="15">
      <c r="A67" s="64" t="s">
        <v>2138</v>
      </c>
      <c r="B67" s="65"/>
      <c r="C67" s="65"/>
      <c r="D67" s="66">
        <v>150</v>
      </c>
      <c r="E67" s="102">
        <v>97.85714285714286</v>
      </c>
      <c r="F67" s="98" t="str">
        <f>HYPERLINK("https://i.ytimg.com/vi/MzdO7wuSFns/default.jpg")</f>
        <v>https://i.ytimg.com/vi/MzdO7wuSFns/default.jpg</v>
      </c>
      <c r="G67" s="100"/>
      <c r="H67" s="69" t="s">
        <v>2616</v>
      </c>
      <c r="I67" s="70"/>
      <c r="J67" s="104" t="s">
        <v>159</v>
      </c>
      <c r="K67" s="69" t="s">
        <v>2616</v>
      </c>
      <c r="L67" s="105">
        <v>1</v>
      </c>
      <c r="M67" s="74">
        <v>9579.12890625</v>
      </c>
      <c r="N67" s="74">
        <v>3866.241455078125</v>
      </c>
      <c r="O67" s="75"/>
      <c r="P67" s="76"/>
      <c r="Q67" s="76"/>
      <c r="R67" s="106"/>
      <c r="S67" s="48">
        <v>1</v>
      </c>
      <c r="T67" s="48">
        <v>0</v>
      </c>
      <c r="U67" s="49">
        <v>0</v>
      </c>
      <c r="V67" s="49">
        <v>0.012086</v>
      </c>
      <c r="W67" s="107"/>
      <c r="X67" s="50"/>
      <c r="Y67" s="50"/>
      <c r="Z67" s="49">
        <v>0</v>
      </c>
      <c r="AA67" s="71">
        <v>67</v>
      </c>
      <c r="AB67" s="71"/>
      <c r="AC67" s="72"/>
      <c r="AD67" s="79" t="s">
        <v>2616</v>
      </c>
      <c r="AE67" s="79"/>
      <c r="AF67" s="79"/>
      <c r="AG67" s="79" t="s">
        <v>3703</v>
      </c>
      <c r="AH67" s="79" t="s">
        <v>3981</v>
      </c>
      <c r="AI67" s="79">
        <v>82</v>
      </c>
      <c r="AJ67" s="79">
        <v>0</v>
      </c>
      <c r="AK67" s="79">
        <v>1</v>
      </c>
      <c r="AL67" s="79">
        <v>0</v>
      </c>
      <c r="AM67" s="79" t="s">
        <v>2092</v>
      </c>
      <c r="AN67" s="114" t="str">
        <f>HYPERLINK("https://www.youtube.com/watch?v=MzdO7wuSFns")</f>
        <v>https://www.youtube.com/watch?v=MzdO7wuSFns</v>
      </c>
      <c r="AO67" s="78" t="str">
        <f>REPLACE(INDEX(GroupVertices[Group],MATCH(Vertices[[#This Row],[Vertex]],GroupVertices[Vertex],0)),1,1,"")</f>
        <v>ariush Khandan UCI</v>
      </c>
      <c r="AP67" s="2"/>
      <c r="AQ67" s="3"/>
      <c r="AR67" s="3"/>
      <c r="AS67" s="3"/>
      <c r="AT67" s="3"/>
    </row>
    <row r="68" spans="1:46" ht="15">
      <c r="A68" s="64" t="s">
        <v>380</v>
      </c>
      <c r="B68" s="65"/>
      <c r="C68" s="65"/>
      <c r="D68" s="66">
        <v>150</v>
      </c>
      <c r="E68" s="102">
        <v>97.85714285714286</v>
      </c>
      <c r="F68" s="98" t="str">
        <f>HYPERLINK("https://i.ytimg.com/vi/F8wQwyjvYD8/default.jpg")</f>
        <v>https://i.ytimg.com/vi/F8wQwyjvYD8/default.jpg</v>
      </c>
      <c r="G68" s="100"/>
      <c r="H68" s="69" t="s">
        <v>789</v>
      </c>
      <c r="I68" s="70"/>
      <c r="J68" s="104" t="s">
        <v>159</v>
      </c>
      <c r="K68" s="69" t="s">
        <v>789</v>
      </c>
      <c r="L68" s="105">
        <v>1</v>
      </c>
      <c r="M68" s="74">
        <v>9486</v>
      </c>
      <c r="N68" s="74">
        <v>5116.5673828125</v>
      </c>
      <c r="O68" s="75"/>
      <c r="P68" s="76"/>
      <c r="Q68" s="76"/>
      <c r="R68" s="106"/>
      <c r="S68" s="48">
        <v>1</v>
      </c>
      <c r="T68" s="48">
        <v>0</v>
      </c>
      <c r="U68" s="49">
        <v>0</v>
      </c>
      <c r="V68" s="49">
        <v>0.012086</v>
      </c>
      <c r="W68" s="107"/>
      <c r="X68" s="50"/>
      <c r="Y68" s="50"/>
      <c r="Z68" s="49">
        <v>0</v>
      </c>
      <c r="AA68" s="71">
        <v>68</v>
      </c>
      <c r="AB68" s="71"/>
      <c r="AC68" s="72"/>
      <c r="AD68" s="79" t="s">
        <v>789</v>
      </c>
      <c r="AE68" s="79" t="s">
        <v>1129</v>
      </c>
      <c r="AF68" s="79"/>
      <c r="AG68" s="79" t="s">
        <v>1584</v>
      </c>
      <c r="AH68" s="79" t="s">
        <v>1845</v>
      </c>
      <c r="AI68" s="79">
        <v>2780</v>
      </c>
      <c r="AJ68" s="79">
        <v>0</v>
      </c>
      <c r="AK68" s="79">
        <v>5</v>
      </c>
      <c r="AL68" s="79">
        <v>0</v>
      </c>
      <c r="AM68" s="79" t="s">
        <v>2092</v>
      </c>
      <c r="AN68" s="114" t="str">
        <f>HYPERLINK("https://www.youtube.com/watch?v=F8wQwyjvYD8")</f>
        <v>https://www.youtube.com/watch?v=F8wQwyjvYD8</v>
      </c>
      <c r="AO68" s="78" t="str">
        <f>REPLACE(INDEX(GroupVertices[Group],MATCH(Vertices[[#This Row],[Vertex]],GroupVertices[Vertex],0)),1,1,"")</f>
        <v>AMI Global Network</v>
      </c>
      <c r="AP68" s="2"/>
      <c r="AQ68" s="3"/>
      <c r="AR68" s="3"/>
      <c r="AS68" s="3"/>
      <c r="AT68" s="3"/>
    </row>
    <row r="69" spans="1:46" ht="15">
      <c r="A69" s="64" t="s">
        <v>382</v>
      </c>
      <c r="B69" s="65"/>
      <c r="C69" s="65"/>
      <c r="D69" s="66">
        <v>150</v>
      </c>
      <c r="E69" s="102">
        <v>97.85714285714286</v>
      </c>
      <c r="F69" s="98" t="str">
        <f>HYPERLINK("https://i.ytimg.com/vi/FZz5qf2c92E/default.jpg")</f>
        <v>https://i.ytimg.com/vi/FZz5qf2c92E/default.jpg</v>
      </c>
      <c r="G69" s="100"/>
      <c r="H69" s="69" t="s">
        <v>791</v>
      </c>
      <c r="I69" s="70"/>
      <c r="J69" s="104" t="s">
        <v>159</v>
      </c>
      <c r="K69" s="69" t="s">
        <v>791</v>
      </c>
      <c r="L69" s="105">
        <v>1</v>
      </c>
      <c r="M69" s="74">
        <v>8526.5908203125</v>
      </c>
      <c r="N69" s="74">
        <v>4487.89306640625</v>
      </c>
      <c r="O69" s="75"/>
      <c r="P69" s="76"/>
      <c r="Q69" s="76"/>
      <c r="R69" s="106"/>
      <c r="S69" s="48">
        <v>1</v>
      </c>
      <c r="T69" s="48">
        <v>0</v>
      </c>
      <c r="U69" s="49">
        <v>0</v>
      </c>
      <c r="V69" s="49">
        <v>0.012086</v>
      </c>
      <c r="W69" s="107"/>
      <c r="X69" s="50"/>
      <c r="Y69" s="50"/>
      <c r="Z69" s="49">
        <v>0</v>
      </c>
      <c r="AA69" s="71">
        <v>69</v>
      </c>
      <c r="AB69" s="71"/>
      <c r="AC69" s="72"/>
      <c r="AD69" s="79" t="s">
        <v>791</v>
      </c>
      <c r="AE69" s="79" t="s">
        <v>1130</v>
      </c>
      <c r="AF69" s="79"/>
      <c r="AG69" s="79" t="s">
        <v>1585</v>
      </c>
      <c r="AH69" s="79" t="s">
        <v>1846</v>
      </c>
      <c r="AI69" s="79">
        <v>112760</v>
      </c>
      <c r="AJ69" s="79">
        <v>0</v>
      </c>
      <c r="AK69" s="79">
        <v>152</v>
      </c>
      <c r="AL69" s="79">
        <v>0</v>
      </c>
      <c r="AM69" s="79" t="s">
        <v>2092</v>
      </c>
      <c r="AN69" s="114" t="str">
        <f>HYPERLINK("https://www.youtube.com/watch?v=FZz5qf2c92E")</f>
        <v>https://www.youtube.com/watch?v=FZz5qf2c92E</v>
      </c>
      <c r="AO69" s="78" t="str">
        <f>REPLACE(INDEX(GroupVertices[Group],MATCH(Vertices[[#This Row],[Vertex]],GroupVertices[Vertex],0)),1,1,"")</f>
        <v>unger Solutions New York</v>
      </c>
      <c r="AP69" s="2"/>
      <c r="AQ69" s="3"/>
      <c r="AR69" s="3"/>
      <c r="AS69" s="3"/>
      <c r="AT69" s="3"/>
    </row>
    <row r="70" spans="1:46" ht="15">
      <c r="A70" s="64" t="s">
        <v>384</v>
      </c>
      <c r="B70" s="65"/>
      <c r="C70" s="65"/>
      <c r="D70" s="66">
        <v>150</v>
      </c>
      <c r="E70" s="102">
        <v>97.85714285714286</v>
      </c>
      <c r="F70" s="98" t="str">
        <f>HYPERLINK("https://i.ytimg.com/vi/ynMc1UpCKJ0/default.jpg")</f>
        <v>https://i.ytimg.com/vi/ynMc1UpCKJ0/default.jpg</v>
      </c>
      <c r="G70" s="100"/>
      <c r="H70" s="69" t="s">
        <v>793</v>
      </c>
      <c r="I70" s="70"/>
      <c r="J70" s="104" t="s">
        <v>159</v>
      </c>
      <c r="K70" s="69" t="s">
        <v>793</v>
      </c>
      <c r="L70" s="105">
        <v>1</v>
      </c>
      <c r="M70" s="74">
        <v>9003.083984375</v>
      </c>
      <c r="N70" s="74">
        <v>5189.66943359375</v>
      </c>
      <c r="O70" s="75"/>
      <c r="P70" s="76"/>
      <c r="Q70" s="76"/>
      <c r="R70" s="106"/>
      <c r="S70" s="48">
        <v>1</v>
      </c>
      <c r="T70" s="48">
        <v>0</v>
      </c>
      <c r="U70" s="49">
        <v>0</v>
      </c>
      <c r="V70" s="49">
        <v>0.012086</v>
      </c>
      <c r="W70" s="107"/>
      <c r="X70" s="50"/>
      <c r="Y70" s="50"/>
      <c r="Z70" s="49">
        <v>0</v>
      </c>
      <c r="AA70" s="71">
        <v>70</v>
      </c>
      <c r="AB70" s="71"/>
      <c r="AC70" s="72"/>
      <c r="AD70" s="79" t="s">
        <v>793</v>
      </c>
      <c r="AE70" s="79"/>
      <c r="AF70" s="79"/>
      <c r="AG70" s="79" t="s">
        <v>1583</v>
      </c>
      <c r="AH70" s="79" t="s">
        <v>1848</v>
      </c>
      <c r="AI70" s="79">
        <v>19485</v>
      </c>
      <c r="AJ70" s="79">
        <v>1</v>
      </c>
      <c r="AK70" s="79">
        <v>27</v>
      </c>
      <c r="AL70" s="79">
        <v>0</v>
      </c>
      <c r="AM70" s="79" t="s">
        <v>2092</v>
      </c>
      <c r="AN70" s="114" t="str">
        <f>HYPERLINK("https://www.youtube.com/watch?v=ynMc1UpCKJ0")</f>
        <v>https://www.youtube.com/watch?v=ynMc1UpCKJ0</v>
      </c>
      <c r="AO70" s="78" t="str">
        <f>REPLACE(INDEX(GroupVertices[Group],MATCH(Vertices[[#This Row],[Vertex]],GroupVertices[Vertex],0)),1,1,"")</f>
        <v>2Z OF HEALTH</v>
      </c>
      <c r="AP70" s="2"/>
      <c r="AQ70" s="3"/>
      <c r="AR70" s="3"/>
      <c r="AS70" s="3"/>
      <c r="AT70" s="3"/>
    </row>
    <row r="71" spans="1:46" ht="15">
      <c r="A71" s="64" t="s">
        <v>378</v>
      </c>
      <c r="B71" s="65"/>
      <c r="C71" s="65"/>
      <c r="D71" s="66">
        <v>150</v>
      </c>
      <c r="E71" s="102">
        <v>97.85714285714286</v>
      </c>
      <c r="F71" s="98" t="str">
        <f>HYPERLINK("https://i.ytimg.com/vi/-g1cokBP6fU/default.jpg")</f>
        <v>https://i.ytimg.com/vi/-g1cokBP6fU/default.jpg</v>
      </c>
      <c r="G71" s="100"/>
      <c r="H71" s="69" t="s">
        <v>787</v>
      </c>
      <c r="I71" s="70"/>
      <c r="J71" s="104" t="s">
        <v>159</v>
      </c>
      <c r="K71" s="69" t="s">
        <v>787</v>
      </c>
      <c r="L71" s="105">
        <v>1</v>
      </c>
      <c r="M71" s="74">
        <v>9296.830078125</v>
      </c>
      <c r="N71" s="74">
        <v>4020.4580078125</v>
      </c>
      <c r="O71" s="75"/>
      <c r="P71" s="76"/>
      <c r="Q71" s="76"/>
      <c r="R71" s="106"/>
      <c r="S71" s="48">
        <v>1</v>
      </c>
      <c r="T71" s="48">
        <v>0</v>
      </c>
      <c r="U71" s="49">
        <v>0</v>
      </c>
      <c r="V71" s="49">
        <v>0.012086</v>
      </c>
      <c r="W71" s="107"/>
      <c r="X71" s="50"/>
      <c r="Y71" s="50"/>
      <c r="Z71" s="49">
        <v>0</v>
      </c>
      <c r="AA71" s="71">
        <v>71</v>
      </c>
      <c r="AB71" s="71"/>
      <c r="AC71" s="72"/>
      <c r="AD71" s="79" t="s">
        <v>787</v>
      </c>
      <c r="AE71" s="79" t="s">
        <v>1128</v>
      </c>
      <c r="AF71" s="79"/>
      <c r="AG71" s="79" t="s">
        <v>1583</v>
      </c>
      <c r="AH71" s="79" t="s">
        <v>1843</v>
      </c>
      <c r="AI71" s="79">
        <v>90</v>
      </c>
      <c r="AJ71" s="79">
        <v>0</v>
      </c>
      <c r="AK71" s="79">
        <v>4</v>
      </c>
      <c r="AL71" s="79">
        <v>0</v>
      </c>
      <c r="AM71" s="79" t="s">
        <v>2092</v>
      </c>
      <c r="AN71" s="114" t="str">
        <f>HYPERLINK("https://www.youtube.com/watch?v=-g1cokBP6fU")</f>
        <v>https://www.youtube.com/watch?v=-g1cokBP6fU</v>
      </c>
      <c r="AO71" s="78" t="str">
        <f>REPLACE(INDEX(GroupVertices[Group],MATCH(Vertices[[#This Row],[Vertex]],GroupVertices[Vertex],0)),1,1,"")</f>
        <v>2Z OF HEALTH</v>
      </c>
      <c r="AP71" s="2"/>
      <c r="AQ71" s="3"/>
      <c r="AR71" s="3"/>
      <c r="AS71" s="3"/>
      <c r="AT71" s="3"/>
    </row>
    <row r="72" spans="1:46" ht="15">
      <c r="A72" s="64" t="s">
        <v>383</v>
      </c>
      <c r="B72" s="65"/>
      <c r="C72" s="65"/>
      <c r="D72" s="66">
        <v>150</v>
      </c>
      <c r="E72" s="102">
        <v>97.85714285714286</v>
      </c>
      <c r="F72" s="98" t="str">
        <f>HYPERLINK("https://i.ytimg.com/vi/b5Scq2UTyoY/default.jpg")</f>
        <v>https://i.ytimg.com/vi/b5Scq2UTyoY/default.jpg</v>
      </c>
      <c r="G72" s="100"/>
      <c r="H72" s="69" t="s">
        <v>792</v>
      </c>
      <c r="I72" s="70"/>
      <c r="J72" s="104" t="s">
        <v>159</v>
      </c>
      <c r="K72" s="69" t="s">
        <v>792</v>
      </c>
      <c r="L72" s="105">
        <v>1</v>
      </c>
      <c r="M72" s="74">
        <v>9279.4619140625</v>
      </c>
      <c r="N72" s="74">
        <v>3735.258544921875</v>
      </c>
      <c r="O72" s="75"/>
      <c r="P72" s="76"/>
      <c r="Q72" s="76"/>
      <c r="R72" s="106"/>
      <c r="S72" s="48">
        <v>1</v>
      </c>
      <c r="T72" s="48">
        <v>0</v>
      </c>
      <c r="U72" s="49">
        <v>0</v>
      </c>
      <c r="V72" s="49">
        <v>0.012086</v>
      </c>
      <c r="W72" s="107"/>
      <c r="X72" s="50"/>
      <c r="Y72" s="50"/>
      <c r="Z72" s="49">
        <v>0</v>
      </c>
      <c r="AA72" s="71">
        <v>72</v>
      </c>
      <c r="AB72" s="71"/>
      <c r="AC72" s="72"/>
      <c r="AD72" s="79" t="s">
        <v>792</v>
      </c>
      <c r="AE72" s="79" t="s">
        <v>1131</v>
      </c>
      <c r="AF72" s="79"/>
      <c r="AG72" s="79" t="s">
        <v>1583</v>
      </c>
      <c r="AH72" s="79" t="s">
        <v>1847</v>
      </c>
      <c r="AI72" s="79">
        <v>37</v>
      </c>
      <c r="AJ72" s="79">
        <v>0</v>
      </c>
      <c r="AK72" s="79">
        <v>3</v>
      </c>
      <c r="AL72" s="79">
        <v>0</v>
      </c>
      <c r="AM72" s="79" t="s">
        <v>2092</v>
      </c>
      <c r="AN72" s="114" t="str">
        <f>HYPERLINK("https://www.youtube.com/watch?v=b5Scq2UTyoY")</f>
        <v>https://www.youtube.com/watch?v=b5Scq2UTyoY</v>
      </c>
      <c r="AO72" s="78" t="str">
        <f>REPLACE(INDEX(GroupVertices[Group],MATCH(Vertices[[#This Row],[Vertex]],GroupVertices[Vertex],0)),1,1,"")</f>
        <v>2Z OF HEALTH</v>
      </c>
      <c r="AP72" s="2"/>
      <c r="AQ72" s="3"/>
      <c r="AR72" s="3"/>
      <c r="AS72" s="3"/>
      <c r="AT72" s="3"/>
    </row>
    <row r="73" spans="1:46" ht="15">
      <c r="A73" s="64" t="s">
        <v>379</v>
      </c>
      <c r="B73" s="65"/>
      <c r="C73" s="65"/>
      <c r="D73" s="66">
        <v>150</v>
      </c>
      <c r="E73" s="102">
        <v>97.85714285714286</v>
      </c>
      <c r="F73" s="98" t="str">
        <f>HYPERLINK("https://i.ytimg.com/vi/ChbLcYWk-iw/default.jpg")</f>
        <v>https://i.ytimg.com/vi/ChbLcYWk-iw/default.jpg</v>
      </c>
      <c r="G73" s="100"/>
      <c r="H73" s="69" t="s">
        <v>788</v>
      </c>
      <c r="I73" s="70"/>
      <c r="J73" s="104" t="s">
        <v>159</v>
      </c>
      <c r="K73" s="69" t="s">
        <v>788</v>
      </c>
      <c r="L73" s="105">
        <v>1</v>
      </c>
      <c r="M73" s="74">
        <v>8773.576171875</v>
      </c>
      <c r="N73" s="74">
        <v>5035.4287109375</v>
      </c>
      <c r="O73" s="75"/>
      <c r="P73" s="76"/>
      <c r="Q73" s="76"/>
      <c r="R73" s="106"/>
      <c r="S73" s="48">
        <v>1</v>
      </c>
      <c r="T73" s="48">
        <v>0</v>
      </c>
      <c r="U73" s="49">
        <v>0</v>
      </c>
      <c r="V73" s="49">
        <v>0.012086</v>
      </c>
      <c r="W73" s="107"/>
      <c r="X73" s="50"/>
      <c r="Y73" s="50"/>
      <c r="Z73" s="49">
        <v>0</v>
      </c>
      <c r="AA73" s="71">
        <v>73</v>
      </c>
      <c r="AB73" s="71"/>
      <c r="AC73" s="72"/>
      <c r="AD73" s="79" t="s">
        <v>788</v>
      </c>
      <c r="AE73" s="79" t="s">
        <v>1128</v>
      </c>
      <c r="AF73" s="79"/>
      <c r="AG73" s="79" t="s">
        <v>1583</v>
      </c>
      <c r="AH73" s="79" t="s">
        <v>1844</v>
      </c>
      <c r="AI73" s="79">
        <v>263</v>
      </c>
      <c r="AJ73" s="79">
        <v>0</v>
      </c>
      <c r="AK73" s="79">
        <v>6</v>
      </c>
      <c r="AL73" s="79">
        <v>0</v>
      </c>
      <c r="AM73" s="79" t="s">
        <v>2092</v>
      </c>
      <c r="AN73" s="114" t="str">
        <f>HYPERLINK("https://www.youtube.com/watch?v=ChbLcYWk-iw")</f>
        <v>https://www.youtube.com/watch?v=ChbLcYWk-iw</v>
      </c>
      <c r="AO73" s="78" t="str">
        <f>REPLACE(INDEX(GroupVertices[Group],MATCH(Vertices[[#This Row],[Vertex]],GroupVertices[Vertex],0)),1,1,"")</f>
        <v>2Z OF HEALTH</v>
      </c>
      <c r="AP73" s="2"/>
      <c r="AQ73" s="3"/>
      <c r="AR73" s="3"/>
      <c r="AS73" s="3"/>
      <c r="AT73" s="3"/>
    </row>
    <row r="74" spans="1:46" ht="15">
      <c r="A74" s="64" t="s">
        <v>326</v>
      </c>
      <c r="B74" s="65"/>
      <c r="C74" s="65"/>
      <c r="D74" s="66">
        <v>150</v>
      </c>
      <c r="E74" s="102">
        <v>76.42857142857143</v>
      </c>
      <c r="F74" s="98" t="str">
        <f>HYPERLINK("https://i.ytimg.com/vi/oJE_Sxe5DY8/default.jpg")</f>
        <v>https://i.ytimg.com/vi/oJE_Sxe5DY8/default.jpg</v>
      </c>
      <c r="G74" s="100"/>
      <c r="H74" s="69" t="s">
        <v>725</v>
      </c>
      <c r="I74" s="70"/>
      <c r="J74" s="104" t="s">
        <v>75</v>
      </c>
      <c r="K74" s="69" t="s">
        <v>725</v>
      </c>
      <c r="L74" s="105">
        <v>760.999901773265</v>
      </c>
      <c r="M74" s="74">
        <v>5196.74267578125</v>
      </c>
      <c r="N74" s="74">
        <v>4749.7421875</v>
      </c>
      <c r="O74" s="75"/>
      <c r="P74" s="76"/>
      <c r="Q74" s="76"/>
      <c r="R74" s="106"/>
      <c r="S74" s="48">
        <v>11</v>
      </c>
      <c r="T74" s="48">
        <v>0</v>
      </c>
      <c r="U74" s="49">
        <v>10616.162856</v>
      </c>
      <c r="V74" s="49">
        <v>0.120823</v>
      </c>
      <c r="W74" s="107"/>
      <c r="X74" s="50"/>
      <c r="Y74" s="50"/>
      <c r="Z74" s="49">
        <v>0</v>
      </c>
      <c r="AA74" s="71">
        <v>74</v>
      </c>
      <c r="AB74" s="71"/>
      <c r="AC74" s="72"/>
      <c r="AD74" s="79" t="s">
        <v>725</v>
      </c>
      <c r="AE74" s="79" t="s">
        <v>1088</v>
      </c>
      <c r="AF74" s="79"/>
      <c r="AG74" s="79" t="s">
        <v>1567</v>
      </c>
      <c r="AH74" s="79" t="s">
        <v>1780</v>
      </c>
      <c r="AI74" s="79">
        <v>11337</v>
      </c>
      <c r="AJ74" s="79">
        <v>3</v>
      </c>
      <c r="AK74" s="79">
        <v>59</v>
      </c>
      <c r="AL74" s="79">
        <v>0</v>
      </c>
      <c r="AM74" s="79" t="s">
        <v>2092</v>
      </c>
      <c r="AN74" s="114" t="str">
        <f>HYPERLINK("https://www.youtube.com/watch?v=oJE_Sxe5DY8")</f>
        <v>https://www.youtube.com/watch?v=oJE_Sxe5DY8</v>
      </c>
      <c r="AO74" s="78" t="str">
        <f>REPLACE(INDEX(GroupVertices[Group],MATCH(Vertices[[#This Row],[Vertex]],GroupVertices[Vertex],0)),1,1,"")</f>
        <v>eady Study Go</v>
      </c>
      <c r="AP74" s="2"/>
      <c r="AQ74" s="3"/>
      <c r="AR74" s="3"/>
      <c r="AS74" s="3"/>
      <c r="AT74" s="3"/>
    </row>
    <row r="75" spans="1:46" ht="15">
      <c r="A75" s="64" t="s">
        <v>346</v>
      </c>
      <c r="B75" s="65"/>
      <c r="C75" s="65"/>
      <c r="D75" s="66">
        <v>150</v>
      </c>
      <c r="E75" s="102">
        <v>80.71428571428571</v>
      </c>
      <c r="F75" s="98" t="str">
        <f>HYPERLINK("https://i.ytimg.com/vi/hidZpGoNaMI/default.jpg")</f>
        <v>https://i.ytimg.com/vi/hidZpGoNaMI/default.jpg</v>
      </c>
      <c r="G75" s="100"/>
      <c r="H75" s="69" t="s">
        <v>747</v>
      </c>
      <c r="I75" s="70"/>
      <c r="J75" s="104" t="s">
        <v>75</v>
      </c>
      <c r="K75" s="69" t="s">
        <v>747</v>
      </c>
      <c r="L75" s="105">
        <v>1.4044080279616167</v>
      </c>
      <c r="M75" s="74">
        <v>5137.44970703125</v>
      </c>
      <c r="N75" s="74">
        <v>4081.09130859375</v>
      </c>
      <c r="O75" s="75"/>
      <c r="P75" s="76"/>
      <c r="Q75" s="76"/>
      <c r="R75" s="106"/>
      <c r="S75" s="48">
        <v>9</v>
      </c>
      <c r="T75" s="48">
        <v>0</v>
      </c>
      <c r="U75" s="49">
        <v>5.649029</v>
      </c>
      <c r="V75" s="49">
        <v>0.105223</v>
      </c>
      <c r="W75" s="107"/>
      <c r="X75" s="50"/>
      <c r="Y75" s="50"/>
      <c r="Z75" s="49">
        <v>0</v>
      </c>
      <c r="AA75" s="71">
        <v>75</v>
      </c>
      <c r="AB75" s="71"/>
      <c r="AC75" s="72"/>
      <c r="AD75" s="79" t="s">
        <v>747</v>
      </c>
      <c r="AE75" s="79"/>
      <c r="AF75" s="79"/>
      <c r="AG75" s="79" t="s">
        <v>1562</v>
      </c>
      <c r="AH75" s="79" t="s">
        <v>1803</v>
      </c>
      <c r="AI75" s="79">
        <v>105</v>
      </c>
      <c r="AJ75" s="79">
        <v>0</v>
      </c>
      <c r="AK75" s="79">
        <v>0</v>
      </c>
      <c r="AL75" s="79">
        <v>0</v>
      </c>
      <c r="AM75" s="79" t="s">
        <v>2092</v>
      </c>
      <c r="AN75" s="114" t="str">
        <f>HYPERLINK("https://www.youtube.com/watch?v=hidZpGoNaMI")</f>
        <v>https://www.youtube.com/watch?v=hidZpGoNaMI</v>
      </c>
      <c r="AO75" s="78" t="str">
        <f>REPLACE(INDEX(GroupVertices[Group],MATCH(Vertices[[#This Row],[Vertex]],GroupVertices[Vertex],0)),1,1,"")</f>
        <v>nlineCEUCredit</v>
      </c>
      <c r="AP75" s="2"/>
      <c r="AQ75" s="3"/>
      <c r="AR75" s="3"/>
      <c r="AS75" s="3"/>
      <c r="AT75" s="3"/>
    </row>
    <row r="76" spans="1:46" ht="15">
      <c r="A76" s="64" t="s">
        <v>327</v>
      </c>
      <c r="B76" s="65"/>
      <c r="C76" s="65"/>
      <c r="D76" s="66">
        <v>150</v>
      </c>
      <c r="E76" s="102">
        <v>78.57142857142857</v>
      </c>
      <c r="F76" s="98" t="str">
        <f>HYPERLINK("https://i.ytimg.com/vi/5KegcfwmMeE/default.jpg")</f>
        <v>https://i.ytimg.com/vi/5KegcfwmMeE/default.jpg</v>
      </c>
      <c r="G76" s="100"/>
      <c r="H76" s="69" t="s">
        <v>726</v>
      </c>
      <c r="I76" s="70"/>
      <c r="J76" s="104" t="s">
        <v>75</v>
      </c>
      <c r="K76" s="69" t="s">
        <v>726</v>
      </c>
      <c r="L76" s="105">
        <v>1.5843702515059936</v>
      </c>
      <c r="M76" s="74">
        <v>5353.3017578125</v>
      </c>
      <c r="N76" s="74">
        <v>4910.56689453125</v>
      </c>
      <c r="O76" s="75"/>
      <c r="P76" s="76"/>
      <c r="Q76" s="76"/>
      <c r="R76" s="106"/>
      <c r="S76" s="48">
        <v>10</v>
      </c>
      <c r="T76" s="48">
        <v>0</v>
      </c>
      <c r="U76" s="49">
        <v>8.162856</v>
      </c>
      <c r="V76" s="49">
        <v>0.105244</v>
      </c>
      <c r="W76" s="107"/>
      <c r="X76" s="50"/>
      <c r="Y76" s="50"/>
      <c r="Z76" s="49">
        <v>0</v>
      </c>
      <c r="AA76" s="71">
        <v>76</v>
      </c>
      <c r="AB76" s="71"/>
      <c r="AC76" s="72"/>
      <c r="AD76" s="79" t="s">
        <v>726</v>
      </c>
      <c r="AE76" s="79"/>
      <c r="AF76" s="79"/>
      <c r="AG76" s="79" t="s">
        <v>1562</v>
      </c>
      <c r="AH76" s="79" t="s">
        <v>1781</v>
      </c>
      <c r="AI76" s="79">
        <v>29</v>
      </c>
      <c r="AJ76" s="79">
        <v>0</v>
      </c>
      <c r="AK76" s="79">
        <v>0</v>
      </c>
      <c r="AL76" s="79">
        <v>0</v>
      </c>
      <c r="AM76" s="79" t="s">
        <v>2092</v>
      </c>
      <c r="AN76" s="114" t="str">
        <f>HYPERLINK("https://www.youtube.com/watch?v=5KegcfwmMeE")</f>
        <v>https://www.youtube.com/watch?v=5KegcfwmMeE</v>
      </c>
      <c r="AO76" s="78" t="str">
        <f>REPLACE(INDEX(GroupVertices[Group],MATCH(Vertices[[#This Row],[Vertex]],GroupVertices[Vertex],0)),1,1,"")</f>
        <v>nlineCEUCredit</v>
      </c>
      <c r="AP76" s="2"/>
      <c r="AQ76" s="3"/>
      <c r="AR76" s="3"/>
      <c r="AS76" s="3"/>
      <c r="AT76" s="3"/>
    </row>
    <row r="77" spans="1:46" ht="15">
      <c r="A77" s="64" t="s">
        <v>344</v>
      </c>
      <c r="B77" s="65"/>
      <c r="C77" s="65"/>
      <c r="D77" s="66">
        <v>150</v>
      </c>
      <c r="E77" s="102">
        <v>87.14285714285714</v>
      </c>
      <c r="F77" s="98" t="str">
        <f>HYPERLINK("https://i.ytimg.com/vi/5zj8ZsyaCA4/default.jpg")</f>
        <v>https://i.ytimg.com/vi/5zj8ZsyaCA4/default.jpg</v>
      </c>
      <c r="G77" s="100"/>
      <c r="H77" s="69" t="s">
        <v>745</v>
      </c>
      <c r="I77" s="70"/>
      <c r="J77" s="104" t="s">
        <v>75</v>
      </c>
      <c r="K77" s="69" t="s">
        <v>745</v>
      </c>
      <c r="L77" s="105">
        <v>1.159222047029649</v>
      </c>
      <c r="M77" s="74">
        <v>6276.94091796875</v>
      </c>
      <c r="N77" s="74">
        <v>4124.24755859375</v>
      </c>
      <c r="O77" s="75"/>
      <c r="P77" s="76"/>
      <c r="Q77" s="76"/>
      <c r="R77" s="106"/>
      <c r="S77" s="48">
        <v>6</v>
      </c>
      <c r="T77" s="48">
        <v>0</v>
      </c>
      <c r="U77" s="49">
        <v>2.224115</v>
      </c>
      <c r="V77" s="49">
        <v>0.105121</v>
      </c>
      <c r="W77" s="107"/>
      <c r="X77" s="50"/>
      <c r="Y77" s="50"/>
      <c r="Z77" s="49">
        <v>0</v>
      </c>
      <c r="AA77" s="71">
        <v>77</v>
      </c>
      <c r="AB77" s="71"/>
      <c r="AC77" s="72"/>
      <c r="AD77" s="79" t="s">
        <v>745</v>
      </c>
      <c r="AE77" s="79" t="s">
        <v>1105</v>
      </c>
      <c r="AF77" s="79"/>
      <c r="AG77" s="79" t="s">
        <v>1562</v>
      </c>
      <c r="AH77" s="79" t="s">
        <v>1801</v>
      </c>
      <c r="AI77" s="79">
        <v>56</v>
      </c>
      <c r="AJ77" s="79">
        <v>0</v>
      </c>
      <c r="AK77" s="79">
        <v>0</v>
      </c>
      <c r="AL77" s="79">
        <v>0</v>
      </c>
      <c r="AM77" s="79" t="s">
        <v>2092</v>
      </c>
      <c r="AN77" s="114" t="str">
        <f>HYPERLINK("https://www.youtube.com/watch?v=5zj8ZsyaCA4")</f>
        <v>https://www.youtube.com/watch?v=5zj8ZsyaCA4</v>
      </c>
      <c r="AO77" s="78" t="str">
        <f>REPLACE(INDEX(GroupVertices[Group],MATCH(Vertices[[#This Row],[Vertex]],GroupVertices[Vertex],0)),1,1,"")</f>
        <v>nlineCEUCredit</v>
      </c>
      <c r="AP77" s="2"/>
      <c r="AQ77" s="3"/>
      <c r="AR77" s="3"/>
      <c r="AS77" s="3"/>
      <c r="AT77" s="3"/>
    </row>
    <row r="78" spans="1:46" ht="15">
      <c r="A78" s="64" t="s">
        <v>329</v>
      </c>
      <c r="B78" s="65"/>
      <c r="C78" s="65"/>
      <c r="D78" s="66">
        <v>150</v>
      </c>
      <c r="E78" s="102">
        <v>82.85714285714286</v>
      </c>
      <c r="F78" s="98" t="str">
        <f>HYPERLINK("https://i.ytimg.com/vi/JyVvljU1e5M/default.jpg")</f>
        <v>https://i.ytimg.com/vi/JyVvljU1e5M/default.jpg</v>
      </c>
      <c r="G78" s="100"/>
      <c r="H78" s="69" t="s">
        <v>728</v>
      </c>
      <c r="I78" s="70"/>
      <c r="J78" s="104" t="s">
        <v>75</v>
      </c>
      <c r="K78" s="69" t="s">
        <v>728</v>
      </c>
      <c r="L78" s="105">
        <v>1.3867274913791767</v>
      </c>
      <c r="M78" s="74">
        <v>5669.61865234375</v>
      </c>
      <c r="N78" s="74">
        <v>5012.95361328125</v>
      </c>
      <c r="O78" s="75"/>
      <c r="P78" s="76"/>
      <c r="Q78" s="76"/>
      <c r="R78" s="106"/>
      <c r="S78" s="48">
        <v>8</v>
      </c>
      <c r="T78" s="48">
        <v>0</v>
      </c>
      <c r="U78" s="49">
        <v>5.402056</v>
      </c>
      <c r="V78" s="49">
        <v>0.105203</v>
      </c>
      <c r="W78" s="107"/>
      <c r="X78" s="50"/>
      <c r="Y78" s="50"/>
      <c r="Z78" s="49">
        <v>0</v>
      </c>
      <c r="AA78" s="71">
        <v>78</v>
      </c>
      <c r="AB78" s="71"/>
      <c r="AC78" s="72"/>
      <c r="AD78" s="79" t="s">
        <v>728</v>
      </c>
      <c r="AE78" s="79"/>
      <c r="AF78" s="79"/>
      <c r="AG78" s="79" t="s">
        <v>1562</v>
      </c>
      <c r="AH78" s="79" t="s">
        <v>1783</v>
      </c>
      <c r="AI78" s="79">
        <v>12</v>
      </c>
      <c r="AJ78" s="79">
        <v>0</v>
      </c>
      <c r="AK78" s="79">
        <v>0</v>
      </c>
      <c r="AL78" s="79">
        <v>0</v>
      </c>
      <c r="AM78" s="79" t="s">
        <v>2092</v>
      </c>
      <c r="AN78" s="114" t="str">
        <f>HYPERLINK("https://www.youtube.com/watch?v=JyVvljU1e5M")</f>
        <v>https://www.youtube.com/watch?v=JyVvljU1e5M</v>
      </c>
      <c r="AO78" s="78" t="str">
        <f>REPLACE(INDEX(GroupVertices[Group],MATCH(Vertices[[#This Row],[Vertex]],GroupVertices[Vertex],0)),1,1,"")</f>
        <v>nlineCEUCredit</v>
      </c>
      <c r="AP78" s="2"/>
      <c r="AQ78" s="3"/>
      <c r="AR78" s="3"/>
      <c r="AS78" s="3"/>
      <c r="AT78" s="3"/>
    </row>
    <row r="79" spans="1:46" ht="15">
      <c r="A79" s="64" t="s">
        <v>338</v>
      </c>
      <c r="B79" s="65"/>
      <c r="C79" s="65"/>
      <c r="D79" s="66">
        <v>150</v>
      </c>
      <c r="E79" s="102">
        <v>82.85714285714286</v>
      </c>
      <c r="F79" s="98" t="str">
        <f>HYPERLINK("https://i.ytimg.com/vi/UC5Jz2F1zh0/default.jpg")</f>
        <v>https://i.ytimg.com/vi/UC5Jz2F1zh0/default.jpg</v>
      </c>
      <c r="G79" s="100"/>
      <c r="H79" s="69" t="s">
        <v>737</v>
      </c>
      <c r="I79" s="70"/>
      <c r="J79" s="104" t="s">
        <v>75</v>
      </c>
      <c r="K79" s="69" t="s">
        <v>737</v>
      </c>
      <c r="L79" s="105">
        <v>1.3145538075949357</v>
      </c>
      <c r="M79" s="74">
        <v>4896.9189453125</v>
      </c>
      <c r="N79" s="74">
        <v>4060.7421875</v>
      </c>
      <c r="O79" s="75"/>
      <c r="P79" s="76"/>
      <c r="Q79" s="76"/>
      <c r="R79" s="106"/>
      <c r="S79" s="48">
        <v>8</v>
      </c>
      <c r="T79" s="48">
        <v>0</v>
      </c>
      <c r="U79" s="49">
        <v>4.393888</v>
      </c>
      <c r="V79" s="49">
        <v>0.105203</v>
      </c>
      <c r="W79" s="107"/>
      <c r="X79" s="50"/>
      <c r="Y79" s="50"/>
      <c r="Z79" s="49">
        <v>0</v>
      </c>
      <c r="AA79" s="71">
        <v>79</v>
      </c>
      <c r="AB79" s="71"/>
      <c r="AC79" s="72"/>
      <c r="AD79" s="79" t="s">
        <v>737</v>
      </c>
      <c r="AE79" s="79" t="s">
        <v>1097</v>
      </c>
      <c r="AF79" s="79"/>
      <c r="AG79" s="79" t="s">
        <v>1562</v>
      </c>
      <c r="AH79" s="79" t="s">
        <v>1792</v>
      </c>
      <c r="AI79" s="79">
        <v>9</v>
      </c>
      <c r="AJ79" s="79">
        <v>0</v>
      </c>
      <c r="AK79" s="79">
        <v>0</v>
      </c>
      <c r="AL79" s="79">
        <v>0</v>
      </c>
      <c r="AM79" s="79" t="s">
        <v>2092</v>
      </c>
      <c r="AN79" s="114" t="str">
        <f>HYPERLINK("https://www.youtube.com/watch?v=UC5Jz2F1zh0")</f>
        <v>https://www.youtube.com/watch?v=UC5Jz2F1zh0</v>
      </c>
      <c r="AO79" s="78" t="str">
        <f>REPLACE(INDEX(GroupVertices[Group],MATCH(Vertices[[#This Row],[Vertex]],GroupVertices[Vertex],0)),1,1,"")</f>
        <v>nlineCEUCredit</v>
      </c>
      <c r="AP79" s="2"/>
      <c r="AQ79" s="3"/>
      <c r="AR79" s="3"/>
      <c r="AS79" s="3"/>
      <c r="AT79" s="3"/>
    </row>
    <row r="80" spans="1:46" ht="15">
      <c r="A80" s="64" t="s">
        <v>330</v>
      </c>
      <c r="B80" s="65"/>
      <c r="C80" s="65"/>
      <c r="D80" s="66">
        <v>150</v>
      </c>
      <c r="E80" s="102">
        <v>82.85714285714286</v>
      </c>
      <c r="F80" s="98" t="str">
        <f>HYPERLINK("https://i.ytimg.com/vi/0sBIvbfMu4I/default.jpg")</f>
        <v>https://i.ytimg.com/vi/0sBIvbfMu4I/default.jpg</v>
      </c>
      <c r="G80" s="100"/>
      <c r="H80" s="69" t="s">
        <v>729</v>
      </c>
      <c r="I80" s="70"/>
      <c r="J80" s="104" t="s">
        <v>75</v>
      </c>
      <c r="K80" s="69" t="s">
        <v>729</v>
      </c>
      <c r="L80" s="105">
        <v>1.3785515327056752</v>
      </c>
      <c r="M80" s="74">
        <v>6187.77734375</v>
      </c>
      <c r="N80" s="74">
        <v>4778.7978515625</v>
      </c>
      <c r="O80" s="75"/>
      <c r="P80" s="76"/>
      <c r="Q80" s="76"/>
      <c r="R80" s="106"/>
      <c r="S80" s="48">
        <v>8</v>
      </c>
      <c r="T80" s="48">
        <v>0</v>
      </c>
      <c r="U80" s="49">
        <v>5.287849</v>
      </c>
      <c r="V80" s="49">
        <v>0.105183</v>
      </c>
      <c r="W80" s="107"/>
      <c r="X80" s="50"/>
      <c r="Y80" s="50"/>
      <c r="Z80" s="49">
        <v>0</v>
      </c>
      <c r="AA80" s="71">
        <v>80</v>
      </c>
      <c r="AB80" s="71"/>
      <c r="AC80" s="72"/>
      <c r="AD80" s="79" t="s">
        <v>729</v>
      </c>
      <c r="AE80" s="79" t="s">
        <v>1090</v>
      </c>
      <c r="AF80" s="79"/>
      <c r="AG80" s="79" t="s">
        <v>1562</v>
      </c>
      <c r="AH80" s="79" t="s">
        <v>1784</v>
      </c>
      <c r="AI80" s="79">
        <v>10</v>
      </c>
      <c r="AJ80" s="79">
        <v>0</v>
      </c>
      <c r="AK80" s="79">
        <v>0</v>
      </c>
      <c r="AL80" s="79">
        <v>0</v>
      </c>
      <c r="AM80" s="79" t="s">
        <v>2092</v>
      </c>
      <c r="AN80" s="114" t="str">
        <f>HYPERLINK("https://www.youtube.com/watch?v=0sBIvbfMu4I")</f>
        <v>https://www.youtube.com/watch?v=0sBIvbfMu4I</v>
      </c>
      <c r="AO80" s="78" t="str">
        <f>REPLACE(INDEX(GroupVertices[Group],MATCH(Vertices[[#This Row],[Vertex]],GroupVertices[Vertex],0)),1,1,"")</f>
        <v>nlineCEUCredit</v>
      </c>
      <c r="AP80" s="2"/>
      <c r="AQ80" s="3"/>
      <c r="AR80" s="3"/>
      <c r="AS80" s="3"/>
      <c r="AT80" s="3"/>
    </row>
    <row r="81" spans="1:46" ht="15">
      <c r="A81" s="64" t="s">
        <v>345</v>
      </c>
      <c r="B81" s="65"/>
      <c r="C81" s="65"/>
      <c r="D81" s="66">
        <v>150</v>
      </c>
      <c r="E81" s="102">
        <v>87.14285714285714</v>
      </c>
      <c r="F81" s="98" t="str">
        <f>HYPERLINK("https://i.ytimg.com/vi/NUTRnXHBy34/default.jpg")</f>
        <v>https://i.ytimg.com/vi/NUTRnXHBy34/default.jpg</v>
      </c>
      <c r="G81" s="100"/>
      <c r="H81" s="69" t="s">
        <v>746</v>
      </c>
      <c r="I81" s="70"/>
      <c r="J81" s="104" t="s">
        <v>75</v>
      </c>
      <c r="K81" s="69" t="s">
        <v>746</v>
      </c>
      <c r="L81" s="105">
        <v>1.159222047029649</v>
      </c>
      <c r="M81" s="74">
        <v>6398.33349609375</v>
      </c>
      <c r="N81" s="74">
        <v>4321.69189453125</v>
      </c>
      <c r="O81" s="75"/>
      <c r="P81" s="76"/>
      <c r="Q81" s="76"/>
      <c r="R81" s="106"/>
      <c r="S81" s="48">
        <v>6</v>
      </c>
      <c r="T81" s="48">
        <v>0</v>
      </c>
      <c r="U81" s="49">
        <v>2.224115</v>
      </c>
      <c r="V81" s="49">
        <v>0.105121</v>
      </c>
      <c r="W81" s="107"/>
      <c r="X81" s="50"/>
      <c r="Y81" s="50"/>
      <c r="Z81" s="49">
        <v>0</v>
      </c>
      <c r="AA81" s="71">
        <v>81</v>
      </c>
      <c r="AB81" s="71"/>
      <c r="AC81" s="72"/>
      <c r="AD81" s="79" t="s">
        <v>746</v>
      </c>
      <c r="AE81" s="79" t="s">
        <v>1106</v>
      </c>
      <c r="AF81" s="79"/>
      <c r="AG81" s="79" t="s">
        <v>1562</v>
      </c>
      <c r="AH81" s="79" t="s">
        <v>1802</v>
      </c>
      <c r="AI81" s="79">
        <v>159</v>
      </c>
      <c r="AJ81" s="79">
        <v>0</v>
      </c>
      <c r="AK81" s="79">
        <v>1</v>
      </c>
      <c r="AL81" s="79">
        <v>0</v>
      </c>
      <c r="AM81" s="79" t="s">
        <v>2092</v>
      </c>
      <c r="AN81" s="114" t="str">
        <f>HYPERLINK("https://www.youtube.com/watch?v=NUTRnXHBy34")</f>
        <v>https://www.youtube.com/watch?v=NUTRnXHBy34</v>
      </c>
      <c r="AO81" s="78" t="str">
        <f>REPLACE(INDEX(GroupVertices[Group],MATCH(Vertices[[#This Row],[Vertex]],GroupVertices[Vertex],0)),1,1,"")</f>
        <v>nlineCEUCredit</v>
      </c>
      <c r="AP81" s="2"/>
      <c r="AQ81" s="3"/>
      <c r="AR81" s="3"/>
      <c r="AS81" s="3"/>
      <c r="AT81" s="3"/>
    </row>
    <row r="82" spans="1:46" ht="15">
      <c r="A82" s="64" t="s">
        <v>333</v>
      </c>
      <c r="B82" s="65"/>
      <c r="C82" s="65"/>
      <c r="D82" s="66">
        <v>150</v>
      </c>
      <c r="E82" s="102">
        <v>80.71428571428571</v>
      </c>
      <c r="F82" s="98" t="str">
        <f>HYPERLINK("https://i.ytimg.com/vi/6uYQHyEURgw/default.jpg")</f>
        <v>https://i.ytimg.com/vi/6uYQHyEURgw/default.jpg</v>
      </c>
      <c r="G82" s="100"/>
      <c r="H82" s="69" t="s">
        <v>732</v>
      </c>
      <c r="I82" s="70"/>
      <c r="J82" s="104" t="s">
        <v>75</v>
      </c>
      <c r="K82" s="69" t="s">
        <v>732</v>
      </c>
      <c r="L82" s="105">
        <v>1.4044080279616167</v>
      </c>
      <c r="M82" s="74">
        <v>5326.6025390625</v>
      </c>
      <c r="N82" s="74">
        <v>4013.1376953125</v>
      </c>
      <c r="O82" s="75"/>
      <c r="P82" s="76"/>
      <c r="Q82" s="76"/>
      <c r="R82" s="106"/>
      <c r="S82" s="48">
        <v>9</v>
      </c>
      <c r="T82" s="48">
        <v>0</v>
      </c>
      <c r="U82" s="49">
        <v>5.649029</v>
      </c>
      <c r="V82" s="49">
        <v>0.105223</v>
      </c>
      <c r="W82" s="107"/>
      <c r="X82" s="50"/>
      <c r="Y82" s="50"/>
      <c r="Z82" s="49">
        <v>0</v>
      </c>
      <c r="AA82" s="71">
        <v>82</v>
      </c>
      <c r="AB82" s="71"/>
      <c r="AC82" s="72"/>
      <c r="AD82" s="79" t="s">
        <v>732</v>
      </c>
      <c r="AE82" s="79" t="s">
        <v>1093</v>
      </c>
      <c r="AF82" s="79"/>
      <c r="AG82" s="79" t="s">
        <v>1562</v>
      </c>
      <c r="AH82" s="79" t="s">
        <v>1787</v>
      </c>
      <c r="AI82" s="79">
        <v>23</v>
      </c>
      <c r="AJ82" s="79">
        <v>0</v>
      </c>
      <c r="AK82" s="79">
        <v>0</v>
      </c>
      <c r="AL82" s="79">
        <v>0</v>
      </c>
      <c r="AM82" s="79" t="s">
        <v>2092</v>
      </c>
      <c r="AN82" s="114" t="str">
        <f>HYPERLINK("https://www.youtube.com/watch?v=6uYQHyEURgw")</f>
        <v>https://www.youtube.com/watch?v=6uYQHyEURgw</v>
      </c>
      <c r="AO82" s="78" t="str">
        <f>REPLACE(INDEX(GroupVertices[Group],MATCH(Vertices[[#This Row],[Vertex]],GroupVertices[Vertex],0)),1,1,"")</f>
        <v>nlineCEUCredit</v>
      </c>
      <c r="AP82" s="2"/>
      <c r="AQ82" s="3"/>
      <c r="AR82" s="3"/>
      <c r="AS82" s="3"/>
      <c r="AT82" s="3"/>
    </row>
    <row r="83" spans="1:46" ht="15">
      <c r="A83" s="64" t="s">
        <v>336</v>
      </c>
      <c r="B83" s="65"/>
      <c r="C83" s="65"/>
      <c r="D83" s="66">
        <v>150</v>
      </c>
      <c r="E83" s="102">
        <v>80.71428571428571</v>
      </c>
      <c r="F83" s="98" t="str">
        <f>HYPERLINK("https://i.ytimg.com/vi/HSiku4eiJqo/default.jpg")</f>
        <v>https://i.ytimg.com/vi/HSiku4eiJqo/default.jpg</v>
      </c>
      <c r="G83" s="100"/>
      <c r="H83" s="69" t="s">
        <v>735</v>
      </c>
      <c r="I83" s="70"/>
      <c r="J83" s="104" t="s">
        <v>75</v>
      </c>
      <c r="K83" s="69" t="s">
        <v>735</v>
      </c>
      <c r="L83" s="105">
        <v>1.4044080279616167</v>
      </c>
      <c r="M83" s="74">
        <v>5790.578125</v>
      </c>
      <c r="N83" s="74">
        <v>4077.23974609375</v>
      </c>
      <c r="O83" s="75"/>
      <c r="P83" s="76"/>
      <c r="Q83" s="76"/>
      <c r="R83" s="106"/>
      <c r="S83" s="48">
        <v>9</v>
      </c>
      <c r="T83" s="48">
        <v>0</v>
      </c>
      <c r="U83" s="49">
        <v>5.649029</v>
      </c>
      <c r="V83" s="49">
        <v>0.105223</v>
      </c>
      <c r="W83" s="107"/>
      <c r="X83" s="50"/>
      <c r="Y83" s="50"/>
      <c r="Z83" s="49">
        <v>0</v>
      </c>
      <c r="AA83" s="71">
        <v>83</v>
      </c>
      <c r="AB83" s="71"/>
      <c r="AC83" s="72"/>
      <c r="AD83" s="79" t="s">
        <v>735</v>
      </c>
      <c r="AE83" s="79" t="s">
        <v>1095</v>
      </c>
      <c r="AF83" s="79"/>
      <c r="AG83" s="79" t="s">
        <v>1562</v>
      </c>
      <c r="AH83" s="79" t="s">
        <v>1790</v>
      </c>
      <c r="AI83" s="79">
        <v>316</v>
      </c>
      <c r="AJ83" s="79">
        <v>0</v>
      </c>
      <c r="AK83" s="79">
        <v>2</v>
      </c>
      <c r="AL83" s="79">
        <v>0</v>
      </c>
      <c r="AM83" s="79" t="s">
        <v>2092</v>
      </c>
      <c r="AN83" s="114" t="str">
        <f>HYPERLINK("https://www.youtube.com/watch?v=HSiku4eiJqo")</f>
        <v>https://www.youtube.com/watch?v=HSiku4eiJqo</v>
      </c>
      <c r="AO83" s="78" t="str">
        <f>REPLACE(INDEX(GroupVertices[Group],MATCH(Vertices[[#This Row],[Vertex]],GroupVertices[Vertex],0)),1,1,"")</f>
        <v>nlineCEUCredit</v>
      </c>
      <c r="AP83" s="2"/>
      <c r="AQ83" s="3"/>
      <c r="AR83" s="3"/>
      <c r="AS83" s="3"/>
      <c r="AT83" s="3"/>
    </row>
    <row r="84" spans="1:46" ht="15">
      <c r="A84" s="64" t="s">
        <v>337</v>
      </c>
      <c r="B84" s="65"/>
      <c r="C84" s="65"/>
      <c r="D84" s="66">
        <v>150</v>
      </c>
      <c r="E84" s="102">
        <v>80.71428571428571</v>
      </c>
      <c r="F84" s="98" t="str">
        <f>HYPERLINK("https://i.ytimg.com/vi/AIDJRx9wgMc/default.jpg")</f>
        <v>https://i.ytimg.com/vi/AIDJRx9wgMc/default.jpg</v>
      </c>
      <c r="G84" s="100"/>
      <c r="H84" s="69" t="s">
        <v>736</v>
      </c>
      <c r="I84" s="70"/>
      <c r="J84" s="104" t="s">
        <v>75</v>
      </c>
      <c r="K84" s="69" t="s">
        <v>736</v>
      </c>
      <c r="L84" s="105">
        <v>1.4059120401129874</v>
      </c>
      <c r="M84" s="74">
        <v>5038.216796875</v>
      </c>
      <c r="N84" s="74">
        <v>4968.083984375</v>
      </c>
      <c r="O84" s="75"/>
      <c r="P84" s="76"/>
      <c r="Q84" s="76"/>
      <c r="R84" s="106"/>
      <c r="S84" s="48">
        <v>9</v>
      </c>
      <c r="T84" s="48">
        <v>0</v>
      </c>
      <c r="U84" s="49">
        <v>5.670038</v>
      </c>
      <c r="V84" s="49">
        <v>0.105203</v>
      </c>
      <c r="W84" s="107"/>
      <c r="X84" s="50"/>
      <c r="Y84" s="50"/>
      <c r="Z84" s="49">
        <v>0</v>
      </c>
      <c r="AA84" s="71">
        <v>84</v>
      </c>
      <c r="AB84" s="71"/>
      <c r="AC84" s="72"/>
      <c r="AD84" s="79" t="s">
        <v>736</v>
      </c>
      <c r="AE84" s="79" t="s">
        <v>1096</v>
      </c>
      <c r="AF84" s="79"/>
      <c r="AG84" s="79" t="s">
        <v>1562</v>
      </c>
      <c r="AH84" s="79" t="s">
        <v>1791</v>
      </c>
      <c r="AI84" s="79">
        <v>7</v>
      </c>
      <c r="AJ84" s="79">
        <v>0</v>
      </c>
      <c r="AK84" s="79">
        <v>0</v>
      </c>
      <c r="AL84" s="79">
        <v>0</v>
      </c>
      <c r="AM84" s="79" t="s">
        <v>2092</v>
      </c>
      <c r="AN84" s="114" t="str">
        <f>HYPERLINK("https://www.youtube.com/watch?v=AIDJRx9wgMc")</f>
        <v>https://www.youtube.com/watch?v=AIDJRx9wgMc</v>
      </c>
      <c r="AO84" s="78" t="str">
        <f>REPLACE(INDEX(GroupVertices[Group],MATCH(Vertices[[#This Row],[Vertex]],GroupVertices[Vertex],0)),1,1,"")</f>
        <v>nlineCEUCredit</v>
      </c>
      <c r="AP84" s="2"/>
      <c r="AQ84" s="3"/>
      <c r="AR84" s="3"/>
      <c r="AS84" s="3"/>
      <c r="AT84" s="3"/>
    </row>
    <row r="85" spans="1:46" ht="15">
      <c r="A85" s="64" t="s">
        <v>335</v>
      </c>
      <c r="B85" s="65"/>
      <c r="C85" s="65"/>
      <c r="D85" s="66">
        <v>150</v>
      </c>
      <c r="E85" s="102">
        <v>80.71428571428571</v>
      </c>
      <c r="F85" s="98" t="str">
        <f>HYPERLINK("https://i.ytimg.com/vi/_ffIqN2eiK8/default.jpg")</f>
        <v>https://i.ytimg.com/vi/_ffIqN2eiK8/default.jpg</v>
      </c>
      <c r="G85" s="100"/>
      <c r="H85" s="69" t="s">
        <v>734</v>
      </c>
      <c r="I85" s="70"/>
      <c r="J85" s="104" t="s">
        <v>75</v>
      </c>
      <c r="K85" s="69" t="s">
        <v>734</v>
      </c>
      <c r="L85" s="105">
        <v>1.5008685477876078</v>
      </c>
      <c r="M85" s="74">
        <v>5917.8994140625</v>
      </c>
      <c r="N85" s="74">
        <v>4871.53662109375</v>
      </c>
      <c r="O85" s="75"/>
      <c r="P85" s="76"/>
      <c r="Q85" s="76"/>
      <c r="R85" s="106"/>
      <c r="S85" s="48">
        <v>9</v>
      </c>
      <c r="T85" s="48">
        <v>0</v>
      </c>
      <c r="U85" s="49">
        <v>6.996451</v>
      </c>
      <c r="V85" s="49">
        <v>0.105223</v>
      </c>
      <c r="W85" s="107"/>
      <c r="X85" s="50"/>
      <c r="Y85" s="50"/>
      <c r="Z85" s="49">
        <v>0</v>
      </c>
      <c r="AA85" s="71">
        <v>85</v>
      </c>
      <c r="AB85" s="71"/>
      <c r="AC85" s="72"/>
      <c r="AD85" s="79" t="s">
        <v>734</v>
      </c>
      <c r="AE85" s="79" t="s">
        <v>1094</v>
      </c>
      <c r="AF85" s="79"/>
      <c r="AG85" s="79" t="s">
        <v>1562</v>
      </c>
      <c r="AH85" s="79" t="s">
        <v>1789</v>
      </c>
      <c r="AI85" s="79">
        <v>12</v>
      </c>
      <c r="AJ85" s="79">
        <v>0</v>
      </c>
      <c r="AK85" s="79">
        <v>0</v>
      </c>
      <c r="AL85" s="79">
        <v>0</v>
      </c>
      <c r="AM85" s="79" t="s">
        <v>2092</v>
      </c>
      <c r="AN85" s="114" t="str">
        <f>HYPERLINK("https://www.youtube.com/watch?v=_ffIqN2eiK8")</f>
        <v>https://www.youtube.com/watch?v=_ffIqN2eiK8</v>
      </c>
      <c r="AO85" s="78" t="str">
        <f>REPLACE(INDEX(GroupVertices[Group],MATCH(Vertices[[#This Row],[Vertex]],GroupVertices[Vertex],0)),1,1,"")</f>
        <v>nlineCEUCredit</v>
      </c>
      <c r="AP85" s="2"/>
      <c r="AQ85" s="3"/>
      <c r="AR85" s="3"/>
      <c r="AS85" s="3"/>
      <c r="AT85" s="3"/>
    </row>
    <row r="86" spans="1:46" ht="15">
      <c r="A86" s="64" t="s">
        <v>348</v>
      </c>
      <c r="B86" s="65"/>
      <c r="C86" s="65"/>
      <c r="D86" s="66">
        <v>150</v>
      </c>
      <c r="E86" s="102">
        <v>87.14285714285714</v>
      </c>
      <c r="F86" s="98" t="str">
        <f>HYPERLINK("https://i.ytimg.com/vi/ujRAJBCxTic/default.jpg")</f>
        <v>https://i.ytimg.com/vi/ujRAJBCxTic/default.jpg</v>
      </c>
      <c r="G86" s="100"/>
      <c r="H86" s="69" t="s">
        <v>749</v>
      </c>
      <c r="I86" s="70"/>
      <c r="J86" s="104" t="s">
        <v>75</v>
      </c>
      <c r="K86" s="69" t="s">
        <v>749</v>
      </c>
      <c r="L86" s="105">
        <v>1.159222047029649</v>
      </c>
      <c r="M86" s="74">
        <v>6438.44580078125</v>
      </c>
      <c r="N86" s="74">
        <v>4517.59912109375</v>
      </c>
      <c r="O86" s="75"/>
      <c r="P86" s="76"/>
      <c r="Q86" s="76"/>
      <c r="R86" s="106"/>
      <c r="S86" s="48">
        <v>6</v>
      </c>
      <c r="T86" s="48">
        <v>0</v>
      </c>
      <c r="U86" s="49">
        <v>2.224115</v>
      </c>
      <c r="V86" s="49">
        <v>0.105121</v>
      </c>
      <c r="W86" s="107"/>
      <c r="X86" s="50"/>
      <c r="Y86" s="50"/>
      <c r="Z86" s="49">
        <v>0</v>
      </c>
      <c r="AA86" s="71">
        <v>86</v>
      </c>
      <c r="AB86" s="71"/>
      <c r="AC86" s="72"/>
      <c r="AD86" s="79" t="s">
        <v>749</v>
      </c>
      <c r="AE86" s="79" t="s">
        <v>1108</v>
      </c>
      <c r="AF86" s="79"/>
      <c r="AG86" s="79" t="s">
        <v>1562</v>
      </c>
      <c r="AH86" s="79" t="s">
        <v>1805</v>
      </c>
      <c r="AI86" s="79">
        <v>5</v>
      </c>
      <c r="AJ86" s="79">
        <v>0</v>
      </c>
      <c r="AK86" s="79">
        <v>0</v>
      </c>
      <c r="AL86" s="79">
        <v>0</v>
      </c>
      <c r="AM86" s="79" t="s">
        <v>2092</v>
      </c>
      <c r="AN86" s="114" t="str">
        <f>HYPERLINK("https://www.youtube.com/watch?v=ujRAJBCxTic")</f>
        <v>https://www.youtube.com/watch?v=ujRAJBCxTic</v>
      </c>
      <c r="AO86" s="78" t="str">
        <f>REPLACE(INDEX(GroupVertices[Group],MATCH(Vertices[[#This Row],[Vertex]],GroupVertices[Vertex],0)),1,1,"")</f>
        <v>nlineCEUCredit</v>
      </c>
      <c r="AP86" s="2"/>
      <c r="AQ86" s="3"/>
      <c r="AR86" s="3"/>
      <c r="AS86" s="3"/>
      <c r="AT86" s="3"/>
    </row>
    <row r="87" spans="1:46" ht="15">
      <c r="A87" s="64" t="s">
        <v>332</v>
      </c>
      <c r="B87" s="65"/>
      <c r="C87" s="65"/>
      <c r="D87" s="66">
        <v>150</v>
      </c>
      <c r="E87" s="102">
        <v>78.57142857142857</v>
      </c>
      <c r="F87" s="98" t="str">
        <f>HYPERLINK("https://i.ytimg.com/vi/a2az9ums4t8/default.jpg")</f>
        <v>https://i.ytimg.com/vi/a2az9ums4t8/default.jpg</v>
      </c>
      <c r="G87" s="100"/>
      <c r="H87" s="69" t="s">
        <v>731</v>
      </c>
      <c r="I87" s="70"/>
      <c r="J87" s="104" t="s">
        <v>75</v>
      </c>
      <c r="K87" s="69" t="s">
        <v>731</v>
      </c>
      <c r="L87" s="105">
        <v>1.5843702515059936</v>
      </c>
      <c r="M87" s="74">
        <v>5565.5810546875</v>
      </c>
      <c r="N87" s="74">
        <v>4836.13916015625</v>
      </c>
      <c r="O87" s="75"/>
      <c r="P87" s="76"/>
      <c r="Q87" s="76"/>
      <c r="R87" s="106"/>
      <c r="S87" s="48">
        <v>10</v>
      </c>
      <c r="T87" s="48">
        <v>0</v>
      </c>
      <c r="U87" s="49">
        <v>8.162856</v>
      </c>
      <c r="V87" s="49">
        <v>0.105244</v>
      </c>
      <c r="W87" s="107"/>
      <c r="X87" s="50"/>
      <c r="Y87" s="50"/>
      <c r="Z87" s="49">
        <v>0</v>
      </c>
      <c r="AA87" s="71">
        <v>87</v>
      </c>
      <c r="AB87" s="71"/>
      <c r="AC87" s="72"/>
      <c r="AD87" s="79" t="s">
        <v>731</v>
      </c>
      <c r="AE87" s="79" t="s">
        <v>1092</v>
      </c>
      <c r="AF87" s="79"/>
      <c r="AG87" s="79" t="s">
        <v>1562</v>
      </c>
      <c r="AH87" s="79" t="s">
        <v>1786</v>
      </c>
      <c r="AI87" s="79">
        <v>8</v>
      </c>
      <c r="AJ87" s="79">
        <v>0</v>
      </c>
      <c r="AK87" s="79">
        <v>0</v>
      </c>
      <c r="AL87" s="79">
        <v>0</v>
      </c>
      <c r="AM87" s="79" t="s">
        <v>2092</v>
      </c>
      <c r="AN87" s="114" t="str">
        <f>HYPERLINK("https://www.youtube.com/watch?v=a2az9ums4t8")</f>
        <v>https://www.youtube.com/watch?v=a2az9ums4t8</v>
      </c>
      <c r="AO87" s="78" t="str">
        <f>REPLACE(INDEX(GroupVertices[Group],MATCH(Vertices[[#This Row],[Vertex]],GroupVertices[Vertex],0)),1,1,"")</f>
        <v>nlineCEUCredit</v>
      </c>
      <c r="AP87" s="2"/>
      <c r="AQ87" s="3"/>
      <c r="AR87" s="3"/>
      <c r="AS87" s="3"/>
      <c r="AT87" s="3"/>
    </row>
    <row r="88" spans="1:46" ht="15">
      <c r="A88" s="64" t="s">
        <v>339</v>
      </c>
      <c r="B88" s="65"/>
      <c r="C88" s="65"/>
      <c r="D88" s="66">
        <v>150</v>
      </c>
      <c r="E88" s="102">
        <v>80.71428571428571</v>
      </c>
      <c r="F88" s="98" t="str">
        <f>HYPERLINK("https://i.ytimg.com/vi/AX7mXtQt1Yo/default.jpg")</f>
        <v>https://i.ytimg.com/vi/AX7mXtQt1Yo/default.jpg</v>
      </c>
      <c r="G88" s="100"/>
      <c r="H88" s="69" t="s">
        <v>738</v>
      </c>
      <c r="I88" s="70"/>
      <c r="J88" s="104" t="s">
        <v>75</v>
      </c>
      <c r="K88" s="69" t="s">
        <v>738</v>
      </c>
      <c r="L88" s="105">
        <v>1.4745718521071443</v>
      </c>
      <c r="M88" s="74">
        <v>4828.49365234375</v>
      </c>
      <c r="N88" s="74">
        <v>4805.89697265625</v>
      </c>
      <c r="O88" s="75"/>
      <c r="P88" s="76"/>
      <c r="Q88" s="76"/>
      <c r="R88" s="106"/>
      <c r="S88" s="48">
        <v>9</v>
      </c>
      <c r="T88" s="48">
        <v>0</v>
      </c>
      <c r="U88" s="49">
        <v>6.629122</v>
      </c>
      <c r="V88" s="49">
        <v>0.105223</v>
      </c>
      <c r="W88" s="107"/>
      <c r="X88" s="50"/>
      <c r="Y88" s="50"/>
      <c r="Z88" s="49">
        <v>0</v>
      </c>
      <c r="AA88" s="71">
        <v>88</v>
      </c>
      <c r="AB88" s="71"/>
      <c r="AC88" s="72"/>
      <c r="AD88" s="79" t="s">
        <v>738</v>
      </c>
      <c r="AE88" s="79" t="s">
        <v>1098</v>
      </c>
      <c r="AF88" s="79"/>
      <c r="AG88" s="79" t="s">
        <v>1562</v>
      </c>
      <c r="AH88" s="79" t="s">
        <v>1793</v>
      </c>
      <c r="AI88" s="79">
        <v>1273</v>
      </c>
      <c r="AJ88" s="79">
        <v>0</v>
      </c>
      <c r="AK88" s="79">
        <v>5</v>
      </c>
      <c r="AL88" s="79">
        <v>0</v>
      </c>
      <c r="AM88" s="79" t="s">
        <v>2092</v>
      </c>
      <c r="AN88" s="114" t="str">
        <f>HYPERLINK("https://www.youtube.com/watch?v=AX7mXtQt1Yo")</f>
        <v>https://www.youtube.com/watch?v=AX7mXtQt1Yo</v>
      </c>
      <c r="AO88" s="78" t="str">
        <f>REPLACE(INDEX(GroupVertices[Group],MATCH(Vertices[[#This Row],[Vertex]],GroupVertices[Vertex],0)),1,1,"")</f>
        <v>nlineCEUCredit</v>
      </c>
      <c r="AP88" s="2"/>
      <c r="AQ88" s="3"/>
      <c r="AR88" s="3"/>
      <c r="AS88" s="3"/>
      <c r="AT88" s="3"/>
    </row>
    <row r="89" spans="1:46" ht="15">
      <c r="A89" s="64" t="s">
        <v>334</v>
      </c>
      <c r="B89" s="65"/>
      <c r="C89" s="65"/>
      <c r="D89" s="66">
        <v>150</v>
      </c>
      <c r="E89" s="102">
        <v>80.71428571428571</v>
      </c>
      <c r="F89" s="98" t="str">
        <f>HYPERLINK("https://i.ytimg.com/vi/MsEqdwmeG2s/default.jpg")</f>
        <v>https://i.ytimg.com/vi/MsEqdwmeG2s/default.jpg</v>
      </c>
      <c r="G89" s="100"/>
      <c r="H89" s="69" t="s">
        <v>733</v>
      </c>
      <c r="I89" s="70"/>
      <c r="J89" s="104" t="s">
        <v>75</v>
      </c>
      <c r="K89" s="69" t="s">
        <v>733</v>
      </c>
      <c r="L89" s="105">
        <v>1.4044080279616167</v>
      </c>
      <c r="M89" s="74">
        <v>5556.77880859375</v>
      </c>
      <c r="N89" s="74">
        <v>4023.96337890625</v>
      </c>
      <c r="O89" s="75"/>
      <c r="P89" s="76"/>
      <c r="Q89" s="76"/>
      <c r="R89" s="106"/>
      <c r="S89" s="48">
        <v>9</v>
      </c>
      <c r="T89" s="48">
        <v>0</v>
      </c>
      <c r="U89" s="49">
        <v>5.649029</v>
      </c>
      <c r="V89" s="49">
        <v>0.105223</v>
      </c>
      <c r="W89" s="107"/>
      <c r="X89" s="50"/>
      <c r="Y89" s="50"/>
      <c r="Z89" s="49">
        <v>0</v>
      </c>
      <c r="AA89" s="71">
        <v>89</v>
      </c>
      <c r="AB89" s="71"/>
      <c r="AC89" s="72"/>
      <c r="AD89" s="79" t="s">
        <v>733</v>
      </c>
      <c r="AE89" s="79"/>
      <c r="AF89" s="79"/>
      <c r="AG89" s="79" t="s">
        <v>1562</v>
      </c>
      <c r="AH89" s="79" t="s">
        <v>1788</v>
      </c>
      <c r="AI89" s="79">
        <v>26</v>
      </c>
      <c r="AJ89" s="79">
        <v>0</v>
      </c>
      <c r="AK89" s="79">
        <v>0</v>
      </c>
      <c r="AL89" s="79">
        <v>0</v>
      </c>
      <c r="AM89" s="79" t="s">
        <v>2092</v>
      </c>
      <c r="AN89" s="114" t="str">
        <f>HYPERLINK("https://www.youtube.com/watch?v=MsEqdwmeG2s")</f>
        <v>https://www.youtube.com/watch?v=MsEqdwmeG2s</v>
      </c>
      <c r="AO89" s="78" t="str">
        <f>REPLACE(INDEX(GroupVertices[Group],MATCH(Vertices[[#This Row],[Vertex]],GroupVertices[Vertex],0)),1,1,"")</f>
        <v>nlineCEUCredit</v>
      </c>
      <c r="AP89" s="2"/>
      <c r="AQ89" s="3"/>
      <c r="AR89" s="3"/>
      <c r="AS89" s="3"/>
      <c r="AT89" s="3"/>
    </row>
    <row r="90" spans="1:46" ht="15">
      <c r="A90" s="64" t="s">
        <v>341</v>
      </c>
      <c r="B90" s="65"/>
      <c r="C90" s="65"/>
      <c r="D90" s="66">
        <v>150</v>
      </c>
      <c r="E90" s="102">
        <v>80.71428571428571</v>
      </c>
      <c r="F90" s="98" t="str">
        <f>HYPERLINK("https://i.ytimg.com/vi/j0OfCwNVeiU/default.jpg")</f>
        <v>https://i.ytimg.com/vi/j0OfCwNVeiU/default.jpg</v>
      </c>
      <c r="G90" s="100"/>
      <c r="H90" s="69" t="s">
        <v>740</v>
      </c>
      <c r="I90" s="70"/>
      <c r="J90" s="104" t="s">
        <v>75</v>
      </c>
      <c r="K90" s="69" t="s">
        <v>740</v>
      </c>
      <c r="L90" s="105">
        <v>1.472588480378184</v>
      </c>
      <c r="M90" s="74">
        <v>4721.2099609375</v>
      </c>
      <c r="N90" s="74">
        <v>4284.72412109375</v>
      </c>
      <c r="O90" s="75"/>
      <c r="P90" s="76"/>
      <c r="Q90" s="76"/>
      <c r="R90" s="106"/>
      <c r="S90" s="48">
        <v>9</v>
      </c>
      <c r="T90" s="48">
        <v>0</v>
      </c>
      <c r="U90" s="49">
        <v>6.601417</v>
      </c>
      <c r="V90" s="49">
        <v>0.105223</v>
      </c>
      <c r="W90" s="107"/>
      <c r="X90" s="50"/>
      <c r="Y90" s="50"/>
      <c r="Z90" s="49">
        <v>0</v>
      </c>
      <c r="AA90" s="71">
        <v>90</v>
      </c>
      <c r="AB90" s="71"/>
      <c r="AC90" s="72"/>
      <c r="AD90" s="79" t="s">
        <v>740</v>
      </c>
      <c r="AE90" s="79" t="s">
        <v>1100</v>
      </c>
      <c r="AF90" s="79"/>
      <c r="AG90" s="79" t="s">
        <v>1562</v>
      </c>
      <c r="AH90" s="79" t="s">
        <v>1795</v>
      </c>
      <c r="AI90" s="79">
        <v>10</v>
      </c>
      <c r="AJ90" s="79">
        <v>0</v>
      </c>
      <c r="AK90" s="79">
        <v>0</v>
      </c>
      <c r="AL90" s="79">
        <v>0</v>
      </c>
      <c r="AM90" s="79" t="s">
        <v>2092</v>
      </c>
      <c r="AN90" s="114" t="str">
        <f>HYPERLINK("https://www.youtube.com/watch?v=j0OfCwNVeiU")</f>
        <v>https://www.youtube.com/watch?v=j0OfCwNVeiU</v>
      </c>
      <c r="AO90" s="78" t="str">
        <f>REPLACE(INDEX(GroupVertices[Group],MATCH(Vertices[[#This Row],[Vertex]],GroupVertices[Vertex],0)),1,1,"")</f>
        <v>nlineCEUCredit</v>
      </c>
      <c r="AP90" s="2"/>
      <c r="AQ90" s="3"/>
      <c r="AR90" s="3"/>
      <c r="AS90" s="3"/>
      <c r="AT90" s="3"/>
    </row>
    <row r="91" spans="1:46" ht="15">
      <c r="A91" s="64" t="s">
        <v>331</v>
      </c>
      <c r="B91" s="65"/>
      <c r="C91" s="65"/>
      <c r="D91" s="66">
        <v>150</v>
      </c>
      <c r="E91" s="102">
        <v>80.71428571428571</v>
      </c>
      <c r="F91" s="98" t="str">
        <f>HYPERLINK("https://i.ytimg.com/vi/BELKgnF3bNw/default.jpg")</f>
        <v>https://i.ytimg.com/vi/BELKgnF3bNw/default.jpg</v>
      </c>
      <c r="G91" s="100"/>
      <c r="H91" s="69" t="s">
        <v>730</v>
      </c>
      <c r="I91" s="70"/>
      <c r="J91" s="104" t="s">
        <v>75</v>
      </c>
      <c r="K91" s="69" t="s">
        <v>730</v>
      </c>
      <c r="L91" s="105">
        <v>1.472588480378184</v>
      </c>
      <c r="M91" s="74">
        <v>4631.3974609375</v>
      </c>
      <c r="N91" s="74">
        <v>4480.1826171875</v>
      </c>
      <c r="O91" s="75"/>
      <c r="P91" s="76"/>
      <c r="Q91" s="76"/>
      <c r="R91" s="106"/>
      <c r="S91" s="48">
        <v>9</v>
      </c>
      <c r="T91" s="48">
        <v>0</v>
      </c>
      <c r="U91" s="49">
        <v>6.601417</v>
      </c>
      <c r="V91" s="49">
        <v>0.105223</v>
      </c>
      <c r="W91" s="107"/>
      <c r="X91" s="50"/>
      <c r="Y91" s="50"/>
      <c r="Z91" s="49">
        <v>0</v>
      </c>
      <c r="AA91" s="71">
        <v>91</v>
      </c>
      <c r="AB91" s="71"/>
      <c r="AC91" s="72"/>
      <c r="AD91" s="79" t="s">
        <v>730</v>
      </c>
      <c r="AE91" s="79" t="s">
        <v>1091</v>
      </c>
      <c r="AF91" s="79"/>
      <c r="AG91" s="79" t="s">
        <v>1562</v>
      </c>
      <c r="AH91" s="79" t="s">
        <v>1785</v>
      </c>
      <c r="AI91" s="79">
        <v>10</v>
      </c>
      <c r="AJ91" s="79">
        <v>0</v>
      </c>
      <c r="AK91" s="79">
        <v>0</v>
      </c>
      <c r="AL91" s="79">
        <v>0</v>
      </c>
      <c r="AM91" s="79" t="s">
        <v>2092</v>
      </c>
      <c r="AN91" s="114" t="str">
        <f>HYPERLINK("https://www.youtube.com/watch?v=BELKgnF3bNw")</f>
        <v>https://www.youtube.com/watch?v=BELKgnF3bNw</v>
      </c>
      <c r="AO91" s="78" t="str">
        <f>REPLACE(INDEX(GroupVertices[Group],MATCH(Vertices[[#This Row],[Vertex]],GroupVertices[Vertex],0)),1,1,"")</f>
        <v>nlineCEUCredit</v>
      </c>
      <c r="AP91" s="2"/>
      <c r="AQ91" s="3"/>
      <c r="AR91" s="3"/>
      <c r="AS91" s="3"/>
      <c r="AT91" s="3"/>
    </row>
    <row r="92" spans="1:46" ht="15">
      <c r="A92" s="64" t="s">
        <v>340</v>
      </c>
      <c r="B92" s="65"/>
      <c r="C92" s="65"/>
      <c r="D92" s="66">
        <v>150</v>
      </c>
      <c r="E92" s="102">
        <v>80.71428571428571</v>
      </c>
      <c r="F92" s="98" t="str">
        <f>HYPERLINK("https://i.ytimg.com/vi/39rHi9sYrqc/default.jpg")</f>
        <v>https://i.ytimg.com/vi/39rHi9sYrqc/default.jpg</v>
      </c>
      <c r="G92" s="100"/>
      <c r="H92" s="69" t="s">
        <v>739</v>
      </c>
      <c r="I92" s="70"/>
      <c r="J92" s="104" t="s">
        <v>75</v>
      </c>
      <c r="K92" s="69" t="s">
        <v>739</v>
      </c>
      <c r="L92" s="105">
        <v>1.4044080279616167</v>
      </c>
      <c r="M92" s="74">
        <v>5951.95361328125</v>
      </c>
      <c r="N92" s="74">
        <v>4230.5029296875</v>
      </c>
      <c r="O92" s="75"/>
      <c r="P92" s="76"/>
      <c r="Q92" s="76"/>
      <c r="R92" s="106"/>
      <c r="S92" s="48">
        <v>9</v>
      </c>
      <c r="T92" s="48">
        <v>0</v>
      </c>
      <c r="U92" s="49">
        <v>5.649029</v>
      </c>
      <c r="V92" s="49">
        <v>0.105223</v>
      </c>
      <c r="W92" s="107"/>
      <c r="X92" s="50"/>
      <c r="Y92" s="50"/>
      <c r="Z92" s="49">
        <v>0</v>
      </c>
      <c r="AA92" s="71">
        <v>92</v>
      </c>
      <c r="AB92" s="71"/>
      <c r="AC92" s="72"/>
      <c r="AD92" s="79" t="s">
        <v>739</v>
      </c>
      <c r="AE92" s="79" t="s">
        <v>1099</v>
      </c>
      <c r="AF92" s="79"/>
      <c r="AG92" s="79" t="s">
        <v>1562</v>
      </c>
      <c r="AH92" s="79" t="s">
        <v>1794</v>
      </c>
      <c r="AI92" s="79">
        <v>71</v>
      </c>
      <c r="AJ92" s="79">
        <v>0</v>
      </c>
      <c r="AK92" s="79">
        <v>0</v>
      </c>
      <c r="AL92" s="79">
        <v>0</v>
      </c>
      <c r="AM92" s="79" t="s">
        <v>2092</v>
      </c>
      <c r="AN92" s="114" t="str">
        <f>HYPERLINK("https://www.youtube.com/watch?v=39rHi9sYrqc")</f>
        <v>https://www.youtube.com/watch?v=39rHi9sYrqc</v>
      </c>
      <c r="AO92" s="78" t="str">
        <f>REPLACE(INDEX(GroupVertices[Group],MATCH(Vertices[[#This Row],[Vertex]],GroupVertices[Vertex],0)),1,1,"")</f>
        <v>nlineCEUCredit</v>
      </c>
      <c r="AP92" s="2"/>
      <c r="AQ92" s="3"/>
      <c r="AR92" s="3"/>
      <c r="AS92" s="3"/>
      <c r="AT92" s="3"/>
    </row>
    <row r="93" spans="1:46" ht="15">
      <c r="A93" s="64" t="s">
        <v>2139</v>
      </c>
      <c r="B93" s="65"/>
      <c r="C93" s="65"/>
      <c r="D93" s="66">
        <v>150</v>
      </c>
      <c r="E93" s="102">
        <v>97.85714285714286</v>
      </c>
      <c r="F93" s="98" t="str">
        <f>HYPERLINK("https://i.ytimg.com/vi/EerXkOw9rnM/default.jpg")</f>
        <v>https://i.ytimg.com/vi/EerXkOw9rnM/default.jpg</v>
      </c>
      <c r="G93" s="100"/>
      <c r="H93" s="69" t="s">
        <v>2617</v>
      </c>
      <c r="I93" s="70"/>
      <c r="J93" s="104" t="s">
        <v>159</v>
      </c>
      <c r="K93" s="69" t="s">
        <v>2617</v>
      </c>
      <c r="L93" s="105">
        <v>1</v>
      </c>
      <c r="M93" s="74">
        <v>8108.80126953125</v>
      </c>
      <c r="N93" s="74">
        <v>2508.627197265625</v>
      </c>
      <c r="O93" s="75"/>
      <c r="P93" s="76"/>
      <c r="Q93" s="76"/>
      <c r="R93" s="106"/>
      <c r="S93" s="48">
        <v>1</v>
      </c>
      <c r="T93" s="48">
        <v>0</v>
      </c>
      <c r="U93" s="49">
        <v>0</v>
      </c>
      <c r="V93" s="49">
        <v>0.00984</v>
      </c>
      <c r="W93" s="107"/>
      <c r="X93" s="50"/>
      <c r="Y93" s="50"/>
      <c r="Z93" s="49">
        <v>0</v>
      </c>
      <c r="AA93" s="71">
        <v>93</v>
      </c>
      <c r="AB93" s="71"/>
      <c r="AC93" s="72"/>
      <c r="AD93" s="79" t="s">
        <v>2617</v>
      </c>
      <c r="AE93" s="79"/>
      <c r="AF93" s="79"/>
      <c r="AG93" s="79" t="s">
        <v>3704</v>
      </c>
      <c r="AH93" s="79" t="s">
        <v>3982</v>
      </c>
      <c r="AI93" s="79">
        <v>3</v>
      </c>
      <c r="AJ93" s="79">
        <v>0</v>
      </c>
      <c r="AK93" s="79">
        <v>0</v>
      </c>
      <c r="AL93" s="79">
        <v>0</v>
      </c>
      <c r="AM93" s="79" t="s">
        <v>2092</v>
      </c>
      <c r="AN93" s="114" t="str">
        <f>HYPERLINK("https://www.youtube.com/watch?v=EerXkOw9rnM")</f>
        <v>https://www.youtube.com/watch?v=EerXkOw9rnM</v>
      </c>
      <c r="AO93" s="78" t="str">
        <f>REPLACE(INDEX(GroupVertices[Group],MATCH(Vertices[[#This Row],[Vertex]],GroupVertices[Vertex],0)),1,1,"")</f>
        <v>osmala Listantina</v>
      </c>
      <c r="AP93" s="2"/>
      <c r="AQ93" s="3"/>
      <c r="AR93" s="3"/>
      <c r="AS93" s="3"/>
      <c r="AT93" s="3"/>
    </row>
    <row r="94" spans="1:46" ht="15">
      <c r="A94" s="64" t="s">
        <v>2140</v>
      </c>
      <c r="B94" s="65"/>
      <c r="C94" s="65"/>
      <c r="D94" s="66">
        <v>150</v>
      </c>
      <c r="E94" s="102">
        <v>97.85714285714286</v>
      </c>
      <c r="F94" s="98" t="str">
        <f>HYPERLINK("https://i.ytimg.com/vi/Y387zn4duhE/default.jpg")</f>
        <v>https://i.ytimg.com/vi/Y387zn4duhE/default.jpg</v>
      </c>
      <c r="G94" s="100"/>
      <c r="H94" s="69" t="s">
        <v>2618</v>
      </c>
      <c r="I94" s="70"/>
      <c r="J94" s="104" t="s">
        <v>159</v>
      </c>
      <c r="K94" s="69" t="s">
        <v>2618</v>
      </c>
      <c r="L94" s="105">
        <v>1</v>
      </c>
      <c r="M94" s="74">
        <v>8547.828125</v>
      </c>
      <c r="N94" s="74">
        <v>3148.050048828125</v>
      </c>
      <c r="O94" s="75"/>
      <c r="P94" s="76"/>
      <c r="Q94" s="76"/>
      <c r="R94" s="106"/>
      <c r="S94" s="48">
        <v>1</v>
      </c>
      <c r="T94" s="48">
        <v>0</v>
      </c>
      <c r="U94" s="49">
        <v>0</v>
      </c>
      <c r="V94" s="49">
        <v>0.00984</v>
      </c>
      <c r="W94" s="107"/>
      <c r="X94" s="50"/>
      <c r="Y94" s="50"/>
      <c r="Z94" s="49">
        <v>0</v>
      </c>
      <c r="AA94" s="71">
        <v>94</v>
      </c>
      <c r="AB94" s="71"/>
      <c r="AC94" s="72"/>
      <c r="AD94" s="79" t="s">
        <v>2618</v>
      </c>
      <c r="AE94" s="79" t="s">
        <v>3084</v>
      </c>
      <c r="AF94" s="79"/>
      <c r="AG94" s="79" t="s">
        <v>3705</v>
      </c>
      <c r="AH94" s="79" t="s">
        <v>3983</v>
      </c>
      <c r="AI94" s="79">
        <v>47</v>
      </c>
      <c r="AJ94" s="79">
        <v>0</v>
      </c>
      <c r="AK94" s="79">
        <v>1</v>
      </c>
      <c r="AL94" s="79">
        <v>0</v>
      </c>
      <c r="AM94" s="79" t="s">
        <v>2092</v>
      </c>
      <c r="AN94" s="114" t="str">
        <f>HYPERLINK("https://www.youtube.com/watch?v=Y387zn4duhE")</f>
        <v>https://www.youtube.com/watch?v=Y387zn4duhE</v>
      </c>
      <c r="AO94" s="78" t="str">
        <f>REPLACE(INDEX(GroupVertices[Group],MATCH(Vertices[[#This Row],[Vertex]],GroupVertices[Vertex],0)),1,1,"")</f>
        <v>ife's Wisdom Unleashed</v>
      </c>
      <c r="AP94" s="2"/>
      <c r="AQ94" s="3"/>
      <c r="AR94" s="3"/>
      <c r="AS94" s="3"/>
      <c r="AT94" s="3"/>
    </row>
    <row r="95" spans="1:46" ht="15">
      <c r="A95" s="64" t="s">
        <v>2141</v>
      </c>
      <c r="B95" s="65"/>
      <c r="C95" s="65"/>
      <c r="D95" s="66">
        <v>150</v>
      </c>
      <c r="E95" s="102">
        <v>97.85714285714286</v>
      </c>
      <c r="F95" s="98" t="str">
        <f>HYPERLINK("https://i.ytimg.com/vi/uLXb5qEgLl8/default.jpg")</f>
        <v>https://i.ytimg.com/vi/uLXb5qEgLl8/default.jpg</v>
      </c>
      <c r="G95" s="100"/>
      <c r="H95" s="69" t="s">
        <v>2619</v>
      </c>
      <c r="I95" s="70"/>
      <c r="J95" s="104" t="s">
        <v>159</v>
      </c>
      <c r="K95" s="69" t="s">
        <v>2619</v>
      </c>
      <c r="L95" s="105">
        <v>1</v>
      </c>
      <c r="M95" s="74">
        <v>8374.22265625</v>
      </c>
      <c r="N95" s="74">
        <v>3591.5947265625</v>
      </c>
      <c r="O95" s="75"/>
      <c r="P95" s="76"/>
      <c r="Q95" s="76"/>
      <c r="R95" s="106"/>
      <c r="S95" s="48">
        <v>1</v>
      </c>
      <c r="T95" s="48">
        <v>0</v>
      </c>
      <c r="U95" s="49">
        <v>0</v>
      </c>
      <c r="V95" s="49">
        <v>0.00984</v>
      </c>
      <c r="W95" s="107"/>
      <c r="X95" s="50"/>
      <c r="Y95" s="50"/>
      <c r="Z95" s="49">
        <v>0</v>
      </c>
      <c r="AA95" s="71">
        <v>95</v>
      </c>
      <c r="AB95" s="71"/>
      <c r="AC95" s="72"/>
      <c r="AD95" s="79" t="s">
        <v>2619</v>
      </c>
      <c r="AE95" s="79" t="s">
        <v>3085</v>
      </c>
      <c r="AF95" s="79"/>
      <c r="AG95" s="79" t="s">
        <v>3706</v>
      </c>
      <c r="AH95" s="79" t="s">
        <v>3984</v>
      </c>
      <c r="AI95" s="79">
        <v>22</v>
      </c>
      <c r="AJ95" s="79">
        <v>0</v>
      </c>
      <c r="AK95" s="79">
        <v>4</v>
      </c>
      <c r="AL95" s="79">
        <v>0</v>
      </c>
      <c r="AM95" s="79" t="s">
        <v>2092</v>
      </c>
      <c r="AN95" s="114" t="str">
        <f>HYPERLINK("https://www.youtube.com/watch?v=uLXb5qEgLl8")</f>
        <v>https://www.youtube.com/watch?v=uLXb5qEgLl8</v>
      </c>
      <c r="AO95" s="78" t="str">
        <f>REPLACE(INDEX(GroupVertices[Group],MATCH(Vertices[[#This Row],[Vertex]],GroupVertices[Vertex],0)),1,1,"")</f>
        <v>SYCHOLOGY RANKERS</v>
      </c>
      <c r="AP95" s="2"/>
      <c r="AQ95" s="3"/>
      <c r="AR95" s="3"/>
      <c r="AS95" s="3"/>
      <c r="AT95" s="3"/>
    </row>
    <row r="96" spans="1:46" ht="15">
      <c r="A96" s="64" t="s">
        <v>2142</v>
      </c>
      <c r="B96" s="65"/>
      <c r="C96" s="65"/>
      <c r="D96" s="66">
        <v>150</v>
      </c>
      <c r="E96" s="102">
        <v>97.85714285714286</v>
      </c>
      <c r="F96" s="98" t="str">
        <f>HYPERLINK("https://i.ytimg.com/vi/VCT16StGzZ8/default.jpg")</f>
        <v>https://i.ytimg.com/vi/VCT16StGzZ8/default.jpg</v>
      </c>
      <c r="G96" s="100"/>
      <c r="H96" s="69" t="s">
        <v>2125</v>
      </c>
      <c r="I96" s="70"/>
      <c r="J96" s="104" t="s">
        <v>159</v>
      </c>
      <c r="K96" s="69" t="s">
        <v>2125</v>
      </c>
      <c r="L96" s="105">
        <v>1</v>
      </c>
      <c r="M96" s="74">
        <v>8612.4443359375</v>
      </c>
      <c r="N96" s="74">
        <v>3492.700927734375</v>
      </c>
      <c r="O96" s="75"/>
      <c r="P96" s="76"/>
      <c r="Q96" s="76"/>
      <c r="R96" s="106"/>
      <c r="S96" s="48">
        <v>1</v>
      </c>
      <c r="T96" s="48">
        <v>0</v>
      </c>
      <c r="U96" s="49">
        <v>0</v>
      </c>
      <c r="V96" s="49">
        <v>0.00984</v>
      </c>
      <c r="W96" s="107"/>
      <c r="X96" s="50"/>
      <c r="Y96" s="50"/>
      <c r="Z96" s="49">
        <v>0</v>
      </c>
      <c r="AA96" s="71">
        <v>96</v>
      </c>
      <c r="AB96" s="71"/>
      <c r="AC96" s="72"/>
      <c r="AD96" s="112">
        <v>45049</v>
      </c>
      <c r="AE96" s="79"/>
      <c r="AF96" s="79"/>
      <c r="AG96" s="79" t="s">
        <v>3707</v>
      </c>
      <c r="AH96" s="79" t="s">
        <v>3985</v>
      </c>
      <c r="AI96" s="79">
        <v>5</v>
      </c>
      <c r="AJ96" s="79">
        <v>0</v>
      </c>
      <c r="AK96" s="79">
        <v>0</v>
      </c>
      <c r="AL96" s="79">
        <v>0</v>
      </c>
      <c r="AM96" s="79" t="s">
        <v>2092</v>
      </c>
      <c r="AN96" s="114" t="str">
        <f>HYPERLINK("https://www.youtube.com/watch?v=VCT16StGzZ8")</f>
        <v>https://www.youtube.com/watch?v=VCT16StGzZ8</v>
      </c>
      <c r="AO96" s="78" t="str">
        <f>REPLACE(INDEX(GroupVertices[Group],MATCH(Vertices[[#This Row],[Vertex]],GroupVertices[Vertex],0)),1,1,"")</f>
        <v>adeed Akmad</v>
      </c>
      <c r="AP96" s="2"/>
      <c r="AQ96" s="3"/>
      <c r="AR96" s="3"/>
      <c r="AS96" s="3"/>
      <c r="AT96" s="3"/>
    </row>
    <row r="97" spans="1:46" ht="15">
      <c r="A97" s="64" t="s">
        <v>2143</v>
      </c>
      <c r="B97" s="65"/>
      <c r="C97" s="65"/>
      <c r="D97" s="66">
        <v>150</v>
      </c>
      <c r="E97" s="102">
        <v>97.85714285714286</v>
      </c>
      <c r="F97" s="98" t="str">
        <f>HYPERLINK("https://i.ytimg.com/vi/C6aCT6zdP_Y/default.jpg")</f>
        <v>https://i.ytimg.com/vi/C6aCT6zdP_Y/default.jpg</v>
      </c>
      <c r="G97" s="100"/>
      <c r="H97" s="69" t="s">
        <v>2620</v>
      </c>
      <c r="I97" s="70"/>
      <c r="J97" s="104" t="s">
        <v>159</v>
      </c>
      <c r="K97" s="69" t="s">
        <v>2620</v>
      </c>
      <c r="L97" s="105">
        <v>1</v>
      </c>
      <c r="M97" s="74">
        <v>8132.36328125</v>
      </c>
      <c r="N97" s="74">
        <v>3590.6435546875</v>
      </c>
      <c r="O97" s="75"/>
      <c r="P97" s="76"/>
      <c r="Q97" s="76"/>
      <c r="R97" s="106"/>
      <c r="S97" s="48">
        <v>1</v>
      </c>
      <c r="T97" s="48">
        <v>0</v>
      </c>
      <c r="U97" s="49">
        <v>0</v>
      </c>
      <c r="V97" s="49">
        <v>0.00984</v>
      </c>
      <c r="W97" s="107"/>
      <c r="X97" s="50"/>
      <c r="Y97" s="50"/>
      <c r="Z97" s="49">
        <v>0</v>
      </c>
      <c r="AA97" s="71">
        <v>97</v>
      </c>
      <c r="AB97" s="71"/>
      <c r="AC97" s="72"/>
      <c r="AD97" s="79" t="s">
        <v>2620</v>
      </c>
      <c r="AE97" s="79" t="s">
        <v>3086</v>
      </c>
      <c r="AF97" s="79" t="s">
        <v>3501</v>
      </c>
      <c r="AG97" s="79" t="s">
        <v>3708</v>
      </c>
      <c r="AH97" s="79" t="s">
        <v>3986</v>
      </c>
      <c r="AI97" s="79">
        <v>12</v>
      </c>
      <c r="AJ97" s="79">
        <v>0</v>
      </c>
      <c r="AK97" s="79">
        <v>1</v>
      </c>
      <c r="AL97" s="79">
        <v>0</v>
      </c>
      <c r="AM97" s="79" t="s">
        <v>2092</v>
      </c>
      <c r="AN97" s="114" t="str">
        <f>HYPERLINK("https://www.youtube.com/watch?v=C6aCT6zdP_Y")</f>
        <v>https://www.youtube.com/watch?v=C6aCT6zdP_Y</v>
      </c>
      <c r="AO97" s="78" t="str">
        <f>REPLACE(INDEX(GroupVertices[Group],MATCH(Vertices[[#This Row],[Vertex]],GroupVertices[Vertex],0)),1,1,"")</f>
        <v>est psychology Classes in hindi</v>
      </c>
      <c r="AP97" s="2"/>
      <c r="AQ97" s="3"/>
      <c r="AR97" s="3"/>
      <c r="AS97" s="3"/>
      <c r="AT97" s="3"/>
    </row>
    <row r="98" spans="1:46" ht="15">
      <c r="A98" s="64" t="s">
        <v>2144</v>
      </c>
      <c r="B98" s="65"/>
      <c r="C98" s="65"/>
      <c r="D98" s="66">
        <v>150</v>
      </c>
      <c r="E98" s="102">
        <v>97.85714285714286</v>
      </c>
      <c r="F98" s="98" t="str">
        <f>HYPERLINK("https://i.ytimg.com/vi/CQieGJNRiSk/default.jpg")</f>
        <v>https://i.ytimg.com/vi/CQieGJNRiSk/default.jpg</v>
      </c>
      <c r="G98" s="100"/>
      <c r="H98" s="69" t="s">
        <v>2621</v>
      </c>
      <c r="I98" s="70"/>
      <c r="J98" s="104" t="s">
        <v>159</v>
      </c>
      <c r="K98" s="69" t="s">
        <v>2621</v>
      </c>
      <c r="L98" s="105">
        <v>1</v>
      </c>
      <c r="M98" s="74">
        <v>8821.072265625</v>
      </c>
      <c r="N98" s="74">
        <v>2763.813232421875</v>
      </c>
      <c r="O98" s="75"/>
      <c r="P98" s="76"/>
      <c r="Q98" s="76"/>
      <c r="R98" s="106"/>
      <c r="S98" s="48">
        <v>1</v>
      </c>
      <c r="T98" s="48">
        <v>0</v>
      </c>
      <c r="U98" s="49">
        <v>0</v>
      </c>
      <c r="V98" s="49">
        <v>0.00984</v>
      </c>
      <c r="W98" s="107"/>
      <c r="X98" s="50"/>
      <c r="Y98" s="50"/>
      <c r="Z98" s="49">
        <v>0</v>
      </c>
      <c r="AA98" s="71">
        <v>98</v>
      </c>
      <c r="AB98" s="71"/>
      <c r="AC98" s="72"/>
      <c r="AD98" s="79" t="s">
        <v>2621</v>
      </c>
      <c r="AE98" s="79"/>
      <c r="AF98" s="79"/>
      <c r="AG98" s="79" t="s">
        <v>3709</v>
      </c>
      <c r="AH98" s="79" t="s">
        <v>3987</v>
      </c>
      <c r="AI98" s="79">
        <v>2</v>
      </c>
      <c r="AJ98" s="79">
        <v>0</v>
      </c>
      <c r="AK98" s="79">
        <v>0</v>
      </c>
      <c r="AL98" s="79">
        <v>0</v>
      </c>
      <c r="AM98" s="79" t="s">
        <v>2092</v>
      </c>
      <c r="AN98" s="114" t="str">
        <f>HYPERLINK("https://www.youtube.com/watch?v=CQieGJNRiSk")</f>
        <v>https://www.youtube.com/watch?v=CQieGJNRiSk</v>
      </c>
      <c r="AO98" s="78" t="str">
        <f>REPLACE(INDEX(GroupVertices[Group],MATCH(Vertices[[#This Row],[Vertex]],GroupVertices[Vertex],0)),1,1,"")</f>
        <v xml:space="preserve"> S Audiobook platform</v>
      </c>
      <c r="AP98" s="2"/>
      <c r="AQ98" s="3"/>
      <c r="AR98" s="3"/>
      <c r="AS98" s="3"/>
      <c r="AT98" s="3"/>
    </row>
    <row r="99" spans="1:46" ht="15">
      <c r="A99" s="64" t="s">
        <v>2145</v>
      </c>
      <c r="B99" s="65"/>
      <c r="C99" s="65"/>
      <c r="D99" s="66">
        <v>150</v>
      </c>
      <c r="E99" s="102">
        <v>97.85714285714286</v>
      </c>
      <c r="F99" s="98" t="str">
        <f>HYPERLINK("https://i.ytimg.com/vi/88B02NnhLMs/default.jpg")</f>
        <v>https://i.ytimg.com/vi/88B02NnhLMs/default.jpg</v>
      </c>
      <c r="G99" s="100"/>
      <c r="H99" s="69" t="s">
        <v>2622</v>
      </c>
      <c r="I99" s="70"/>
      <c r="J99" s="104" t="s">
        <v>159</v>
      </c>
      <c r="K99" s="69" t="s">
        <v>2622</v>
      </c>
      <c r="L99" s="105">
        <v>1</v>
      </c>
      <c r="M99" s="74">
        <v>8751.9013671875</v>
      </c>
      <c r="N99" s="74">
        <v>2379.698974609375</v>
      </c>
      <c r="O99" s="75"/>
      <c r="P99" s="76"/>
      <c r="Q99" s="76"/>
      <c r="R99" s="106"/>
      <c r="S99" s="48">
        <v>1</v>
      </c>
      <c r="T99" s="48">
        <v>0</v>
      </c>
      <c r="U99" s="49">
        <v>0</v>
      </c>
      <c r="V99" s="49">
        <v>0.00984</v>
      </c>
      <c r="W99" s="107"/>
      <c r="X99" s="50"/>
      <c r="Y99" s="50"/>
      <c r="Z99" s="49">
        <v>0</v>
      </c>
      <c r="AA99" s="71">
        <v>99</v>
      </c>
      <c r="AB99" s="71"/>
      <c r="AC99" s="72"/>
      <c r="AD99" s="79" t="s">
        <v>2622</v>
      </c>
      <c r="AE99" s="79" t="s">
        <v>3087</v>
      </c>
      <c r="AF99" s="79" t="s">
        <v>3502</v>
      </c>
      <c r="AG99" s="79" t="s">
        <v>3710</v>
      </c>
      <c r="AH99" s="79" t="s">
        <v>3988</v>
      </c>
      <c r="AI99" s="79">
        <v>2</v>
      </c>
      <c r="AJ99" s="79">
        <v>0</v>
      </c>
      <c r="AK99" s="79">
        <v>0</v>
      </c>
      <c r="AL99" s="79">
        <v>0</v>
      </c>
      <c r="AM99" s="79" t="s">
        <v>2092</v>
      </c>
      <c r="AN99" s="114" t="str">
        <f>HYPERLINK("https://www.youtube.com/watch?v=88B02NnhLMs")</f>
        <v>https://www.youtube.com/watch?v=88B02NnhLMs</v>
      </c>
      <c r="AO99" s="78" t="str">
        <f>REPLACE(INDEX(GroupVertices[Group],MATCH(Vertices[[#This Row],[Vertex]],GroupVertices[Vertex],0)),1,1,"")</f>
        <v>TUDY.PSYCHOLOGY</v>
      </c>
      <c r="AP99" s="2"/>
      <c r="AQ99" s="3"/>
      <c r="AR99" s="3"/>
      <c r="AS99" s="3"/>
      <c r="AT99" s="3"/>
    </row>
    <row r="100" spans="1:46" ht="15">
      <c r="A100" s="64" t="s">
        <v>2146</v>
      </c>
      <c r="B100" s="65"/>
      <c r="C100" s="65"/>
      <c r="D100" s="66">
        <v>150</v>
      </c>
      <c r="E100" s="102">
        <v>97.85714285714286</v>
      </c>
      <c r="F100" s="98" t="str">
        <f>HYPERLINK("https://i.ytimg.com/vi/Qgdf9tLbh5k/default.jpg")</f>
        <v>https://i.ytimg.com/vi/Qgdf9tLbh5k/default.jpg</v>
      </c>
      <c r="G100" s="100"/>
      <c r="H100" s="69" t="s">
        <v>2623</v>
      </c>
      <c r="I100" s="70"/>
      <c r="J100" s="104" t="s">
        <v>159</v>
      </c>
      <c r="K100" s="69" t="s">
        <v>2623</v>
      </c>
      <c r="L100" s="105">
        <v>1</v>
      </c>
      <c r="M100" s="74">
        <v>8309.888671875</v>
      </c>
      <c r="N100" s="74">
        <v>2068.758544921875</v>
      </c>
      <c r="O100" s="75"/>
      <c r="P100" s="76"/>
      <c r="Q100" s="76"/>
      <c r="R100" s="106"/>
      <c r="S100" s="48">
        <v>1</v>
      </c>
      <c r="T100" s="48">
        <v>0</v>
      </c>
      <c r="U100" s="49">
        <v>0</v>
      </c>
      <c r="V100" s="49">
        <v>0.00984</v>
      </c>
      <c r="W100" s="107"/>
      <c r="X100" s="50"/>
      <c r="Y100" s="50"/>
      <c r="Z100" s="49">
        <v>0</v>
      </c>
      <c r="AA100" s="71">
        <v>100</v>
      </c>
      <c r="AB100" s="71"/>
      <c r="AC100" s="72"/>
      <c r="AD100" s="79" t="s">
        <v>2623</v>
      </c>
      <c r="AE100" s="79" t="s">
        <v>3088</v>
      </c>
      <c r="AF100" s="79"/>
      <c r="AG100" s="79" t="s">
        <v>3711</v>
      </c>
      <c r="AH100" s="79" t="s">
        <v>3989</v>
      </c>
      <c r="AI100" s="79">
        <v>315</v>
      </c>
      <c r="AJ100" s="79">
        <v>0</v>
      </c>
      <c r="AK100" s="79">
        <v>3</v>
      </c>
      <c r="AL100" s="79">
        <v>0</v>
      </c>
      <c r="AM100" s="79" t="s">
        <v>2092</v>
      </c>
      <c r="AN100" s="114" t="str">
        <f>HYPERLINK("https://www.youtube.com/watch?v=Qgdf9tLbh5k")</f>
        <v>https://www.youtube.com/watch?v=Qgdf9tLbh5k</v>
      </c>
      <c r="AO100" s="78" t="str">
        <f>REPLACE(INDEX(GroupVertices[Group],MATCH(Vertices[[#This Row],[Vertex]],GroupVertices[Vertex],0)),1,1,"")</f>
        <v>et Us Fight AMR</v>
      </c>
      <c r="AP100" s="2"/>
      <c r="AQ100" s="3"/>
      <c r="AR100" s="3"/>
      <c r="AS100" s="3"/>
      <c r="AT100" s="3"/>
    </row>
    <row r="101" spans="1:46" ht="15">
      <c r="A101" s="64" t="s">
        <v>2147</v>
      </c>
      <c r="B101" s="65"/>
      <c r="C101" s="65"/>
      <c r="D101" s="66">
        <v>150</v>
      </c>
      <c r="E101" s="102">
        <v>97.85714285714286</v>
      </c>
      <c r="F101" s="98" t="str">
        <f>HYPERLINK("https://i.ytimg.com/vi/c83c-URZPbo/default.jpg")</f>
        <v>https://i.ytimg.com/vi/c83c-URZPbo/default.jpg</v>
      </c>
      <c r="G101" s="100"/>
      <c r="H101" s="69" t="s">
        <v>2624</v>
      </c>
      <c r="I101" s="70"/>
      <c r="J101" s="104" t="s">
        <v>159</v>
      </c>
      <c r="K101" s="69" t="s">
        <v>2624</v>
      </c>
      <c r="L101" s="105">
        <v>1</v>
      </c>
      <c r="M101" s="74">
        <v>7805.6435546875</v>
      </c>
      <c r="N101" s="74">
        <v>3030.31201171875</v>
      </c>
      <c r="O101" s="75"/>
      <c r="P101" s="76"/>
      <c r="Q101" s="76"/>
      <c r="R101" s="106"/>
      <c r="S101" s="48">
        <v>1</v>
      </c>
      <c r="T101" s="48">
        <v>0</v>
      </c>
      <c r="U101" s="49">
        <v>0</v>
      </c>
      <c r="V101" s="49">
        <v>0.00984</v>
      </c>
      <c r="W101" s="107"/>
      <c r="X101" s="50"/>
      <c r="Y101" s="50"/>
      <c r="Z101" s="49">
        <v>0</v>
      </c>
      <c r="AA101" s="71">
        <v>101</v>
      </c>
      <c r="AB101" s="71"/>
      <c r="AC101" s="72"/>
      <c r="AD101" s="79" t="s">
        <v>2624</v>
      </c>
      <c r="AE101" s="79"/>
      <c r="AF101" s="79"/>
      <c r="AG101" s="79" t="s">
        <v>3712</v>
      </c>
      <c r="AH101" s="79" t="s">
        <v>3990</v>
      </c>
      <c r="AI101" s="79">
        <v>11</v>
      </c>
      <c r="AJ101" s="79">
        <v>0</v>
      </c>
      <c r="AK101" s="79">
        <v>1</v>
      </c>
      <c r="AL101" s="79">
        <v>0</v>
      </c>
      <c r="AM101" s="79" t="s">
        <v>2092</v>
      </c>
      <c r="AN101" s="114" t="str">
        <f>HYPERLINK("https://www.youtube.com/watch?v=c83c-URZPbo")</f>
        <v>https://www.youtube.com/watch?v=c83c-URZPbo</v>
      </c>
      <c r="AO101" s="78" t="str">
        <f>REPLACE(INDEX(GroupVertices[Group],MATCH(Vertices[[#This Row],[Vertex]],GroupVertices[Vertex],0)),1,1,"")</f>
        <v>sychology Classes</v>
      </c>
      <c r="AP101" s="2"/>
      <c r="AQ101" s="3"/>
      <c r="AR101" s="3"/>
      <c r="AS101" s="3"/>
      <c r="AT101" s="3"/>
    </row>
    <row r="102" spans="1:46" ht="15">
      <c r="A102" s="64" t="s">
        <v>2148</v>
      </c>
      <c r="B102" s="65"/>
      <c r="C102" s="65"/>
      <c r="D102" s="66">
        <v>150</v>
      </c>
      <c r="E102" s="102">
        <v>97.85714285714286</v>
      </c>
      <c r="F102" s="98" t="str">
        <f>HYPERLINK("https://i.ytimg.com/vi/bwN5ugfCdzA/default.jpg")</f>
        <v>https://i.ytimg.com/vi/bwN5ugfCdzA/default.jpg</v>
      </c>
      <c r="G102" s="100"/>
      <c r="H102" s="69" t="s">
        <v>2625</v>
      </c>
      <c r="I102" s="70"/>
      <c r="J102" s="104" t="s">
        <v>159</v>
      </c>
      <c r="K102" s="69" t="s">
        <v>2625</v>
      </c>
      <c r="L102" s="105">
        <v>1</v>
      </c>
      <c r="M102" s="74">
        <v>8540.986328125</v>
      </c>
      <c r="N102" s="74">
        <v>2555.625</v>
      </c>
      <c r="O102" s="75"/>
      <c r="P102" s="76"/>
      <c r="Q102" s="76"/>
      <c r="R102" s="106"/>
      <c r="S102" s="48">
        <v>1</v>
      </c>
      <c r="T102" s="48">
        <v>0</v>
      </c>
      <c r="U102" s="49">
        <v>0</v>
      </c>
      <c r="V102" s="49">
        <v>0.00984</v>
      </c>
      <c r="W102" s="107"/>
      <c r="X102" s="50"/>
      <c r="Y102" s="50"/>
      <c r="Z102" s="49">
        <v>0</v>
      </c>
      <c r="AA102" s="71">
        <v>102</v>
      </c>
      <c r="AB102" s="71"/>
      <c r="AC102" s="72"/>
      <c r="AD102" s="79" t="s">
        <v>2625</v>
      </c>
      <c r="AE102" s="79" t="s">
        <v>3089</v>
      </c>
      <c r="AF102" s="79"/>
      <c r="AG102" s="79" t="s">
        <v>3713</v>
      </c>
      <c r="AH102" s="79" t="s">
        <v>3991</v>
      </c>
      <c r="AI102" s="79">
        <v>84</v>
      </c>
      <c r="AJ102" s="79">
        <v>0</v>
      </c>
      <c r="AK102" s="79">
        <v>6</v>
      </c>
      <c r="AL102" s="79">
        <v>0</v>
      </c>
      <c r="AM102" s="79" t="s">
        <v>2092</v>
      </c>
      <c r="AN102" s="114" t="str">
        <f>HYPERLINK("https://www.youtube.com/watch?v=bwN5ugfCdzA")</f>
        <v>https://www.youtube.com/watch?v=bwN5ugfCdzA</v>
      </c>
      <c r="AO102" s="78" t="str">
        <f>REPLACE(INDEX(GroupVertices[Group],MATCH(Vertices[[#This Row],[Vertex]],GroupVertices[Vertex],0)),1,1,"")</f>
        <v>ohit Malik</v>
      </c>
      <c r="AP102" s="2"/>
      <c r="AQ102" s="3"/>
      <c r="AR102" s="3"/>
      <c r="AS102" s="3"/>
      <c r="AT102" s="3"/>
    </row>
    <row r="103" spans="1:46" ht="15">
      <c r="A103" s="64" t="s">
        <v>2149</v>
      </c>
      <c r="B103" s="65"/>
      <c r="C103" s="65"/>
      <c r="D103" s="66">
        <v>150</v>
      </c>
      <c r="E103" s="102">
        <v>97.85714285714286</v>
      </c>
      <c r="F103" s="98" t="str">
        <f>HYPERLINK("https://i.ytimg.com/vi/kNfysrT1Zoo/default.jpg")</f>
        <v>https://i.ytimg.com/vi/kNfysrT1Zoo/default.jpg</v>
      </c>
      <c r="G103" s="100"/>
      <c r="H103" s="69" t="s">
        <v>2626</v>
      </c>
      <c r="I103" s="70"/>
      <c r="J103" s="104" t="s">
        <v>159</v>
      </c>
      <c r="K103" s="69" t="s">
        <v>2626</v>
      </c>
      <c r="L103" s="105">
        <v>1</v>
      </c>
      <c r="M103" s="74">
        <v>8532.7255859375</v>
      </c>
      <c r="N103" s="74">
        <v>2126.04345703125</v>
      </c>
      <c r="O103" s="75"/>
      <c r="P103" s="76"/>
      <c r="Q103" s="76"/>
      <c r="R103" s="106"/>
      <c r="S103" s="48">
        <v>1</v>
      </c>
      <c r="T103" s="48">
        <v>0</v>
      </c>
      <c r="U103" s="49">
        <v>0</v>
      </c>
      <c r="V103" s="49">
        <v>0.00984</v>
      </c>
      <c r="W103" s="107"/>
      <c r="X103" s="50"/>
      <c r="Y103" s="50"/>
      <c r="Z103" s="49">
        <v>0</v>
      </c>
      <c r="AA103" s="71">
        <v>103</v>
      </c>
      <c r="AB103" s="71"/>
      <c r="AC103" s="72"/>
      <c r="AD103" s="79" t="s">
        <v>2626</v>
      </c>
      <c r="AE103" s="79" t="s">
        <v>3090</v>
      </c>
      <c r="AF103" s="79"/>
      <c r="AG103" s="79" t="s">
        <v>1565</v>
      </c>
      <c r="AH103" s="79" t="s">
        <v>3992</v>
      </c>
      <c r="AI103" s="79">
        <v>303</v>
      </c>
      <c r="AJ103" s="79">
        <v>0</v>
      </c>
      <c r="AK103" s="79">
        <v>10</v>
      </c>
      <c r="AL103" s="79">
        <v>0</v>
      </c>
      <c r="AM103" s="79" t="s">
        <v>2092</v>
      </c>
      <c r="AN103" s="114" t="str">
        <f>HYPERLINK("https://www.youtube.com/watch?v=kNfysrT1Zoo")</f>
        <v>https://www.youtube.com/watch?v=kNfysrT1Zoo</v>
      </c>
      <c r="AO103" s="78" t="str">
        <f>REPLACE(INDEX(GroupVertices[Group],MATCH(Vertices[[#This Row],[Vertex]],GroupVertices[Vertex],0)),1,1,"")</f>
        <v>chool of Psychology by Sakshi Kohli</v>
      </c>
      <c r="AP103" s="2"/>
      <c r="AQ103" s="3"/>
      <c r="AR103" s="3"/>
      <c r="AS103" s="3"/>
      <c r="AT103" s="3"/>
    </row>
    <row r="104" spans="1:46" ht="15">
      <c r="A104" s="64" t="s">
        <v>2150</v>
      </c>
      <c r="B104" s="65"/>
      <c r="C104" s="65"/>
      <c r="D104" s="66">
        <v>150</v>
      </c>
      <c r="E104" s="102">
        <v>97.85714285714286</v>
      </c>
      <c r="F104" s="98" t="str">
        <f>HYPERLINK("https://i.ytimg.com/vi/izMJhU3_qjo/default.jpg")</f>
        <v>https://i.ytimg.com/vi/izMJhU3_qjo/default.jpg</v>
      </c>
      <c r="G104" s="100"/>
      <c r="H104" s="69" t="s">
        <v>2627</v>
      </c>
      <c r="I104" s="70"/>
      <c r="J104" s="104" t="s">
        <v>159</v>
      </c>
      <c r="K104" s="69" t="s">
        <v>2627</v>
      </c>
      <c r="L104" s="105">
        <v>1</v>
      </c>
      <c r="M104" s="74">
        <v>7790.3857421875</v>
      </c>
      <c r="N104" s="74">
        <v>2709.959228515625</v>
      </c>
      <c r="O104" s="75"/>
      <c r="P104" s="76"/>
      <c r="Q104" s="76"/>
      <c r="R104" s="106"/>
      <c r="S104" s="48">
        <v>1</v>
      </c>
      <c r="T104" s="48">
        <v>0</v>
      </c>
      <c r="U104" s="49">
        <v>0</v>
      </c>
      <c r="V104" s="49">
        <v>0.00984</v>
      </c>
      <c r="W104" s="107"/>
      <c r="X104" s="50"/>
      <c r="Y104" s="50"/>
      <c r="Z104" s="49">
        <v>0</v>
      </c>
      <c r="AA104" s="71">
        <v>104</v>
      </c>
      <c r="AB104" s="71"/>
      <c r="AC104" s="72"/>
      <c r="AD104" s="79" t="s">
        <v>2627</v>
      </c>
      <c r="AE104" s="79" t="s">
        <v>3091</v>
      </c>
      <c r="AF104" s="79"/>
      <c r="AG104" s="79" t="s">
        <v>1565</v>
      </c>
      <c r="AH104" s="79" t="s">
        <v>3993</v>
      </c>
      <c r="AI104" s="79">
        <v>411</v>
      </c>
      <c r="AJ104" s="79">
        <v>0</v>
      </c>
      <c r="AK104" s="79">
        <v>8</v>
      </c>
      <c r="AL104" s="79">
        <v>0</v>
      </c>
      <c r="AM104" s="79" t="s">
        <v>2092</v>
      </c>
      <c r="AN104" s="114" t="str">
        <f>HYPERLINK("https://www.youtube.com/watch?v=izMJhU3_qjo")</f>
        <v>https://www.youtube.com/watch?v=izMJhU3_qjo</v>
      </c>
      <c r="AO104" s="78" t="str">
        <f>REPLACE(INDEX(GroupVertices[Group],MATCH(Vertices[[#This Row],[Vertex]],GroupVertices[Vertex],0)),1,1,"")</f>
        <v>chool of Psychology by Sakshi Kohli</v>
      </c>
      <c r="AP104" s="2"/>
      <c r="AQ104" s="3"/>
      <c r="AR104" s="3"/>
      <c r="AS104" s="3"/>
      <c r="AT104" s="3"/>
    </row>
    <row r="105" spans="1:46" ht="15">
      <c r="A105" s="64" t="s">
        <v>2151</v>
      </c>
      <c r="B105" s="65"/>
      <c r="C105" s="65"/>
      <c r="D105" s="66">
        <v>150</v>
      </c>
      <c r="E105" s="102">
        <v>97.85714285714286</v>
      </c>
      <c r="F105" s="98" t="str">
        <f>HYPERLINK("https://i.ytimg.com/vi/AzdiZHCyRz0/default.jpg")</f>
        <v>https://i.ytimg.com/vi/AzdiZHCyRz0/default.jpg</v>
      </c>
      <c r="G105" s="100"/>
      <c r="H105" s="69" t="s">
        <v>2628</v>
      </c>
      <c r="I105" s="70"/>
      <c r="J105" s="104" t="s">
        <v>159</v>
      </c>
      <c r="K105" s="69" t="s">
        <v>2628</v>
      </c>
      <c r="L105" s="105">
        <v>1</v>
      </c>
      <c r="M105" s="74">
        <v>8799.947265625</v>
      </c>
      <c r="N105" s="74">
        <v>3129.639892578125</v>
      </c>
      <c r="O105" s="75"/>
      <c r="P105" s="76"/>
      <c r="Q105" s="76"/>
      <c r="R105" s="106"/>
      <c r="S105" s="48">
        <v>1</v>
      </c>
      <c r="T105" s="48">
        <v>0</v>
      </c>
      <c r="U105" s="49">
        <v>0</v>
      </c>
      <c r="V105" s="49">
        <v>0.00984</v>
      </c>
      <c r="W105" s="107"/>
      <c r="X105" s="50"/>
      <c r="Y105" s="50"/>
      <c r="Z105" s="49">
        <v>0</v>
      </c>
      <c r="AA105" s="71">
        <v>105</v>
      </c>
      <c r="AB105" s="71"/>
      <c r="AC105" s="72"/>
      <c r="AD105" s="79" t="s">
        <v>2628</v>
      </c>
      <c r="AE105" s="79" t="s">
        <v>3092</v>
      </c>
      <c r="AF105" s="79"/>
      <c r="AG105" s="79" t="s">
        <v>1565</v>
      </c>
      <c r="AH105" s="79" t="s">
        <v>3994</v>
      </c>
      <c r="AI105" s="79">
        <v>750</v>
      </c>
      <c r="AJ105" s="79">
        <v>0</v>
      </c>
      <c r="AK105" s="79">
        <v>10</v>
      </c>
      <c r="AL105" s="79">
        <v>0</v>
      </c>
      <c r="AM105" s="79" t="s">
        <v>2092</v>
      </c>
      <c r="AN105" s="114" t="str">
        <f>HYPERLINK("https://www.youtube.com/watch?v=AzdiZHCyRz0")</f>
        <v>https://www.youtube.com/watch?v=AzdiZHCyRz0</v>
      </c>
      <c r="AO105" s="78" t="str">
        <f>REPLACE(INDEX(GroupVertices[Group],MATCH(Vertices[[#This Row],[Vertex]],GroupVertices[Vertex],0)),1,1,"")</f>
        <v>chool of Psychology by Sakshi Kohli</v>
      </c>
      <c r="AP105" s="2"/>
      <c r="AQ105" s="3"/>
      <c r="AR105" s="3"/>
      <c r="AS105" s="3"/>
      <c r="AT105" s="3"/>
    </row>
    <row r="106" spans="1:46" ht="15">
      <c r="A106" s="64" t="s">
        <v>325</v>
      </c>
      <c r="B106" s="65"/>
      <c r="C106" s="65"/>
      <c r="D106" s="66">
        <v>150</v>
      </c>
      <c r="E106" s="102">
        <v>97.85714285714286</v>
      </c>
      <c r="F106" s="98" t="str">
        <f>HYPERLINK("https://i.ytimg.com/vi/eVp7hIdB2pQ/default.jpg")</f>
        <v>https://i.ytimg.com/vi/eVp7hIdB2pQ/default.jpg</v>
      </c>
      <c r="G106" s="100"/>
      <c r="H106" s="69" t="s">
        <v>724</v>
      </c>
      <c r="I106" s="70"/>
      <c r="J106" s="104" t="s">
        <v>159</v>
      </c>
      <c r="K106" s="69" t="s">
        <v>724</v>
      </c>
      <c r="L106" s="105">
        <v>1</v>
      </c>
      <c r="M106" s="74">
        <v>7896.134765625</v>
      </c>
      <c r="N106" s="74">
        <v>3362.209228515625</v>
      </c>
      <c r="O106" s="75"/>
      <c r="P106" s="76"/>
      <c r="Q106" s="76"/>
      <c r="R106" s="106"/>
      <c r="S106" s="48">
        <v>1</v>
      </c>
      <c r="T106" s="48">
        <v>0</v>
      </c>
      <c r="U106" s="49">
        <v>0</v>
      </c>
      <c r="V106" s="49">
        <v>0.00984</v>
      </c>
      <c r="W106" s="107"/>
      <c r="X106" s="50"/>
      <c r="Y106" s="50"/>
      <c r="Z106" s="49">
        <v>0</v>
      </c>
      <c r="AA106" s="71">
        <v>106</v>
      </c>
      <c r="AB106" s="71"/>
      <c r="AC106" s="72"/>
      <c r="AD106" s="79" t="s">
        <v>724</v>
      </c>
      <c r="AE106" s="79" t="s">
        <v>1087</v>
      </c>
      <c r="AF106" s="79"/>
      <c r="AG106" s="79" t="s">
        <v>1565</v>
      </c>
      <c r="AH106" s="79" t="s">
        <v>1779</v>
      </c>
      <c r="AI106" s="79">
        <v>3340</v>
      </c>
      <c r="AJ106" s="79">
        <v>3</v>
      </c>
      <c r="AK106" s="79">
        <v>67</v>
      </c>
      <c r="AL106" s="79">
        <v>0</v>
      </c>
      <c r="AM106" s="79" t="s">
        <v>2092</v>
      </c>
      <c r="AN106" s="114" t="str">
        <f>HYPERLINK("https://www.youtube.com/watch?v=eVp7hIdB2pQ")</f>
        <v>https://www.youtube.com/watch?v=eVp7hIdB2pQ</v>
      </c>
      <c r="AO106" s="78" t="str">
        <f>REPLACE(INDEX(GroupVertices[Group],MATCH(Vertices[[#This Row],[Vertex]],GroupVertices[Vertex],0)),1,1,"")</f>
        <v>chool of Psychology by Sakshi Kohli</v>
      </c>
      <c r="AP106" s="2"/>
      <c r="AQ106" s="3"/>
      <c r="AR106" s="3"/>
      <c r="AS106" s="3"/>
      <c r="AT106" s="3"/>
    </row>
    <row r="107" spans="1:46" ht="15">
      <c r="A107" s="64" t="s">
        <v>323</v>
      </c>
      <c r="B107" s="65"/>
      <c r="C107" s="65"/>
      <c r="D107" s="66">
        <v>150</v>
      </c>
      <c r="E107" s="102">
        <v>97.85714285714286</v>
      </c>
      <c r="F107" s="98" t="str">
        <f>HYPERLINK("https://i.ytimg.com/vi/XV4_W8YLBMM/default.jpg")</f>
        <v>https://i.ytimg.com/vi/XV4_W8YLBMM/default.jpg</v>
      </c>
      <c r="G107" s="100"/>
      <c r="H107" s="69" t="s">
        <v>722</v>
      </c>
      <c r="I107" s="70"/>
      <c r="J107" s="104" t="s">
        <v>159</v>
      </c>
      <c r="K107" s="69" t="s">
        <v>722</v>
      </c>
      <c r="L107" s="105">
        <v>1</v>
      </c>
      <c r="M107" s="74">
        <v>8073.6240234375</v>
      </c>
      <c r="N107" s="74">
        <v>2107.30859375</v>
      </c>
      <c r="O107" s="75"/>
      <c r="P107" s="76"/>
      <c r="Q107" s="76"/>
      <c r="R107" s="106"/>
      <c r="S107" s="48">
        <v>1</v>
      </c>
      <c r="T107" s="48">
        <v>0</v>
      </c>
      <c r="U107" s="49">
        <v>0</v>
      </c>
      <c r="V107" s="49">
        <v>0.00984</v>
      </c>
      <c r="W107" s="107"/>
      <c r="X107" s="50"/>
      <c r="Y107" s="50"/>
      <c r="Z107" s="49">
        <v>0</v>
      </c>
      <c r="AA107" s="71">
        <v>107</v>
      </c>
      <c r="AB107" s="71"/>
      <c r="AC107" s="72"/>
      <c r="AD107" s="79" t="s">
        <v>722</v>
      </c>
      <c r="AE107" s="79" t="s">
        <v>1085</v>
      </c>
      <c r="AF107" s="79"/>
      <c r="AG107" s="79" t="s">
        <v>1565</v>
      </c>
      <c r="AH107" s="79" t="s">
        <v>1777</v>
      </c>
      <c r="AI107" s="79">
        <v>3974</v>
      </c>
      <c r="AJ107" s="79">
        <v>3</v>
      </c>
      <c r="AK107" s="79">
        <v>82</v>
      </c>
      <c r="AL107" s="79">
        <v>0</v>
      </c>
      <c r="AM107" s="79" t="s">
        <v>2092</v>
      </c>
      <c r="AN107" s="114" t="str">
        <f>HYPERLINK("https://www.youtube.com/watch?v=XV4_W8YLBMM")</f>
        <v>https://www.youtube.com/watch?v=XV4_W8YLBMM</v>
      </c>
      <c r="AO107" s="78" t="str">
        <f>REPLACE(INDEX(GroupVertices[Group],MATCH(Vertices[[#This Row],[Vertex]],GroupVertices[Vertex],0)),1,1,"")</f>
        <v>chool of Psychology by Sakshi Kohli</v>
      </c>
      <c r="AP107" s="2"/>
      <c r="AQ107" s="3"/>
      <c r="AR107" s="3"/>
      <c r="AS107" s="3"/>
      <c r="AT107" s="3"/>
    </row>
    <row r="108" spans="1:46" ht="15">
      <c r="A108" s="64" t="s">
        <v>324</v>
      </c>
      <c r="B108" s="65"/>
      <c r="C108" s="65"/>
      <c r="D108" s="66">
        <v>150</v>
      </c>
      <c r="E108" s="102">
        <v>97.85714285714286</v>
      </c>
      <c r="F108" s="98" t="str">
        <f>HYPERLINK("https://i.ytimg.com/vi/ohBPTJrZwP8/default.jpg")</f>
        <v>https://i.ytimg.com/vi/ohBPTJrZwP8/default.jpg</v>
      </c>
      <c r="G108" s="100"/>
      <c r="H108" s="69" t="s">
        <v>723</v>
      </c>
      <c r="I108" s="70"/>
      <c r="J108" s="104" t="s">
        <v>159</v>
      </c>
      <c r="K108" s="69" t="s">
        <v>723</v>
      </c>
      <c r="L108" s="105">
        <v>1</v>
      </c>
      <c r="M108" s="74">
        <v>7862.89794921875</v>
      </c>
      <c r="N108" s="74">
        <v>2370.755859375</v>
      </c>
      <c r="O108" s="75"/>
      <c r="P108" s="76"/>
      <c r="Q108" s="76"/>
      <c r="R108" s="106"/>
      <c r="S108" s="48">
        <v>1</v>
      </c>
      <c r="T108" s="48">
        <v>0</v>
      </c>
      <c r="U108" s="49">
        <v>0</v>
      </c>
      <c r="V108" s="49">
        <v>0.00984</v>
      </c>
      <c r="W108" s="107"/>
      <c r="X108" s="50"/>
      <c r="Y108" s="50"/>
      <c r="Z108" s="49">
        <v>0</v>
      </c>
      <c r="AA108" s="71">
        <v>108</v>
      </c>
      <c r="AB108" s="71"/>
      <c r="AC108" s="72"/>
      <c r="AD108" s="79" t="s">
        <v>723</v>
      </c>
      <c r="AE108" s="79" t="s">
        <v>1086</v>
      </c>
      <c r="AF108" s="79"/>
      <c r="AG108" s="79" t="s">
        <v>1565</v>
      </c>
      <c r="AH108" s="79" t="s">
        <v>1778</v>
      </c>
      <c r="AI108" s="79">
        <v>306</v>
      </c>
      <c r="AJ108" s="79">
        <v>0</v>
      </c>
      <c r="AK108" s="79">
        <v>10</v>
      </c>
      <c r="AL108" s="79">
        <v>0</v>
      </c>
      <c r="AM108" s="79" t="s">
        <v>2092</v>
      </c>
      <c r="AN108" s="114" t="str">
        <f>HYPERLINK("https://www.youtube.com/watch?v=ohBPTJrZwP8")</f>
        <v>https://www.youtube.com/watch?v=ohBPTJrZwP8</v>
      </c>
      <c r="AO108" s="78" t="str">
        <f>REPLACE(INDEX(GroupVertices[Group],MATCH(Vertices[[#This Row],[Vertex]],GroupVertices[Vertex],0)),1,1,"")</f>
        <v>chool of Psychology by Sakshi Kohli</v>
      </c>
      <c r="AP108" s="2"/>
      <c r="AQ108" s="3"/>
      <c r="AR108" s="3"/>
      <c r="AS108" s="3"/>
      <c r="AT108" s="3"/>
    </row>
    <row r="109" spans="1:46" ht="15">
      <c r="A109" s="64" t="s">
        <v>2152</v>
      </c>
      <c r="B109" s="65"/>
      <c r="C109" s="65"/>
      <c r="D109" s="66">
        <v>150</v>
      </c>
      <c r="E109" s="102">
        <v>97.85714285714286</v>
      </c>
      <c r="F109" s="98" t="str">
        <f>HYPERLINK("https://i.ytimg.com/vi/l2kFLbQPvY8/default.jpg")</f>
        <v>https://i.ytimg.com/vi/l2kFLbQPvY8/default.jpg</v>
      </c>
      <c r="G109" s="100"/>
      <c r="H109" s="69" t="s">
        <v>2629</v>
      </c>
      <c r="I109" s="70"/>
      <c r="J109" s="104" t="s">
        <v>159</v>
      </c>
      <c r="K109" s="95" t="s">
        <v>2629</v>
      </c>
      <c r="L109" s="105">
        <v>1</v>
      </c>
      <c r="M109" s="74">
        <v>8130.4423828125</v>
      </c>
      <c r="N109" s="74">
        <v>3195.498291015625</v>
      </c>
      <c r="O109" s="75"/>
      <c r="P109" s="76"/>
      <c r="Q109" s="76"/>
      <c r="R109" s="106"/>
      <c r="S109" s="48">
        <v>1</v>
      </c>
      <c r="T109" s="48">
        <v>0</v>
      </c>
      <c r="U109" s="49">
        <v>0</v>
      </c>
      <c r="V109" s="49">
        <v>0.00984</v>
      </c>
      <c r="W109" s="107"/>
      <c r="X109" s="50"/>
      <c r="Y109" s="50"/>
      <c r="Z109" s="49">
        <v>0</v>
      </c>
      <c r="AA109" s="71">
        <v>109</v>
      </c>
      <c r="AB109" s="71"/>
      <c r="AC109" s="72"/>
      <c r="AD109" s="113" t="s">
        <v>2629</v>
      </c>
      <c r="AE109" s="79" t="s">
        <v>3093</v>
      </c>
      <c r="AF109" s="79"/>
      <c r="AG109" s="79" t="s">
        <v>3714</v>
      </c>
      <c r="AH109" s="79" t="s">
        <v>3995</v>
      </c>
      <c r="AI109" s="79">
        <v>463</v>
      </c>
      <c r="AJ109" s="79">
        <v>0</v>
      </c>
      <c r="AK109" s="79">
        <v>5</v>
      </c>
      <c r="AL109" s="79">
        <v>0</v>
      </c>
      <c r="AM109" s="79" t="s">
        <v>2092</v>
      </c>
      <c r="AN109" s="114" t="str">
        <f>HYPERLINK("https://www.youtube.com/watch?v=l2kFLbQPvY8")</f>
        <v>https://www.youtube.com/watch?v=l2kFLbQPvY8</v>
      </c>
      <c r="AO109" s="78" t="str">
        <f>REPLACE(INDEX(GroupVertices[Group],MATCH(Vertices[[#This Row],[Vertex]],GroupVertices[Vertex],0)),1,1,"")</f>
        <v>entre for Trust, Peace and Social Relations</v>
      </c>
      <c r="AP109" s="2"/>
      <c r="AQ109" s="3"/>
      <c r="AR109" s="3"/>
      <c r="AS109" s="3"/>
      <c r="AT109" s="3"/>
    </row>
    <row r="110" spans="1:46" ht="15">
      <c r="A110" s="64" t="s">
        <v>308</v>
      </c>
      <c r="B110" s="65"/>
      <c r="C110" s="65"/>
      <c r="D110" s="66">
        <v>150</v>
      </c>
      <c r="E110" s="102">
        <v>97.85714285714286</v>
      </c>
      <c r="F110" s="98" t="str">
        <f>HYPERLINK("https://i.ytimg.com/vi/IJvekYhVB5g/default.jpg")</f>
        <v>https://i.ytimg.com/vi/IJvekYhVB5g/default.jpg</v>
      </c>
      <c r="G110" s="100"/>
      <c r="H110" s="69" t="s">
        <v>701</v>
      </c>
      <c r="I110" s="70"/>
      <c r="J110" s="104" t="s">
        <v>159</v>
      </c>
      <c r="K110" s="69" t="s">
        <v>701</v>
      </c>
      <c r="L110" s="105">
        <v>1</v>
      </c>
      <c r="M110" s="74">
        <v>2195.1396484375</v>
      </c>
      <c r="N110" s="74">
        <v>5653.94970703125</v>
      </c>
      <c r="O110" s="75"/>
      <c r="P110" s="76"/>
      <c r="Q110" s="76"/>
      <c r="R110" s="106"/>
      <c r="S110" s="48">
        <v>1</v>
      </c>
      <c r="T110" s="48">
        <v>0</v>
      </c>
      <c r="U110" s="49">
        <v>0</v>
      </c>
      <c r="V110" s="49">
        <v>0.118132</v>
      </c>
      <c r="W110" s="107"/>
      <c r="X110" s="50"/>
      <c r="Y110" s="50"/>
      <c r="Z110" s="49">
        <v>0</v>
      </c>
      <c r="AA110" s="71">
        <v>110</v>
      </c>
      <c r="AB110" s="71"/>
      <c r="AC110" s="72"/>
      <c r="AD110" s="79" t="s">
        <v>701</v>
      </c>
      <c r="AE110" s="79"/>
      <c r="AF110" s="79"/>
      <c r="AG110" s="79" t="s">
        <v>1558</v>
      </c>
      <c r="AH110" s="79" t="s">
        <v>1756</v>
      </c>
      <c r="AI110" s="79">
        <v>67</v>
      </c>
      <c r="AJ110" s="79">
        <v>0</v>
      </c>
      <c r="AK110" s="79">
        <v>3</v>
      </c>
      <c r="AL110" s="79">
        <v>0</v>
      </c>
      <c r="AM110" s="79" t="s">
        <v>2092</v>
      </c>
      <c r="AN110" s="114" t="str">
        <f>HYPERLINK("https://www.youtube.com/watch?v=IJvekYhVB5g")</f>
        <v>https://www.youtube.com/watch?v=IJvekYhVB5g</v>
      </c>
      <c r="AO110" s="78" t="str">
        <f>REPLACE(INDEX(GroupVertices[Group],MATCH(Vertices[[#This Row],[Vertex]],GroupVertices[Vertex],0)),1,1,"")</f>
        <v>riumphant Nation Lagos City Church</v>
      </c>
      <c r="AP110" s="2"/>
      <c r="AQ110" s="3"/>
      <c r="AR110" s="3"/>
      <c r="AS110" s="3"/>
      <c r="AT110" s="3"/>
    </row>
    <row r="111" spans="1:46" ht="15">
      <c r="A111" s="64" t="s">
        <v>252</v>
      </c>
      <c r="B111" s="65"/>
      <c r="C111" s="65"/>
      <c r="D111" s="66">
        <v>150</v>
      </c>
      <c r="E111" s="102">
        <v>70</v>
      </c>
      <c r="F111" s="98" t="str">
        <f>HYPERLINK("https://i.ytimg.com/vi/7HDeem-JaSY/default.jpg")</f>
        <v>https://i.ytimg.com/vi/7HDeem-JaSY/default.jpg</v>
      </c>
      <c r="G111" s="100"/>
      <c r="H111" s="69" t="s">
        <v>625</v>
      </c>
      <c r="I111" s="70"/>
      <c r="J111" s="104" t="s">
        <v>75</v>
      </c>
      <c r="K111" s="69" t="s">
        <v>625</v>
      </c>
      <c r="L111" s="105">
        <v>691.2410046755525</v>
      </c>
      <c r="M111" s="74">
        <v>1264.142822265625</v>
      </c>
      <c r="N111" s="74">
        <v>4807.23486328125</v>
      </c>
      <c r="O111" s="75"/>
      <c r="P111" s="76"/>
      <c r="Q111" s="76"/>
      <c r="R111" s="106"/>
      <c r="S111" s="48">
        <v>14</v>
      </c>
      <c r="T111" s="48">
        <v>0</v>
      </c>
      <c r="U111" s="49">
        <v>9641.726135</v>
      </c>
      <c r="V111" s="49">
        <v>0.168116</v>
      </c>
      <c r="W111" s="107"/>
      <c r="X111" s="50"/>
      <c r="Y111" s="50"/>
      <c r="Z111" s="49">
        <v>0</v>
      </c>
      <c r="AA111" s="71">
        <v>111</v>
      </c>
      <c r="AB111" s="71"/>
      <c r="AC111" s="72"/>
      <c r="AD111" s="79" t="s">
        <v>625</v>
      </c>
      <c r="AE111" s="79" t="s">
        <v>1037</v>
      </c>
      <c r="AF111" s="79" t="s">
        <v>1296</v>
      </c>
      <c r="AG111" s="79" t="s">
        <v>1488</v>
      </c>
      <c r="AH111" s="79" t="s">
        <v>1682</v>
      </c>
      <c r="AI111" s="79">
        <v>36048388</v>
      </c>
      <c r="AJ111" s="79">
        <v>33144</v>
      </c>
      <c r="AK111" s="79">
        <v>747145</v>
      </c>
      <c r="AL111" s="79">
        <v>0</v>
      </c>
      <c r="AM111" s="79" t="s">
        <v>2092</v>
      </c>
      <c r="AN111" s="114" t="str">
        <f>HYPERLINK("https://www.youtube.com/watch?v=7HDeem-JaSY")</f>
        <v>https://www.youtube.com/watch?v=7HDeem-JaSY</v>
      </c>
      <c r="AO111" s="78" t="str">
        <f>REPLACE(INDEX(GroupVertices[Group],MATCH(Vertices[[#This Row],[Vertex]],GroupVertices[Vertex],0)),1,1,"")</f>
        <v>G)I-DLE (여자)아이들 (Official YouTube Channel)</v>
      </c>
      <c r="AP111" s="2"/>
      <c r="AQ111" s="3"/>
      <c r="AR111" s="3"/>
      <c r="AS111" s="3"/>
      <c r="AT111" s="3"/>
    </row>
    <row r="112" spans="1:46" ht="15">
      <c r="A112" s="64" t="s">
        <v>253</v>
      </c>
      <c r="B112" s="65"/>
      <c r="C112" s="65"/>
      <c r="D112" s="66">
        <v>150</v>
      </c>
      <c r="E112" s="102">
        <v>70</v>
      </c>
      <c r="F112" s="98" t="str">
        <f>HYPERLINK("https://i.ytimg.com/vi/Y274jZs5s7s/default.jpg")</f>
        <v>https://i.ytimg.com/vi/Y274jZs5s7s/default.jpg</v>
      </c>
      <c r="G112" s="100"/>
      <c r="H112" s="69" t="s">
        <v>626</v>
      </c>
      <c r="I112" s="70"/>
      <c r="J112" s="104" t="s">
        <v>75</v>
      </c>
      <c r="K112" s="69" t="s">
        <v>626</v>
      </c>
      <c r="L112" s="105">
        <v>691.2410046755525</v>
      </c>
      <c r="M112" s="74">
        <v>1341.2825927734375</v>
      </c>
      <c r="N112" s="74">
        <v>4807.59326171875</v>
      </c>
      <c r="O112" s="75"/>
      <c r="P112" s="76"/>
      <c r="Q112" s="76"/>
      <c r="R112" s="106"/>
      <c r="S112" s="48">
        <v>14</v>
      </c>
      <c r="T112" s="48">
        <v>0</v>
      </c>
      <c r="U112" s="49">
        <v>9641.726135</v>
      </c>
      <c r="V112" s="49">
        <v>0.168116</v>
      </c>
      <c r="W112" s="107"/>
      <c r="X112" s="50"/>
      <c r="Y112" s="50"/>
      <c r="Z112" s="49">
        <v>0</v>
      </c>
      <c r="AA112" s="71">
        <v>112</v>
      </c>
      <c r="AB112" s="71"/>
      <c r="AC112" s="72"/>
      <c r="AD112" s="79" t="s">
        <v>626</v>
      </c>
      <c r="AE112" s="79" t="s">
        <v>1038</v>
      </c>
      <c r="AF112" s="79" t="s">
        <v>1297</v>
      </c>
      <c r="AG112" s="79" t="s">
        <v>1489</v>
      </c>
      <c r="AH112" s="79" t="s">
        <v>1683</v>
      </c>
      <c r="AI112" s="79">
        <v>5746111</v>
      </c>
      <c r="AJ112" s="79">
        <v>5917</v>
      </c>
      <c r="AK112" s="79">
        <v>160990</v>
      </c>
      <c r="AL112" s="79">
        <v>0</v>
      </c>
      <c r="AM112" s="79" t="s">
        <v>2092</v>
      </c>
      <c r="AN112" s="114" t="str">
        <f>HYPERLINK("https://www.youtube.com/watch?v=Y274jZs5s7s")</f>
        <v>https://www.youtube.com/watch?v=Y274jZs5s7s</v>
      </c>
      <c r="AO112" s="78" t="str">
        <f>REPLACE(INDEX(GroupVertices[Group],MATCH(Vertices[[#This Row],[Vertex]],GroupVertices[Vertex],0)),1,1,"")</f>
        <v>etflix</v>
      </c>
      <c r="AP112" s="2"/>
      <c r="AQ112" s="3"/>
      <c r="AR112" s="3"/>
      <c r="AS112" s="3"/>
      <c r="AT112" s="3"/>
    </row>
    <row r="113" spans="1:46" ht="15">
      <c r="A113" s="64" t="s">
        <v>261</v>
      </c>
      <c r="B113" s="65"/>
      <c r="C113" s="65"/>
      <c r="D113" s="66">
        <v>150</v>
      </c>
      <c r="E113" s="102">
        <v>76.42857142857143</v>
      </c>
      <c r="F113" s="98" t="str">
        <f>HYPERLINK("https://i.ytimg.com/vi/kKmx7fMJnsc/default.jpg")</f>
        <v>https://i.ytimg.com/vi/kKmx7fMJnsc/default.jpg</v>
      </c>
      <c r="G113" s="100"/>
      <c r="H113" s="69" t="s">
        <v>634</v>
      </c>
      <c r="I113" s="70"/>
      <c r="J113" s="104" t="s">
        <v>75</v>
      </c>
      <c r="K113" s="69" t="s">
        <v>634</v>
      </c>
      <c r="L113" s="105">
        <v>541.1905753703481</v>
      </c>
      <c r="M113" s="74">
        <v>1744.1876220703125</v>
      </c>
      <c r="N113" s="74">
        <v>4659.533203125</v>
      </c>
      <c r="O113" s="75"/>
      <c r="P113" s="76"/>
      <c r="Q113" s="76"/>
      <c r="R113" s="106"/>
      <c r="S113" s="48">
        <v>11</v>
      </c>
      <c r="T113" s="48">
        <v>0</v>
      </c>
      <c r="U113" s="49">
        <v>7545.726135</v>
      </c>
      <c r="V113" s="49">
        <v>0.166666</v>
      </c>
      <c r="W113" s="107"/>
      <c r="X113" s="50"/>
      <c r="Y113" s="50"/>
      <c r="Z113" s="49">
        <v>0</v>
      </c>
      <c r="AA113" s="71">
        <v>113</v>
      </c>
      <c r="AB113" s="71"/>
      <c r="AC113" s="72"/>
      <c r="AD113" s="79" t="s">
        <v>634</v>
      </c>
      <c r="AE113" s="79" t="s">
        <v>1042</v>
      </c>
      <c r="AF113" s="79" t="s">
        <v>1304</v>
      </c>
      <c r="AG113" s="79" t="s">
        <v>1499</v>
      </c>
      <c r="AH113" s="79" t="s">
        <v>1690</v>
      </c>
      <c r="AI113" s="79">
        <v>1989322</v>
      </c>
      <c r="AJ113" s="79">
        <v>2784</v>
      </c>
      <c r="AK113" s="79">
        <v>119226</v>
      </c>
      <c r="AL113" s="79">
        <v>0</v>
      </c>
      <c r="AM113" s="79" t="s">
        <v>2092</v>
      </c>
      <c r="AN113" s="114" t="str">
        <f>HYPERLINK("https://www.youtube.com/watch?v=kKmx7fMJnsc")</f>
        <v>https://www.youtube.com/watch?v=kKmx7fMJnsc</v>
      </c>
      <c r="AO113" s="78" t="str">
        <f>REPLACE(INDEX(GroupVertices[Group],MATCH(Vertices[[#This Row],[Vertex]],GroupVertices[Vertex],0)),1,1,"")</f>
        <v>arkiplier</v>
      </c>
      <c r="AP113" s="2"/>
      <c r="AQ113" s="3"/>
      <c r="AR113" s="3"/>
      <c r="AS113" s="3"/>
      <c r="AT113" s="3"/>
    </row>
    <row r="114" spans="1:46" ht="15">
      <c r="A114" s="64" t="s">
        <v>262</v>
      </c>
      <c r="B114" s="65"/>
      <c r="C114" s="65"/>
      <c r="D114" s="66">
        <v>150</v>
      </c>
      <c r="E114" s="102">
        <v>76.42857142857143</v>
      </c>
      <c r="F114" s="98" t="str">
        <f>HYPERLINK("https://i.ytimg.com/vi/QPL8dh6b1M0/default.jpg")</f>
        <v>https://i.ytimg.com/vi/QPL8dh6b1M0/default.jpg</v>
      </c>
      <c r="G114" s="100"/>
      <c r="H114" s="69" t="s">
        <v>635</v>
      </c>
      <c r="I114" s="70"/>
      <c r="J114" s="104" t="s">
        <v>75</v>
      </c>
      <c r="K114" s="69" t="s">
        <v>635</v>
      </c>
      <c r="L114" s="105">
        <v>541.1905753703481</v>
      </c>
      <c r="M114" s="74">
        <v>1751.2735595703125</v>
      </c>
      <c r="N114" s="74">
        <v>4565.22412109375</v>
      </c>
      <c r="O114" s="75"/>
      <c r="P114" s="76"/>
      <c r="Q114" s="76"/>
      <c r="R114" s="106"/>
      <c r="S114" s="48">
        <v>11</v>
      </c>
      <c r="T114" s="48">
        <v>0</v>
      </c>
      <c r="U114" s="49">
        <v>7545.726135</v>
      </c>
      <c r="V114" s="49">
        <v>0.166666</v>
      </c>
      <c r="W114" s="107"/>
      <c r="X114" s="50"/>
      <c r="Y114" s="50"/>
      <c r="Z114" s="49">
        <v>0</v>
      </c>
      <c r="AA114" s="71">
        <v>114</v>
      </c>
      <c r="AB114" s="71"/>
      <c r="AC114" s="72"/>
      <c r="AD114" s="79" t="s">
        <v>635</v>
      </c>
      <c r="AE114" s="79" t="s">
        <v>3094</v>
      </c>
      <c r="AF114" s="79"/>
      <c r="AG114" s="79" t="s">
        <v>1500</v>
      </c>
      <c r="AH114" s="79" t="s">
        <v>1691</v>
      </c>
      <c r="AI114" s="79">
        <v>315146</v>
      </c>
      <c r="AJ114" s="79">
        <v>1131</v>
      </c>
      <c r="AK114" s="79">
        <v>19830</v>
      </c>
      <c r="AL114" s="79">
        <v>0</v>
      </c>
      <c r="AM114" s="79" t="s">
        <v>2092</v>
      </c>
      <c r="AN114" s="114" t="str">
        <f>HYPERLINK("https://www.youtube.com/watch?v=QPL8dh6b1M0")</f>
        <v>https://www.youtube.com/watch?v=QPL8dh6b1M0</v>
      </c>
      <c r="AO114" s="78" t="str">
        <f>REPLACE(INDEX(GroupVertices[Group],MATCH(Vertices[[#This Row],[Vertex]],GroupVertices[Vertex],0)),1,1,"")</f>
        <v>ractical Engineering</v>
      </c>
      <c r="AP114" s="2"/>
      <c r="AQ114" s="3"/>
      <c r="AR114" s="3"/>
      <c r="AS114" s="3"/>
      <c r="AT114" s="3"/>
    </row>
    <row r="115" spans="1:46" ht="15">
      <c r="A115" s="64" t="s">
        <v>254</v>
      </c>
      <c r="B115" s="65"/>
      <c r="C115" s="65"/>
      <c r="D115" s="66">
        <v>150</v>
      </c>
      <c r="E115" s="102">
        <v>70</v>
      </c>
      <c r="F115" s="98" t="str">
        <f>HYPERLINK("https://i.ytimg.com/vi/96TCZDtzfOM/default.jpg")</f>
        <v>https://i.ytimg.com/vi/96TCZDtzfOM/default.jpg</v>
      </c>
      <c r="G115" s="100"/>
      <c r="H115" s="69" t="s">
        <v>627</v>
      </c>
      <c r="I115" s="70"/>
      <c r="J115" s="104" t="s">
        <v>75</v>
      </c>
      <c r="K115" s="69" t="s">
        <v>627</v>
      </c>
      <c r="L115" s="105">
        <v>691.2410046755525</v>
      </c>
      <c r="M115" s="74">
        <v>1206.005615234375</v>
      </c>
      <c r="N115" s="74">
        <v>4727.66357421875</v>
      </c>
      <c r="O115" s="75"/>
      <c r="P115" s="76"/>
      <c r="Q115" s="76"/>
      <c r="R115" s="106"/>
      <c r="S115" s="48">
        <v>14</v>
      </c>
      <c r="T115" s="48">
        <v>0</v>
      </c>
      <c r="U115" s="49">
        <v>9641.726135</v>
      </c>
      <c r="V115" s="49">
        <v>0.168116</v>
      </c>
      <c r="W115" s="107"/>
      <c r="X115" s="50"/>
      <c r="Y115" s="50"/>
      <c r="Z115" s="49">
        <v>0</v>
      </c>
      <c r="AA115" s="71">
        <v>115</v>
      </c>
      <c r="AB115" s="71"/>
      <c r="AC115" s="72"/>
      <c r="AD115" s="79" t="s">
        <v>627</v>
      </c>
      <c r="AE115" s="79" t="s">
        <v>1039</v>
      </c>
      <c r="AF115" s="79" t="s">
        <v>1298</v>
      </c>
      <c r="AG115" s="79" t="s">
        <v>1490</v>
      </c>
      <c r="AH115" s="79" t="s">
        <v>1684</v>
      </c>
      <c r="AI115" s="79">
        <v>4507714</v>
      </c>
      <c r="AJ115" s="79">
        <v>4744</v>
      </c>
      <c r="AK115" s="79">
        <v>129422</v>
      </c>
      <c r="AL115" s="79">
        <v>0</v>
      </c>
      <c r="AM115" s="79" t="s">
        <v>2092</v>
      </c>
      <c r="AN115" s="114" t="str">
        <f>HYPERLINK("https://www.youtube.com/watch?v=96TCZDtzfOM")</f>
        <v>https://www.youtube.com/watch?v=96TCZDtzfOM</v>
      </c>
      <c r="AO115" s="78" t="str">
        <f>REPLACE(INDEX(GroupVertices[Group],MATCH(Vertices[[#This Row],[Vertex]],GroupVertices[Vertex],0)),1,1,"")</f>
        <v>lash of Clans</v>
      </c>
      <c r="AP115" s="2"/>
      <c r="AQ115" s="3"/>
      <c r="AR115" s="3"/>
      <c r="AS115" s="3"/>
      <c r="AT115" s="3"/>
    </row>
    <row r="116" spans="1:46" ht="15">
      <c r="A116" s="64" t="s">
        <v>255</v>
      </c>
      <c r="B116" s="65"/>
      <c r="C116" s="65"/>
      <c r="D116" s="66">
        <v>150</v>
      </c>
      <c r="E116" s="102">
        <v>70</v>
      </c>
      <c r="F116" s="98" t="str">
        <f>HYPERLINK("https://i.ytimg.com/vi/ckmPfn-KCGg/default.jpg")</f>
        <v>https://i.ytimg.com/vi/ckmPfn-KCGg/default.jpg</v>
      </c>
      <c r="G116" s="100"/>
      <c r="H116" s="69" t="s">
        <v>628</v>
      </c>
      <c r="I116" s="70"/>
      <c r="J116" s="104" t="s">
        <v>75</v>
      </c>
      <c r="K116" s="69" t="s">
        <v>628</v>
      </c>
      <c r="L116" s="105">
        <v>691.2410046755525</v>
      </c>
      <c r="M116" s="74">
        <v>1390.7052001953125</v>
      </c>
      <c r="N116" s="74">
        <v>4708.37939453125</v>
      </c>
      <c r="O116" s="75"/>
      <c r="P116" s="76"/>
      <c r="Q116" s="76"/>
      <c r="R116" s="106"/>
      <c r="S116" s="48">
        <v>14</v>
      </c>
      <c r="T116" s="48">
        <v>0</v>
      </c>
      <c r="U116" s="49">
        <v>9641.726135</v>
      </c>
      <c r="V116" s="49">
        <v>0.168116</v>
      </c>
      <c r="W116" s="107"/>
      <c r="X116" s="50"/>
      <c r="Y116" s="50"/>
      <c r="Z116" s="49">
        <v>0</v>
      </c>
      <c r="AA116" s="71">
        <v>116</v>
      </c>
      <c r="AB116" s="71"/>
      <c r="AC116" s="72"/>
      <c r="AD116" s="79" t="s">
        <v>628</v>
      </c>
      <c r="AE116" s="79" t="s">
        <v>3095</v>
      </c>
      <c r="AF116" s="79" t="s">
        <v>1299</v>
      </c>
      <c r="AG116" s="79" t="s">
        <v>1491</v>
      </c>
      <c r="AH116" s="79" t="s">
        <v>1685</v>
      </c>
      <c r="AI116" s="79">
        <v>1809072</v>
      </c>
      <c r="AJ116" s="79">
        <v>2247</v>
      </c>
      <c r="AK116" s="79">
        <v>83075</v>
      </c>
      <c r="AL116" s="79">
        <v>0</v>
      </c>
      <c r="AM116" s="79" t="s">
        <v>2092</v>
      </c>
      <c r="AN116" s="114" t="str">
        <f>HYPERLINK("https://www.youtube.com/watch?v=ckmPfn-KCGg")</f>
        <v>https://www.youtube.com/watch?v=ckmPfn-KCGg</v>
      </c>
      <c r="AO116" s="78" t="str">
        <f>REPLACE(INDEX(GroupVertices[Group],MATCH(Vertices[[#This Row],[Vertex]],GroupVertices[Vertex],0)),1,1,"")</f>
        <v>et's Game It Out</v>
      </c>
      <c r="AP116" s="2"/>
      <c r="AQ116" s="3"/>
      <c r="AR116" s="3"/>
      <c r="AS116" s="3"/>
      <c r="AT116" s="3"/>
    </row>
    <row r="117" spans="1:46" ht="15">
      <c r="A117" s="64" t="s">
        <v>263</v>
      </c>
      <c r="B117" s="65"/>
      <c r="C117" s="65"/>
      <c r="D117" s="66">
        <v>150</v>
      </c>
      <c r="E117" s="102">
        <v>76.42857142857143</v>
      </c>
      <c r="F117" s="98" t="str">
        <f>HYPERLINK("https://i.ytimg.com/vi/JhEZM2qQWDE/default.jpg")</f>
        <v>https://i.ytimg.com/vi/JhEZM2qQWDE/default.jpg</v>
      </c>
      <c r="G117" s="100"/>
      <c r="H117" s="69" t="s">
        <v>636</v>
      </c>
      <c r="I117" s="70"/>
      <c r="J117" s="104" t="s">
        <v>75</v>
      </c>
      <c r="K117" s="69" t="s">
        <v>636</v>
      </c>
      <c r="L117" s="105">
        <v>541.1905753703481</v>
      </c>
      <c r="M117" s="74">
        <v>1740.9739990234375</v>
      </c>
      <c r="N117" s="74">
        <v>4769.7294921875</v>
      </c>
      <c r="O117" s="75"/>
      <c r="P117" s="76"/>
      <c r="Q117" s="76"/>
      <c r="R117" s="106"/>
      <c r="S117" s="48">
        <v>11</v>
      </c>
      <c r="T117" s="48">
        <v>0</v>
      </c>
      <c r="U117" s="49">
        <v>7545.726135</v>
      </c>
      <c r="V117" s="49">
        <v>0.166666</v>
      </c>
      <c r="W117" s="107"/>
      <c r="X117" s="50"/>
      <c r="Y117" s="50"/>
      <c r="Z117" s="49">
        <v>0</v>
      </c>
      <c r="AA117" s="71">
        <v>117</v>
      </c>
      <c r="AB117" s="71"/>
      <c r="AC117" s="72"/>
      <c r="AD117" s="79" t="s">
        <v>636</v>
      </c>
      <c r="AE117" s="79" t="s">
        <v>1043</v>
      </c>
      <c r="AF117" s="79" t="s">
        <v>1305</v>
      </c>
      <c r="AG117" s="79" t="s">
        <v>1501</v>
      </c>
      <c r="AH117" s="79" t="s">
        <v>1692</v>
      </c>
      <c r="AI117" s="79">
        <v>975417</v>
      </c>
      <c r="AJ117" s="79">
        <v>3546</v>
      </c>
      <c r="AK117" s="79">
        <v>76400</v>
      </c>
      <c r="AL117" s="79">
        <v>0</v>
      </c>
      <c r="AM117" s="79" t="s">
        <v>2092</v>
      </c>
      <c r="AN117" s="114" t="str">
        <f>HYPERLINK("https://www.youtube.com/watch?v=JhEZM2qQWDE")</f>
        <v>https://www.youtube.com/watch?v=JhEZM2qQWDE</v>
      </c>
      <c r="AO117" s="78" t="str">
        <f>REPLACE(INDEX(GroupVertices[Group],MATCH(Vertices[[#This Row],[Vertex]],GroupVertices[Vertex],0)),1,1,"")</f>
        <v>ncognito Mode</v>
      </c>
      <c r="AP117" s="2"/>
      <c r="AQ117" s="3"/>
      <c r="AR117" s="3"/>
      <c r="AS117" s="3"/>
      <c r="AT117" s="3"/>
    </row>
    <row r="118" spans="1:46" ht="15">
      <c r="A118" s="64" t="s">
        <v>256</v>
      </c>
      <c r="B118" s="65"/>
      <c r="C118" s="65"/>
      <c r="D118" s="66">
        <v>150</v>
      </c>
      <c r="E118" s="102">
        <v>70</v>
      </c>
      <c r="F118" s="98" t="str">
        <f>HYPERLINK("https://i.ytimg.com/vi/tFdnCzfJPJ0/default.jpg")</f>
        <v>https://i.ytimg.com/vi/tFdnCzfJPJ0/default.jpg</v>
      </c>
      <c r="G118" s="100"/>
      <c r="H118" s="69" t="s">
        <v>629</v>
      </c>
      <c r="I118" s="70"/>
      <c r="J118" s="104" t="s">
        <v>75</v>
      </c>
      <c r="K118" s="69" t="s">
        <v>629</v>
      </c>
      <c r="L118" s="105">
        <v>691.2410046755525</v>
      </c>
      <c r="M118" s="74">
        <v>1206.66552734375</v>
      </c>
      <c r="N118" s="74">
        <v>4606.5595703125</v>
      </c>
      <c r="O118" s="75"/>
      <c r="P118" s="76"/>
      <c r="Q118" s="76"/>
      <c r="R118" s="106"/>
      <c r="S118" s="48">
        <v>14</v>
      </c>
      <c r="T118" s="48">
        <v>0</v>
      </c>
      <c r="U118" s="49">
        <v>9641.726135</v>
      </c>
      <c r="V118" s="49">
        <v>0.168116</v>
      </c>
      <c r="W118" s="107"/>
      <c r="X118" s="50"/>
      <c r="Y118" s="50"/>
      <c r="Z118" s="49">
        <v>0</v>
      </c>
      <c r="AA118" s="71">
        <v>118</v>
      </c>
      <c r="AB118" s="71"/>
      <c r="AC118" s="72"/>
      <c r="AD118" s="79" t="s">
        <v>629</v>
      </c>
      <c r="AE118" s="79" t="s">
        <v>1040</v>
      </c>
      <c r="AF118" s="79" t="s">
        <v>1300</v>
      </c>
      <c r="AG118" s="79" t="s">
        <v>1492</v>
      </c>
      <c r="AH118" s="79" t="s">
        <v>1686</v>
      </c>
      <c r="AI118" s="79">
        <v>3032951</v>
      </c>
      <c r="AJ118" s="79">
        <v>7936</v>
      </c>
      <c r="AK118" s="79">
        <v>123165</v>
      </c>
      <c r="AL118" s="79">
        <v>0</v>
      </c>
      <c r="AM118" s="79" t="s">
        <v>2092</v>
      </c>
      <c r="AN118" s="114" t="str">
        <f>HYPERLINK("https://www.youtube.com/watch?v=tFdnCzfJPJ0")</f>
        <v>https://www.youtube.com/watch?v=tFdnCzfJPJ0</v>
      </c>
      <c r="AO118" s="78" t="str">
        <f>REPLACE(INDEX(GroupVertices[Group],MATCH(Vertices[[#This Row],[Vertex]],GroupVertices[Vertex],0)),1,1,"")</f>
        <v>arques Brownlee</v>
      </c>
      <c r="AP118" s="2"/>
      <c r="AQ118" s="3"/>
      <c r="AR118" s="3"/>
      <c r="AS118" s="3"/>
      <c r="AT118" s="3"/>
    </row>
    <row r="119" spans="1:46" ht="15">
      <c r="A119" s="64" t="s">
        <v>257</v>
      </c>
      <c r="B119" s="65"/>
      <c r="C119" s="65"/>
      <c r="D119" s="66">
        <v>150</v>
      </c>
      <c r="E119" s="102">
        <v>70</v>
      </c>
      <c r="F119" s="98" t="str">
        <f>HYPERLINK("https://i.ytimg.com/vi/5WH-PSs9hI8/default.jpg")</f>
        <v>https://i.ytimg.com/vi/5WH-PSs9hI8/default.jpg</v>
      </c>
      <c r="G119" s="100"/>
      <c r="H119" s="69" t="s">
        <v>630</v>
      </c>
      <c r="I119" s="70"/>
      <c r="J119" s="104" t="s">
        <v>75</v>
      </c>
      <c r="K119" s="69" t="s">
        <v>630</v>
      </c>
      <c r="L119" s="105">
        <v>691.2410046755525</v>
      </c>
      <c r="M119" s="74">
        <v>1394.9490966796875</v>
      </c>
      <c r="N119" s="74">
        <v>4587.087890625</v>
      </c>
      <c r="O119" s="75"/>
      <c r="P119" s="76"/>
      <c r="Q119" s="76"/>
      <c r="R119" s="106"/>
      <c r="S119" s="48">
        <v>14</v>
      </c>
      <c r="T119" s="48">
        <v>0</v>
      </c>
      <c r="U119" s="49">
        <v>9641.726135</v>
      </c>
      <c r="V119" s="49">
        <v>0.168116</v>
      </c>
      <c r="W119" s="107"/>
      <c r="X119" s="50"/>
      <c r="Y119" s="50"/>
      <c r="Z119" s="49">
        <v>0</v>
      </c>
      <c r="AA119" s="71">
        <v>119</v>
      </c>
      <c r="AB119" s="71"/>
      <c r="AC119" s="72"/>
      <c r="AD119" s="79" t="s">
        <v>630</v>
      </c>
      <c r="AE119" s="79" t="s">
        <v>3096</v>
      </c>
      <c r="AF119" s="79" t="s">
        <v>1301</v>
      </c>
      <c r="AG119" s="79" t="s">
        <v>1493</v>
      </c>
      <c r="AH119" s="79" t="s">
        <v>1687</v>
      </c>
      <c r="AI119" s="79">
        <v>834831</v>
      </c>
      <c r="AJ119" s="79">
        <v>1867</v>
      </c>
      <c r="AK119" s="79">
        <v>39781</v>
      </c>
      <c r="AL119" s="79">
        <v>0</v>
      </c>
      <c r="AM119" s="79" t="s">
        <v>2092</v>
      </c>
      <c r="AN119" s="114" t="str">
        <f>HYPERLINK("https://www.youtube.com/watch?v=5WH-PSs9hI8")</f>
        <v>https://www.youtube.com/watch?v=5WH-PSs9hI8</v>
      </c>
      <c r="AO119" s="78" t="str">
        <f>REPLACE(INDEX(GroupVertices[Group],MATCH(Vertices[[#This Row],[Vertex]],GroupVertices[Vertex],0)),1,1,"")</f>
        <v>rchitectural Digest</v>
      </c>
      <c r="AP119" s="2"/>
      <c r="AQ119" s="3"/>
      <c r="AR119" s="3"/>
      <c r="AS119" s="3"/>
      <c r="AT119" s="3"/>
    </row>
    <row r="120" spans="1:46" ht="15">
      <c r="A120" s="64" t="s">
        <v>258</v>
      </c>
      <c r="B120" s="65"/>
      <c r="C120" s="65"/>
      <c r="D120" s="66">
        <v>150</v>
      </c>
      <c r="E120" s="102">
        <v>70</v>
      </c>
      <c r="F120" s="98" t="str">
        <f>HYPERLINK("https://i.ytimg.com/vi/AjLKTz81bj8/default.jpg")</f>
        <v>https://i.ytimg.com/vi/AjLKTz81bj8/default.jpg</v>
      </c>
      <c r="G120" s="100"/>
      <c r="H120" s="69" t="s">
        <v>631</v>
      </c>
      <c r="I120" s="70"/>
      <c r="J120" s="104" t="s">
        <v>75</v>
      </c>
      <c r="K120" s="69" t="s">
        <v>631</v>
      </c>
      <c r="L120" s="105">
        <v>691.2410046755525</v>
      </c>
      <c r="M120" s="74">
        <v>1333.6966552734375</v>
      </c>
      <c r="N120" s="74">
        <v>4502.82275390625</v>
      </c>
      <c r="O120" s="75"/>
      <c r="P120" s="76"/>
      <c r="Q120" s="76"/>
      <c r="R120" s="106"/>
      <c r="S120" s="48">
        <v>14</v>
      </c>
      <c r="T120" s="48">
        <v>0</v>
      </c>
      <c r="U120" s="49">
        <v>9641.726135</v>
      </c>
      <c r="V120" s="49">
        <v>0.168116</v>
      </c>
      <c r="W120" s="107"/>
      <c r="X120" s="50"/>
      <c r="Y120" s="50"/>
      <c r="Z120" s="49">
        <v>0</v>
      </c>
      <c r="AA120" s="71">
        <v>120</v>
      </c>
      <c r="AB120" s="71"/>
      <c r="AC120" s="72"/>
      <c r="AD120" s="79" t="s">
        <v>631</v>
      </c>
      <c r="AE120" s="79" t="s">
        <v>1041</v>
      </c>
      <c r="AF120" s="79"/>
      <c r="AG120" s="79" t="s">
        <v>1494</v>
      </c>
      <c r="AH120" s="79" t="s">
        <v>1688</v>
      </c>
      <c r="AI120" s="79">
        <v>353635</v>
      </c>
      <c r="AJ120" s="79">
        <v>736</v>
      </c>
      <c r="AK120" s="79">
        <v>9134</v>
      </c>
      <c r="AL120" s="79">
        <v>0</v>
      </c>
      <c r="AM120" s="79" t="s">
        <v>2092</v>
      </c>
      <c r="AN120" s="114" t="str">
        <f>HYPERLINK("https://www.youtube.com/watch?v=AjLKTz81bj8")</f>
        <v>https://www.youtube.com/watch?v=AjLKTz81bj8</v>
      </c>
      <c r="AO120" s="78" t="str">
        <f>REPLACE(INDEX(GroupVertices[Group],MATCH(Vertices[[#This Row],[Vertex]],GroupVertices[Vertex],0)),1,1,"")</f>
        <v>alt Disney Studios</v>
      </c>
      <c r="AP120" s="2"/>
      <c r="AQ120" s="3"/>
      <c r="AR120" s="3"/>
      <c r="AS120" s="3"/>
      <c r="AT120" s="3"/>
    </row>
    <row r="121" spans="1:46" ht="15">
      <c r="A121" s="64" t="s">
        <v>259</v>
      </c>
      <c r="B121" s="65"/>
      <c r="C121" s="65"/>
      <c r="D121" s="66">
        <v>150</v>
      </c>
      <c r="E121" s="102">
        <v>70</v>
      </c>
      <c r="F121" s="98" t="str">
        <f>HYPERLINK("https://i.ytimg.com/vi/SQIgkcBjPFI/default.jpg")</f>
        <v>https://i.ytimg.com/vi/SQIgkcBjPFI/default.jpg</v>
      </c>
      <c r="G121" s="100"/>
      <c r="H121" s="69" t="s">
        <v>632</v>
      </c>
      <c r="I121" s="70"/>
      <c r="J121" s="104" t="s">
        <v>75</v>
      </c>
      <c r="K121" s="69" t="s">
        <v>632</v>
      </c>
      <c r="L121" s="105">
        <v>691.2410046755525</v>
      </c>
      <c r="M121" s="74">
        <v>1255.4344482421875</v>
      </c>
      <c r="N121" s="74">
        <v>4506.22314453125</v>
      </c>
      <c r="O121" s="75"/>
      <c r="P121" s="76"/>
      <c r="Q121" s="76"/>
      <c r="R121" s="106"/>
      <c r="S121" s="48">
        <v>14</v>
      </c>
      <c r="T121" s="48">
        <v>0</v>
      </c>
      <c r="U121" s="49">
        <v>9641.726135</v>
      </c>
      <c r="V121" s="49">
        <v>0.168116</v>
      </c>
      <c r="W121" s="107"/>
      <c r="X121" s="50"/>
      <c r="Y121" s="50"/>
      <c r="Z121" s="49">
        <v>0</v>
      </c>
      <c r="AA121" s="71">
        <v>121</v>
      </c>
      <c r="AB121" s="71"/>
      <c r="AC121" s="72"/>
      <c r="AD121" s="79" t="s">
        <v>632</v>
      </c>
      <c r="AE121" s="79" t="s">
        <v>3097</v>
      </c>
      <c r="AF121" s="79" t="s">
        <v>1302</v>
      </c>
      <c r="AG121" s="79" t="s">
        <v>1495</v>
      </c>
      <c r="AH121" s="79" t="s">
        <v>1689</v>
      </c>
      <c r="AI121" s="79">
        <v>2448644</v>
      </c>
      <c r="AJ121" s="79">
        <v>10866</v>
      </c>
      <c r="AK121" s="79">
        <v>38018</v>
      </c>
      <c r="AL121" s="79">
        <v>0</v>
      </c>
      <c r="AM121" s="79" t="s">
        <v>2092</v>
      </c>
      <c r="AN121" s="114" t="str">
        <f>HYPERLINK("https://www.youtube.com/watch?v=SQIgkcBjPFI")</f>
        <v>https://www.youtube.com/watch?v=SQIgkcBjPFI</v>
      </c>
      <c r="AO121" s="78" t="str">
        <f>REPLACE(INDEX(GroupVertices[Group],MATCH(Vertices[[#This Row],[Vertex]],GroupVertices[Vertex],0)),1,1,"")</f>
        <v>kip and Shannon: UNDISPUTED</v>
      </c>
      <c r="AP121" s="2"/>
      <c r="AQ121" s="3"/>
      <c r="AR121" s="3"/>
      <c r="AS121" s="3"/>
      <c r="AT121" s="3"/>
    </row>
    <row r="122" spans="1:46" ht="15">
      <c r="A122" s="64" t="s">
        <v>260</v>
      </c>
      <c r="B122" s="65"/>
      <c r="C122" s="65"/>
      <c r="D122" s="66">
        <v>150</v>
      </c>
      <c r="E122" s="102">
        <v>70</v>
      </c>
      <c r="F122" s="98" t="str">
        <f>HYPERLINK("https://i.ytimg.com/vi/PWmJhh_qTSY/default.jpg")</f>
        <v>https://i.ytimg.com/vi/PWmJhh_qTSY/default.jpg</v>
      </c>
      <c r="G122" s="100"/>
      <c r="H122" s="69" t="s">
        <v>633</v>
      </c>
      <c r="I122" s="70"/>
      <c r="J122" s="104" t="s">
        <v>75</v>
      </c>
      <c r="K122" s="69" t="s">
        <v>633</v>
      </c>
      <c r="L122" s="105">
        <v>691.2410046755525</v>
      </c>
      <c r="M122" s="74">
        <v>1296.8157958984375</v>
      </c>
      <c r="N122" s="74">
        <v>4650.50146484375</v>
      </c>
      <c r="O122" s="75"/>
      <c r="P122" s="76"/>
      <c r="Q122" s="76"/>
      <c r="R122" s="106"/>
      <c r="S122" s="48">
        <v>14</v>
      </c>
      <c r="T122" s="48">
        <v>0</v>
      </c>
      <c r="U122" s="49">
        <v>9641.726135</v>
      </c>
      <c r="V122" s="49">
        <v>0.168116</v>
      </c>
      <c r="W122" s="107"/>
      <c r="X122" s="50"/>
      <c r="Y122" s="50"/>
      <c r="Z122" s="49">
        <v>0</v>
      </c>
      <c r="AA122" s="71">
        <v>122</v>
      </c>
      <c r="AB122" s="71"/>
      <c r="AC122" s="72"/>
      <c r="AD122" s="79" t="s">
        <v>633</v>
      </c>
      <c r="AE122" s="79" t="s">
        <v>3098</v>
      </c>
      <c r="AF122" s="79" t="s">
        <v>1303</v>
      </c>
      <c r="AG122" s="79" t="s">
        <v>1496</v>
      </c>
      <c r="AH122" s="79" t="s">
        <v>1680</v>
      </c>
      <c r="AI122" s="79">
        <v>21986820</v>
      </c>
      <c r="AJ122" s="79">
        <v>93415</v>
      </c>
      <c r="AK122" s="79">
        <v>2075673</v>
      </c>
      <c r="AL122" s="79">
        <v>0</v>
      </c>
      <c r="AM122" s="79" t="s">
        <v>2092</v>
      </c>
      <c r="AN122" s="114" t="str">
        <f>HYPERLINK("https://www.youtube.com/watch?v=PWmJhh_qTSY")</f>
        <v>https://www.youtube.com/watch?v=PWmJhh_qTSY</v>
      </c>
      <c r="AO122" s="78" t="str">
        <f>REPLACE(INDEX(GroupVertices[Group],MATCH(Vertices[[#This Row],[Vertex]],GroupVertices[Vertex],0)),1,1,"")</f>
        <v>hakira</v>
      </c>
      <c r="AP122" s="2"/>
      <c r="AQ122" s="3"/>
      <c r="AR122" s="3"/>
      <c r="AS122" s="3"/>
      <c r="AT122" s="3"/>
    </row>
    <row r="123" spans="1:46" ht="15">
      <c r="A123" s="64" t="s">
        <v>386</v>
      </c>
      <c r="B123" s="65"/>
      <c r="C123" s="65"/>
      <c r="D123" s="66">
        <v>150</v>
      </c>
      <c r="E123" s="102">
        <v>97.85714285714286</v>
      </c>
      <c r="F123" s="98" t="str">
        <f>HYPERLINK("https://i.ytimg.com/vi/3xPOF1Mxa_I/default.jpg")</f>
        <v>https://i.ytimg.com/vi/3xPOF1Mxa_I/default.jpg</v>
      </c>
      <c r="G123" s="100"/>
      <c r="H123" s="69" t="s">
        <v>796</v>
      </c>
      <c r="I123" s="70"/>
      <c r="J123" s="104" t="s">
        <v>159</v>
      </c>
      <c r="K123" s="69" t="s">
        <v>796</v>
      </c>
      <c r="L123" s="105">
        <v>1</v>
      </c>
      <c r="M123" s="74">
        <v>5663.65966796875</v>
      </c>
      <c r="N123" s="74">
        <v>3562.862060546875</v>
      </c>
      <c r="O123" s="75"/>
      <c r="P123" s="76"/>
      <c r="Q123" s="76"/>
      <c r="R123" s="106"/>
      <c r="S123" s="48">
        <v>1</v>
      </c>
      <c r="T123" s="48">
        <v>0</v>
      </c>
      <c r="U123" s="49">
        <v>0</v>
      </c>
      <c r="V123" s="49">
        <v>0.092904</v>
      </c>
      <c r="W123" s="107"/>
      <c r="X123" s="50"/>
      <c r="Y123" s="50"/>
      <c r="Z123" s="49">
        <v>0</v>
      </c>
      <c r="AA123" s="71">
        <v>123</v>
      </c>
      <c r="AB123" s="71"/>
      <c r="AC123" s="72"/>
      <c r="AD123" s="79" t="s">
        <v>796</v>
      </c>
      <c r="AE123" s="79" t="s">
        <v>1134</v>
      </c>
      <c r="AF123" s="79" t="s">
        <v>1381</v>
      </c>
      <c r="AG123" s="79" t="s">
        <v>1562</v>
      </c>
      <c r="AH123" s="79" t="s">
        <v>1851</v>
      </c>
      <c r="AI123" s="79">
        <v>143</v>
      </c>
      <c r="AJ123" s="79">
        <v>0</v>
      </c>
      <c r="AK123" s="79">
        <v>0</v>
      </c>
      <c r="AL123" s="79">
        <v>0</v>
      </c>
      <c r="AM123" s="79" t="s">
        <v>2092</v>
      </c>
      <c r="AN123" s="114" t="str">
        <f>HYPERLINK("https://www.youtube.com/watch?v=3xPOF1Mxa_I")</f>
        <v>https://www.youtube.com/watch?v=3xPOF1Mxa_I</v>
      </c>
      <c r="AO123" s="78" t="str">
        <f>REPLACE(INDEX(GroupVertices[Group],MATCH(Vertices[[#This Row],[Vertex]],GroupVertices[Vertex],0)),1,1,"")</f>
        <v>nlineCEUCredit</v>
      </c>
      <c r="AP123" s="2"/>
      <c r="AQ123" s="3"/>
      <c r="AR123" s="3"/>
      <c r="AS123" s="3"/>
      <c r="AT123" s="3"/>
    </row>
    <row r="124" spans="1:46" ht="15">
      <c r="A124" s="64" t="s">
        <v>397</v>
      </c>
      <c r="B124" s="65"/>
      <c r="C124" s="65"/>
      <c r="D124" s="66">
        <v>150</v>
      </c>
      <c r="E124" s="102">
        <v>97.85714285714286</v>
      </c>
      <c r="F124" s="98" t="str">
        <f>HYPERLINK("https://i.ytimg.com/vi/bh8xXOxtOvs/default.jpg")</f>
        <v>https://i.ytimg.com/vi/bh8xXOxtOvs/default.jpg</v>
      </c>
      <c r="G124" s="100"/>
      <c r="H124" s="69" t="s">
        <v>808</v>
      </c>
      <c r="I124" s="70"/>
      <c r="J124" s="104" t="s">
        <v>159</v>
      </c>
      <c r="K124" s="69" t="s">
        <v>808</v>
      </c>
      <c r="L124" s="105">
        <v>1</v>
      </c>
      <c r="M124" s="74">
        <v>590.8197631835938</v>
      </c>
      <c r="N124" s="74">
        <v>5674.96875</v>
      </c>
      <c r="O124" s="75"/>
      <c r="P124" s="76"/>
      <c r="Q124" s="76"/>
      <c r="R124" s="106"/>
      <c r="S124" s="48">
        <v>1</v>
      </c>
      <c r="T124" s="48">
        <v>0</v>
      </c>
      <c r="U124" s="49">
        <v>0</v>
      </c>
      <c r="V124" s="49">
        <v>0.118132</v>
      </c>
      <c r="W124" s="107"/>
      <c r="X124" s="50"/>
      <c r="Y124" s="50"/>
      <c r="Z124" s="49">
        <v>0</v>
      </c>
      <c r="AA124" s="71">
        <v>124</v>
      </c>
      <c r="AB124" s="71"/>
      <c r="AC124" s="72"/>
      <c r="AD124" s="79" t="s">
        <v>808</v>
      </c>
      <c r="AE124" s="79" t="s">
        <v>1141</v>
      </c>
      <c r="AF124" s="79" t="s">
        <v>1388</v>
      </c>
      <c r="AG124" s="79" t="s">
        <v>1590</v>
      </c>
      <c r="AH124" s="79" t="s">
        <v>1863</v>
      </c>
      <c r="AI124" s="79">
        <v>4021</v>
      </c>
      <c r="AJ124" s="79">
        <v>0</v>
      </c>
      <c r="AK124" s="79">
        <v>25</v>
      </c>
      <c r="AL124" s="79">
        <v>0</v>
      </c>
      <c r="AM124" s="79" t="s">
        <v>2092</v>
      </c>
      <c r="AN124" s="114" t="str">
        <f>HYPERLINK("https://www.youtube.com/watch?v=bh8xXOxtOvs")</f>
        <v>https://www.youtube.com/watch?v=bh8xXOxtOvs</v>
      </c>
      <c r="AO124" s="78" t="str">
        <f>REPLACE(INDEX(GroupVertices[Group],MATCH(Vertices[[#This Row],[Vertex]],GroupVertices[Vertex],0)),1,1,"")</f>
        <v>roy Reiner</v>
      </c>
      <c r="AP124" s="2"/>
      <c r="AQ124" s="3"/>
      <c r="AR124" s="3"/>
      <c r="AS124" s="3"/>
      <c r="AT124" s="3"/>
    </row>
    <row r="125" spans="1:46" ht="15">
      <c r="A125" s="64" t="s">
        <v>355</v>
      </c>
      <c r="B125" s="65"/>
      <c r="C125" s="65"/>
      <c r="D125" s="66">
        <v>150</v>
      </c>
      <c r="E125" s="102">
        <v>97.85714285714286</v>
      </c>
      <c r="F125" s="98" t="str">
        <f>HYPERLINK("https://i.ytimg.com/vi/b0xjrtlphGs/default.jpg")</f>
        <v>https://i.ytimg.com/vi/b0xjrtlphGs/default.jpg</v>
      </c>
      <c r="G125" s="100"/>
      <c r="H125" s="69" t="s">
        <v>758</v>
      </c>
      <c r="I125" s="70"/>
      <c r="J125" s="104" t="s">
        <v>159</v>
      </c>
      <c r="K125" s="69" t="s">
        <v>758</v>
      </c>
      <c r="L125" s="105">
        <v>1</v>
      </c>
      <c r="M125" s="74">
        <v>8623.69140625</v>
      </c>
      <c r="N125" s="74">
        <v>945.9371948242188</v>
      </c>
      <c r="O125" s="75"/>
      <c r="P125" s="76"/>
      <c r="Q125" s="76"/>
      <c r="R125" s="106"/>
      <c r="S125" s="48">
        <v>1</v>
      </c>
      <c r="T125" s="48">
        <v>0</v>
      </c>
      <c r="U125" s="49">
        <v>0</v>
      </c>
      <c r="V125" s="49">
        <v>0.007035</v>
      </c>
      <c r="W125" s="107"/>
      <c r="X125" s="50"/>
      <c r="Y125" s="50"/>
      <c r="Z125" s="49">
        <v>0</v>
      </c>
      <c r="AA125" s="71">
        <v>125</v>
      </c>
      <c r="AB125" s="71"/>
      <c r="AC125" s="72"/>
      <c r="AD125" s="79" t="s">
        <v>758</v>
      </c>
      <c r="AE125" s="79"/>
      <c r="AF125" s="79"/>
      <c r="AG125" s="79" t="s">
        <v>1576</v>
      </c>
      <c r="AH125" s="79" t="s">
        <v>1814</v>
      </c>
      <c r="AI125" s="79">
        <v>0</v>
      </c>
      <c r="AJ125" s="79">
        <v>0</v>
      </c>
      <c r="AK125" s="79">
        <v>0</v>
      </c>
      <c r="AL125" s="79">
        <v>0</v>
      </c>
      <c r="AM125" s="79" t="s">
        <v>2092</v>
      </c>
      <c r="AN125" s="114" t="str">
        <f>HYPERLINK("https://www.youtube.com/watch?v=b0xjrtlphGs")</f>
        <v>https://www.youtube.com/watch?v=b0xjrtlphGs</v>
      </c>
      <c r="AO125" s="78" t="str">
        <f>REPLACE(INDEX(GroupVertices[Group],MATCH(Vertices[[#This Row],[Vertex]],GroupVertices[Vertex],0)),1,1,"")</f>
        <v>ri Suciana</v>
      </c>
      <c r="AP125" s="2"/>
      <c r="AQ125" s="3"/>
      <c r="AR125" s="3"/>
      <c r="AS125" s="3"/>
      <c r="AT125" s="3"/>
    </row>
    <row r="126" spans="1:46" ht="15">
      <c r="A126" s="64" t="s">
        <v>357</v>
      </c>
      <c r="B126" s="65"/>
      <c r="C126" s="65"/>
      <c r="D126" s="66">
        <v>150</v>
      </c>
      <c r="E126" s="102">
        <v>97.85714285714286</v>
      </c>
      <c r="F126" s="98" t="str">
        <f>HYPERLINK("https://i.ytimg.com/vi/i78bvQ__NTw/default.jpg")</f>
        <v>https://i.ytimg.com/vi/i78bvQ__NTw/default.jpg</v>
      </c>
      <c r="G126" s="100"/>
      <c r="H126" s="69" t="s">
        <v>760</v>
      </c>
      <c r="I126" s="70"/>
      <c r="J126" s="104" t="s">
        <v>159</v>
      </c>
      <c r="K126" s="69" t="s">
        <v>760</v>
      </c>
      <c r="L126" s="105">
        <v>1</v>
      </c>
      <c r="M126" s="74">
        <v>9123.0888671875</v>
      </c>
      <c r="N126" s="74">
        <v>676.1904907226562</v>
      </c>
      <c r="O126" s="75"/>
      <c r="P126" s="76"/>
      <c r="Q126" s="76"/>
      <c r="R126" s="106"/>
      <c r="S126" s="48">
        <v>1</v>
      </c>
      <c r="T126" s="48">
        <v>0</v>
      </c>
      <c r="U126" s="49">
        <v>0</v>
      </c>
      <c r="V126" s="49">
        <v>0.007035</v>
      </c>
      <c r="W126" s="107"/>
      <c r="X126" s="50"/>
      <c r="Y126" s="50"/>
      <c r="Z126" s="49">
        <v>0</v>
      </c>
      <c r="AA126" s="71">
        <v>126</v>
      </c>
      <c r="AB126" s="71"/>
      <c r="AC126" s="72"/>
      <c r="AD126" s="79" t="s">
        <v>760</v>
      </c>
      <c r="AE126" s="79" t="s">
        <v>1113</v>
      </c>
      <c r="AF126" s="79"/>
      <c r="AG126" s="79" t="s">
        <v>1577</v>
      </c>
      <c r="AH126" s="79" t="s">
        <v>1816</v>
      </c>
      <c r="AI126" s="79">
        <v>3</v>
      </c>
      <c r="AJ126" s="79">
        <v>0</v>
      </c>
      <c r="AK126" s="79">
        <v>0</v>
      </c>
      <c r="AL126" s="79">
        <v>0</v>
      </c>
      <c r="AM126" s="79" t="s">
        <v>2092</v>
      </c>
      <c r="AN126" s="114" t="str">
        <f>HYPERLINK("https://www.youtube.com/watch?v=i78bvQ__NTw")</f>
        <v>https://www.youtube.com/watch?v=i78bvQ__NTw</v>
      </c>
      <c r="AO126" s="78" t="str">
        <f>REPLACE(INDEX(GroupVertices[Group],MATCH(Vertices[[#This Row],[Vertex]],GroupVertices[Vertex],0)),1,1,"")</f>
        <v>ary Hidayatullah</v>
      </c>
      <c r="AP126" s="2"/>
      <c r="AQ126" s="3"/>
      <c r="AR126" s="3"/>
      <c r="AS126" s="3"/>
      <c r="AT126" s="3"/>
    </row>
    <row r="127" spans="1:46" ht="15">
      <c r="A127" s="64" t="s">
        <v>354</v>
      </c>
      <c r="B127" s="65"/>
      <c r="C127" s="65"/>
      <c r="D127" s="66">
        <v>150</v>
      </c>
      <c r="E127" s="102">
        <v>97.85714285714286</v>
      </c>
      <c r="F127" s="98" t="str">
        <f>HYPERLINK("https://i.ytimg.com/vi/hktaeU98ImQ/default.jpg")</f>
        <v>https://i.ytimg.com/vi/hktaeU98ImQ/default.jpg</v>
      </c>
      <c r="G127" s="100"/>
      <c r="H127" s="69" t="s">
        <v>757</v>
      </c>
      <c r="I127" s="70"/>
      <c r="J127" s="104" t="s">
        <v>159</v>
      </c>
      <c r="K127" s="69" t="s">
        <v>757</v>
      </c>
      <c r="L127" s="105">
        <v>1</v>
      </c>
      <c r="M127" s="74">
        <v>8042.22705078125</v>
      </c>
      <c r="N127" s="74">
        <v>223.98802185058594</v>
      </c>
      <c r="O127" s="75"/>
      <c r="P127" s="76"/>
      <c r="Q127" s="76"/>
      <c r="R127" s="106"/>
      <c r="S127" s="48">
        <v>1</v>
      </c>
      <c r="T127" s="48">
        <v>0</v>
      </c>
      <c r="U127" s="49">
        <v>0</v>
      </c>
      <c r="V127" s="49">
        <v>0.007035</v>
      </c>
      <c r="W127" s="107"/>
      <c r="X127" s="50"/>
      <c r="Y127" s="50"/>
      <c r="Z127" s="49">
        <v>0</v>
      </c>
      <c r="AA127" s="71">
        <v>127</v>
      </c>
      <c r="AB127" s="71"/>
      <c r="AC127" s="72"/>
      <c r="AD127" s="79" t="s">
        <v>757</v>
      </c>
      <c r="AE127" s="79"/>
      <c r="AF127" s="79"/>
      <c r="AG127" s="79" t="s">
        <v>1575</v>
      </c>
      <c r="AH127" s="79" t="s">
        <v>1813</v>
      </c>
      <c r="AI127" s="79">
        <v>12</v>
      </c>
      <c r="AJ127" s="79">
        <v>0</v>
      </c>
      <c r="AK127" s="79">
        <v>0</v>
      </c>
      <c r="AL127" s="79">
        <v>0</v>
      </c>
      <c r="AM127" s="79" t="s">
        <v>2092</v>
      </c>
      <c r="AN127" s="114" t="str">
        <f>HYPERLINK("https://www.youtube.com/watch?v=hktaeU98ImQ")</f>
        <v>https://www.youtube.com/watch?v=hktaeU98ImQ</v>
      </c>
      <c r="AO127" s="78" t="str">
        <f>REPLACE(INDEX(GroupVertices[Group],MATCH(Vertices[[#This Row],[Vertex]],GroupVertices[Vertex],0)),1,1,"")</f>
        <v>viana lintang</v>
      </c>
      <c r="AP127" s="2"/>
      <c r="AQ127" s="3"/>
      <c r="AR127" s="3"/>
      <c r="AS127" s="3"/>
      <c r="AT127" s="3"/>
    </row>
    <row r="128" spans="1:46" ht="15">
      <c r="A128" s="64" t="s">
        <v>2153</v>
      </c>
      <c r="B128" s="65"/>
      <c r="C128" s="65"/>
      <c r="D128" s="66">
        <v>150</v>
      </c>
      <c r="E128" s="102">
        <v>97.85714285714286</v>
      </c>
      <c r="F128" s="98" t="str">
        <f>HYPERLINK("https://i.ytimg.com/vi/l25lLP7fj-E/default.jpg")</f>
        <v>https://i.ytimg.com/vi/l25lLP7fj-E/default.jpg</v>
      </c>
      <c r="G128" s="100"/>
      <c r="H128" s="69" t="s">
        <v>2630</v>
      </c>
      <c r="I128" s="70"/>
      <c r="J128" s="104" t="s">
        <v>159</v>
      </c>
      <c r="K128" s="69" t="s">
        <v>2630</v>
      </c>
      <c r="L128" s="105">
        <v>1</v>
      </c>
      <c r="M128" s="74">
        <v>8954.4169921875</v>
      </c>
      <c r="N128" s="74">
        <v>282.9959411621094</v>
      </c>
      <c r="O128" s="75"/>
      <c r="P128" s="76"/>
      <c r="Q128" s="76"/>
      <c r="R128" s="106"/>
      <c r="S128" s="48">
        <v>1</v>
      </c>
      <c r="T128" s="48">
        <v>0</v>
      </c>
      <c r="U128" s="49">
        <v>0</v>
      </c>
      <c r="V128" s="49">
        <v>0.007035</v>
      </c>
      <c r="W128" s="107"/>
      <c r="X128" s="50"/>
      <c r="Y128" s="50"/>
      <c r="Z128" s="49">
        <v>0</v>
      </c>
      <c r="AA128" s="71">
        <v>128</v>
      </c>
      <c r="AB128" s="71"/>
      <c r="AC128" s="72"/>
      <c r="AD128" s="79" t="s">
        <v>2630</v>
      </c>
      <c r="AE128" s="79"/>
      <c r="AF128" s="79"/>
      <c r="AG128" s="79" t="s">
        <v>3715</v>
      </c>
      <c r="AH128" s="79" t="s">
        <v>3996</v>
      </c>
      <c r="AI128" s="79">
        <v>2</v>
      </c>
      <c r="AJ128" s="79">
        <v>0</v>
      </c>
      <c r="AK128" s="79">
        <v>0</v>
      </c>
      <c r="AL128" s="79">
        <v>0</v>
      </c>
      <c r="AM128" s="79" t="s">
        <v>2092</v>
      </c>
      <c r="AN128" s="114" t="str">
        <f>HYPERLINK("https://www.youtube.com/watch?v=l25lLP7fj-E")</f>
        <v>https://www.youtube.com/watch?v=l25lLP7fj-E</v>
      </c>
      <c r="AO128" s="78" t="str">
        <f>REPLACE(INDEX(GroupVertices[Group],MATCH(Vertices[[#This Row],[Vertex]],GroupVertices[Vertex],0)),1,1,"")</f>
        <v>lfahan Ilham</v>
      </c>
      <c r="AP128" s="2"/>
      <c r="AQ128" s="3"/>
      <c r="AR128" s="3"/>
      <c r="AS128" s="3"/>
      <c r="AT128" s="3"/>
    </row>
    <row r="129" spans="1:46" ht="15">
      <c r="A129" s="64" t="s">
        <v>351</v>
      </c>
      <c r="B129" s="65"/>
      <c r="C129" s="65"/>
      <c r="D129" s="66">
        <v>150</v>
      </c>
      <c r="E129" s="102">
        <v>97.85714285714286</v>
      </c>
      <c r="F129" s="98" t="str">
        <f>HYPERLINK("https://i.ytimg.com/vi/R_HtA3fNpAM/default.jpg")</f>
        <v>https://i.ytimg.com/vi/R_HtA3fNpAM/default.jpg</v>
      </c>
      <c r="G129" s="100"/>
      <c r="H129" s="69" t="s">
        <v>754</v>
      </c>
      <c r="I129" s="70"/>
      <c r="J129" s="104" t="s">
        <v>159</v>
      </c>
      <c r="K129" s="69" t="s">
        <v>754</v>
      </c>
      <c r="L129" s="105">
        <v>1</v>
      </c>
      <c r="M129" s="74">
        <v>8382.412109375</v>
      </c>
      <c r="N129" s="74">
        <v>315.9024963378906</v>
      </c>
      <c r="O129" s="75"/>
      <c r="P129" s="76"/>
      <c r="Q129" s="76"/>
      <c r="R129" s="106"/>
      <c r="S129" s="48">
        <v>1</v>
      </c>
      <c r="T129" s="48">
        <v>0</v>
      </c>
      <c r="U129" s="49">
        <v>0</v>
      </c>
      <c r="V129" s="49">
        <v>0.007035</v>
      </c>
      <c r="W129" s="107"/>
      <c r="X129" s="50"/>
      <c r="Y129" s="50"/>
      <c r="Z129" s="49">
        <v>0</v>
      </c>
      <c r="AA129" s="71">
        <v>129</v>
      </c>
      <c r="AB129" s="71"/>
      <c r="AC129" s="72"/>
      <c r="AD129" s="79" t="s">
        <v>754</v>
      </c>
      <c r="AE129" s="79" t="s">
        <v>1111</v>
      </c>
      <c r="AF129" s="79"/>
      <c r="AG129" s="79" t="s">
        <v>1572</v>
      </c>
      <c r="AH129" s="79" t="s">
        <v>1810</v>
      </c>
      <c r="AI129" s="79">
        <v>9</v>
      </c>
      <c r="AJ129" s="79">
        <v>0</v>
      </c>
      <c r="AK129" s="79">
        <v>0</v>
      </c>
      <c r="AL129" s="79">
        <v>0</v>
      </c>
      <c r="AM129" s="79" t="s">
        <v>2092</v>
      </c>
      <c r="AN129" s="114" t="str">
        <f>HYPERLINK("https://www.youtube.com/watch?v=R_HtA3fNpAM")</f>
        <v>https://www.youtube.com/watch?v=R_HtA3fNpAM</v>
      </c>
      <c r="AO129" s="78" t="str">
        <f>REPLACE(INDEX(GroupVertices[Group],MATCH(Vertices[[#This Row],[Vertex]],GroupVertices[Vertex],0)),1,1,"")</f>
        <v>iara Arzhika Nurfaddilah</v>
      </c>
      <c r="AP129" s="2"/>
      <c r="AQ129" s="3"/>
      <c r="AR129" s="3"/>
      <c r="AS129" s="3"/>
      <c r="AT129" s="3"/>
    </row>
    <row r="130" spans="1:46" ht="15">
      <c r="A130" s="64" t="s">
        <v>356</v>
      </c>
      <c r="B130" s="65"/>
      <c r="C130" s="65"/>
      <c r="D130" s="66">
        <v>150</v>
      </c>
      <c r="E130" s="102">
        <v>97.85714285714286</v>
      </c>
      <c r="F130" s="98" t="str">
        <f>HYPERLINK("https://i.ytimg.com/vi/CeRBj5u5eAA/default.jpg")</f>
        <v>https://i.ytimg.com/vi/CeRBj5u5eAA/default.jpg</v>
      </c>
      <c r="G130" s="100"/>
      <c r="H130" s="69" t="s">
        <v>759</v>
      </c>
      <c r="I130" s="70"/>
      <c r="J130" s="104" t="s">
        <v>159</v>
      </c>
      <c r="K130" s="69" t="s">
        <v>759</v>
      </c>
      <c r="L130" s="105">
        <v>1</v>
      </c>
      <c r="M130" s="74">
        <v>7790.3857421875</v>
      </c>
      <c r="N130" s="74">
        <v>668.9485473632812</v>
      </c>
      <c r="O130" s="75"/>
      <c r="P130" s="76"/>
      <c r="Q130" s="76"/>
      <c r="R130" s="106"/>
      <c r="S130" s="48">
        <v>1</v>
      </c>
      <c r="T130" s="48">
        <v>0</v>
      </c>
      <c r="U130" s="49">
        <v>0</v>
      </c>
      <c r="V130" s="49">
        <v>0.007035</v>
      </c>
      <c r="W130" s="107"/>
      <c r="X130" s="50"/>
      <c r="Y130" s="50"/>
      <c r="Z130" s="49">
        <v>0</v>
      </c>
      <c r="AA130" s="71">
        <v>130</v>
      </c>
      <c r="AB130" s="71"/>
      <c r="AC130" s="72"/>
      <c r="AD130" s="79" t="s">
        <v>759</v>
      </c>
      <c r="AE130" s="79"/>
      <c r="AF130" s="79"/>
      <c r="AG130" s="79" t="s">
        <v>1576</v>
      </c>
      <c r="AH130" s="79" t="s">
        <v>1815</v>
      </c>
      <c r="AI130" s="79">
        <v>0</v>
      </c>
      <c r="AJ130" s="79">
        <v>0</v>
      </c>
      <c r="AK130" s="79">
        <v>0</v>
      </c>
      <c r="AL130" s="79">
        <v>0</v>
      </c>
      <c r="AM130" s="79" t="s">
        <v>2092</v>
      </c>
      <c r="AN130" s="114" t="str">
        <f>HYPERLINK("https://www.youtube.com/watch?v=CeRBj5u5eAA")</f>
        <v>https://www.youtube.com/watch?v=CeRBj5u5eAA</v>
      </c>
      <c r="AO130" s="78" t="str">
        <f>REPLACE(INDEX(GroupVertices[Group],MATCH(Vertices[[#This Row],[Vertex]],GroupVertices[Vertex],0)),1,1,"")</f>
        <v>ri Suciana</v>
      </c>
      <c r="AP130" s="2"/>
      <c r="AQ130" s="3"/>
      <c r="AR130" s="3"/>
      <c r="AS130" s="3"/>
      <c r="AT130" s="3"/>
    </row>
    <row r="131" spans="1:46" ht="15">
      <c r="A131" s="64" t="s">
        <v>352</v>
      </c>
      <c r="B131" s="65"/>
      <c r="C131" s="65"/>
      <c r="D131" s="66">
        <v>150</v>
      </c>
      <c r="E131" s="102">
        <v>97.85714285714286</v>
      </c>
      <c r="F131" s="98" t="str">
        <f>HYPERLINK("https://i.ytimg.com/vi/lXnF7T4JcJs/default.jpg")</f>
        <v>https://i.ytimg.com/vi/lXnF7T4JcJs/default.jpg</v>
      </c>
      <c r="G131" s="100"/>
      <c r="H131" s="69" t="s">
        <v>755</v>
      </c>
      <c r="I131" s="70"/>
      <c r="J131" s="104" t="s">
        <v>159</v>
      </c>
      <c r="K131" s="69" t="s">
        <v>755</v>
      </c>
      <c r="L131" s="105">
        <v>1</v>
      </c>
      <c r="M131" s="74">
        <v>8078.47119140625</v>
      </c>
      <c r="N131" s="74">
        <v>782.794921875</v>
      </c>
      <c r="O131" s="75"/>
      <c r="P131" s="76"/>
      <c r="Q131" s="76"/>
      <c r="R131" s="106"/>
      <c r="S131" s="48">
        <v>1</v>
      </c>
      <c r="T131" s="48">
        <v>0</v>
      </c>
      <c r="U131" s="49">
        <v>0</v>
      </c>
      <c r="V131" s="49">
        <v>0.007035</v>
      </c>
      <c r="W131" s="107"/>
      <c r="X131" s="50"/>
      <c r="Y131" s="50"/>
      <c r="Z131" s="49">
        <v>0</v>
      </c>
      <c r="AA131" s="71">
        <v>131</v>
      </c>
      <c r="AB131" s="71"/>
      <c r="AC131" s="72"/>
      <c r="AD131" s="79" t="s">
        <v>755</v>
      </c>
      <c r="AE131" s="79"/>
      <c r="AF131" s="79"/>
      <c r="AG131" s="79" t="s">
        <v>1573</v>
      </c>
      <c r="AH131" s="79" t="s">
        <v>1811</v>
      </c>
      <c r="AI131" s="79">
        <v>3</v>
      </c>
      <c r="AJ131" s="79">
        <v>0</v>
      </c>
      <c r="AK131" s="79">
        <v>0</v>
      </c>
      <c r="AL131" s="79">
        <v>0</v>
      </c>
      <c r="AM131" s="79" t="s">
        <v>2092</v>
      </c>
      <c r="AN131" s="114" t="str">
        <f>HYPERLINK("https://www.youtube.com/watch?v=lXnF7T4JcJs")</f>
        <v>https://www.youtube.com/watch?v=lXnF7T4JcJs</v>
      </c>
      <c r="AO131" s="78" t="str">
        <f>REPLACE(INDEX(GroupVertices[Group],MATCH(Vertices[[#This Row],[Vertex]],GroupVertices[Vertex],0)),1,1,"")</f>
        <v>arwastu Vivaldi Galant</v>
      </c>
      <c r="AP131" s="2"/>
      <c r="AQ131" s="3"/>
      <c r="AR131" s="3"/>
      <c r="AS131" s="3"/>
      <c r="AT131" s="3"/>
    </row>
    <row r="132" spans="1:46" ht="15">
      <c r="A132" s="64" t="s">
        <v>358</v>
      </c>
      <c r="B132" s="65"/>
      <c r="C132" s="65"/>
      <c r="D132" s="66">
        <v>150</v>
      </c>
      <c r="E132" s="102">
        <v>97.85714285714286</v>
      </c>
      <c r="F132" s="98" t="str">
        <f>HYPERLINK("https://i.ytimg.com/vi/iN_eR8J1wNE/default.jpg")</f>
        <v>https://i.ytimg.com/vi/iN_eR8J1wNE/default.jpg</v>
      </c>
      <c r="G132" s="100"/>
      <c r="H132" s="69" t="s">
        <v>761</v>
      </c>
      <c r="I132" s="70"/>
      <c r="J132" s="104" t="s">
        <v>159</v>
      </c>
      <c r="K132" s="69" t="s">
        <v>761</v>
      </c>
      <c r="L132" s="105">
        <v>1</v>
      </c>
      <c r="M132" s="74">
        <v>9128.939453125</v>
      </c>
      <c r="N132" s="74">
        <v>467.9069519042969</v>
      </c>
      <c r="O132" s="75"/>
      <c r="P132" s="76"/>
      <c r="Q132" s="76"/>
      <c r="R132" s="106"/>
      <c r="S132" s="48">
        <v>1</v>
      </c>
      <c r="T132" s="48">
        <v>0</v>
      </c>
      <c r="U132" s="49">
        <v>0</v>
      </c>
      <c r="V132" s="49">
        <v>0.007035</v>
      </c>
      <c r="W132" s="107"/>
      <c r="X132" s="50"/>
      <c r="Y132" s="50"/>
      <c r="Z132" s="49">
        <v>0</v>
      </c>
      <c r="AA132" s="71">
        <v>132</v>
      </c>
      <c r="AB132" s="71"/>
      <c r="AC132" s="72"/>
      <c r="AD132" s="79" t="s">
        <v>761</v>
      </c>
      <c r="AE132" s="79" t="s">
        <v>1114</v>
      </c>
      <c r="AF132" s="79"/>
      <c r="AG132" s="79" t="s">
        <v>1578</v>
      </c>
      <c r="AH132" s="79" t="s">
        <v>1817</v>
      </c>
      <c r="AI132" s="79">
        <v>6</v>
      </c>
      <c r="AJ132" s="79">
        <v>0</v>
      </c>
      <c r="AK132" s="79">
        <v>1</v>
      </c>
      <c r="AL132" s="79">
        <v>0</v>
      </c>
      <c r="AM132" s="79" t="s">
        <v>2092</v>
      </c>
      <c r="AN132" s="114" t="str">
        <f>HYPERLINK("https://www.youtube.com/watch?v=iN_eR8J1wNE")</f>
        <v>https://www.youtube.com/watch?v=iN_eR8J1wNE</v>
      </c>
      <c r="AO132" s="78" t="str">
        <f>REPLACE(INDEX(GroupVertices[Group],MATCH(Vertices[[#This Row],[Vertex]],GroupVertices[Vertex],0)),1,1,"")</f>
        <v>iranty nh</v>
      </c>
      <c r="AP132" s="2"/>
      <c r="AQ132" s="3"/>
      <c r="AR132" s="3"/>
      <c r="AS132" s="3"/>
      <c r="AT132" s="3"/>
    </row>
    <row r="133" spans="1:46" ht="15">
      <c r="A133" s="64" t="s">
        <v>2154</v>
      </c>
      <c r="B133" s="65"/>
      <c r="C133" s="65"/>
      <c r="D133" s="66">
        <v>150</v>
      </c>
      <c r="E133" s="102">
        <v>97.85714285714286</v>
      </c>
      <c r="F133" s="98" t="str">
        <f>HYPERLINK("https://i.ytimg.com/vi/Fgt3wAXH3zg/default.jpg")</f>
        <v>https://i.ytimg.com/vi/Fgt3wAXH3zg/default.jpg</v>
      </c>
      <c r="G133" s="100"/>
      <c r="H133" s="69" t="s">
        <v>2631</v>
      </c>
      <c r="I133" s="70"/>
      <c r="J133" s="104" t="s">
        <v>159</v>
      </c>
      <c r="K133" s="69" t="s">
        <v>2631</v>
      </c>
      <c r="L133" s="105">
        <v>1</v>
      </c>
      <c r="M133" s="74">
        <v>7847.638671875</v>
      </c>
      <c r="N133" s="74">
        <v>441.0594177246094</v>
      </c>
      <c r="O133" s="75"/>
      <c r="P133" s="76"/>
      <c r="Q133" s="76"/>
      <c r="R133" s="106"/>
      <c r="S133" s="48">
        <v>1</v>
      </c>
      <c r="T133" s="48">
        <v>0</v>
      </c>
      <c r="U133" s="49">
        <v>0</v>
      </c>
      <c r="V133" s="49">
        <v>0.007035</v>
      </c>
      <c r="W133" s="107"/>
      <c r="X133" s="50"/>
      <c r="Y133" s="50"/>
      <c r="Z133" s="49">
        <v>0</v>
      </c>
      <c r="AA133" s="71">
        <v>133</v>
      </c>
      <c r="AB133" s="71"/>
      <c r="AC133" s="72"/>
      <c r="AD133" s="79" t="s">
        <v>2631</v>
      </c>
      <c r="AE133" s="79" t="s">
        <v>3099</v>
      </c>
      <c r="AF133" s="79"/>
      <c r="AG133" s="79" t="s">
        <v>3716</v>
      </c>
      <c r="AH133" s="79" t="s">
        <v>3997</v>
      </c>
      <c r="AI133" s="79">
        <v>8</v>
      </c>
      <c r="AJ133" s="79">
        <v>0</v>
      </c>
      <c r="AK133" s="79">
        <v>0</v>
      </c>
      <c r="AL133" s="79">
        <v>0</v>
      </c>
      <c r="AM133" s="79" t="s">
        <v>2092</v>
      </c>
      <c r="AN133" s="114" t="str">
        <f>HYPERLINK("https://www.youtube.com/watch?v=Fgt3wAXH3zg")</f>
        <v>https://www.youtube.com/watch?v=Fgt3wAXH3zg</v>
      </c>
      <c r="AO133" s="78" t="str">
        <f>REPLACE(INDEX(GroupVertices[Group],MATCH(Vertices[[#This Row],[Vertex]],GroupVertices[Vertex],0)),1,1,"")</f>
        <v>olanda Rukmantara</v>
      </c>
      <c r="AP133" s="2"/>
      <c r="AQ133" s="3"/>
      <c r="AR133" s="3"/>
      <c r="AS133" s="3"/>
      <c r="AT133" s="3"/>
    </row>
    <row r="134" spans="1:46" ht="15">
      <c r="A134" s="64" t="s">
        <v>2155</v>
      </c>
      <c r="B134" s="65"/>
      <c r="C134" s="65"/>
      <c r="D134" s="66">
        <v>150</v>
      </c>
      <c r="E134" s="102">
        <v>97.85714285714286</v>
      </c>
      <c r="F134" s="98" t="str">
        <f>HYPERLINK("https://i.ytimg.com/vi/FrJj1QxzjHg/default.jpg")</f>
        <v>https://i.ytimg.com/vi/FrJj1QxzjHg/default.jpg</v>
      </c>
      <c r="G134" s="100"/>
      <c r="H134" s="69" t="s">
        <v>2632</v>
      </c>
      <c r="I134" s="70"/>
      <c r="J134" s="104" t="s">
        <v>159</v>
      </c>
      <c r="K134" s="69" t="s">
        <v>2632</v>
      </c>
      <c r="L134" s="105">
        <v>1</v>
      </c>
      <c r="M134" s="74">
        <v>8238.1669921875</v>
      </c>
      <c r="N134" s="74">
        <v>962.5474243164062</v>
      </c>
      <c r="O134" s="75"/>
      <c r="P134" s="76"/>
      <c r="Q134" s="76"/>
      <c r="R134" s="106"/>
      <c r="S134" s="48">
        <v>1</v>
      </c>
      <c r="T134" s="48">
        <v>0</v>
      </c>
      <c r="U134" s="49">
        <v>0</v>
      </c>
      <c r="V134" s="49">
        <v>0.007035</v>
      </c>
      <c r="W134" s="107"/>
      <c r="X134" s="50"/>
      <c r="Y134" s="50"/>
      <c r="Z134" s="49">
        <v>0</v>
      </c>
      <c r="AA134" s="71">
        <v>134</v>
      </c>
      <c r="AB134" s="71"/>
      <c r="AC134" s="72"/>
      <c r="AD134" s="79" t="s">
        <v>2632</v>
      </c>
      <c r="AE134" s="79" t="s">
        <v>3100</v>
      </c>
      <c r="AF134" s="79"/>
      <c r="AG134" s="79" t="s">
        <v>3717</v>
      </c>
      <c r="AH134" s="79" t="s">
        <v>3998</v>
      </c>
      <c r="AI134" s="79">
        <v>9</v>
      </c>
      <c r="AJ134" s="79">
        <v>0</v>
      </c>
      <c r="AK134" s="79">
        <v>4</v>
      </c>
      <c r="AL134" s="79">
        <v>0</v>
      </c>
      <c r="AM134" s="79" t="s">
        <v>2092</v>
      </c>
      <c r="AN134" s="114" t="str">
        <f>HYPERLINK("https://www.youtube.com/watch?v=FrJj1QxzjHg")</f>
        <v>https://www.youtube.com/watch?v=FrJj1QxzjHg</v>
      </c>
      <c r="AO134" s="78" t="str">
        <f>REPLACE(INDEX(GroupVertices[Group],MATCH(Vertices[[#This Row],[Vertex]],GroupVertices[Vertex],0)),1,1,"")</f>
        <v>eni Yulieanti</v>
      </c>
      <c r="AP134" s="2"/>
      <c r="AQ134" s="3"/>
      <c r="AR134" s="3"/>
      <c r="AS134" s="3"/>
      <c r="AT134" s="3"/>
    </row>
    <row r="135" spans="1:46" ht="15">
      <c r="A135" s="64" t="s">
        <v>359</v>
      </c>
      <c r="B135" s="65"/>
      <c r="C135" s="65"/>
      <c r="D135" s="66">
        <v>150</v>
      </c>
      <c r="E135" s="102">
        <v>97.85714285714286</v>
      </c>
      <c r="F135" s="98" t="str">
        <f>HYPERLINK("https://i.ytimg.com/vi/UneBEQ_cXR4/default.jpg")</f>
        <v>https://i.ytimg.com/vi/UneBEQ_cXR4/default.jpg</v>
      </c>
      <c r="G135" s="100"/>
      <c r="H135" s="69" t="s">
        <v>762</v>
      </c>
      <c r="I135" s="70"/>
      <c r="J135" s="104" t="s">
        <v>159</v>
      </c>
      <c r="K135" s="69" t="s">
        <v>762</v>
      </c>
      <c r="L135" s="105">
        <v>1</v>
      </c>
      <c r="M135" s="74">
        <v>8937.095703125</v>
      </c>
      <c r="N135" s="74">
        <v>853.2554321289062</v>
      </c>
      <c r="O135" s="75"/>
      <c r="P135" s="76"/>
      <c r="Q135" s="76"/>
      <c r="R135" s="106"/>
      <c r="S135" s="48">
        <v>1</v>
      </c>
      <c r="T135" s="48">
        <v>0</v>
      </c>
      <c r="U135" s="49">
        <v>0</v>
      </c>
      <c r="V135" s="49">
        <v>0.007035</v>
      </c>
      <c r="W135" s="107"/>
      <c r="X135" s="50"/>
      <c r="Y135" s="50"/>
      <c r="Z135" s="49">
        <v>0</v>
      </c>
      <c r="AA135" s="71">
        <v>135</v>
      </c>
      <c r="AB135" s="71"/>
      <c r="AC135" s="72"/>
      <c r="AD135" s="79" t="s">
        <v>762</v>
      </c>
      <c r="AE135" s="79"/>
      <c r="AF135" s="79"/>
      <c r="AG135" s="79" t="s">
        <v>1579</v>
      </c>
      <c r="AH135" s="79" t="s">
        <v>1818</v>
      </c>
      <c r="AI135" s="79">
        <v>45</v>
      </c>
      <c r="AJ135" s="79">
        <v>0</v>
      </c>
      <c r="AK135" s="79">
        <v>1</v>
      </c>
      <c r="AL135" s="79">
        <v>0</v>
      </c>
      <c r="AM135" s="79" t="s">
        <v>2092</v>
      </c>
      <c r="AN135" s="114" t="str">
        <f>HYPERLINK("https://www.youtube.com/watch?v=UneBEQ_cXR4")</f>
        <v>https://www.youtube.com/watch?v=UneBEQ_cXR4</v>
      </c>
      <c r="AO135" s="78" t="str">
        <f>REPLACE(INDEX(GroupVertices[Group],MATCH(Vertices[[#This Row],[Vertex]],GroupVertices[Vertex],0)),1,1,"")</f>
        <v>APELKES PROVINSI SULAWESI TENGAH</v>
      </c>
      <c r="AP135" s="2"/>
      <c r="AQ135" s="3"/>
      <c r="AR135" s="3"/>
      <c r="AS135" s="3"/>
      <c r="AT135" s="3"/>
    </row>
    <row r="136" spans="1:46" ht="15">
      <c r="A136" s="64" t="s">
        <v>353</v>
      </c>
      <c r="B136" s="65"/>
      <c r="C136" s="65"/>
      <c r="D136" s="66">
        <v>150</v>
      </c>
      <c r="E136" s="102">
        <v>97.85714285714286</v>
      </c>
      <c r="F136" s="98" t="str">
        <f>HYPERLINK("https://i.ytimg.com/vi/bVdWXNmkWag/default.jpg")</f>
        <v>https://i.ytimg.com/vi/bVdWXNmkWag/default.jpg</v>
      </c>
      <c r="G136" s="100"/>
      <c r="H136" s="69" t="s">
        <v>756</v>
      </c>
      <c r="I136" s="70"/>
      <c r="J136" s="104" t="s">
        <v>159</v>
      </c>
      <c r="K136" s="69" t="s">
        <v>756</v>
      </c>
      <c r="L136" s="105">
        <v>1</v>
      </c>
      <c r="M136" s="74">
        <v>8612.7978515625</v>
      </c>
      <c r="N136" s="74">
        <v>143.66378784179688</v>
      </c>
      <c r="O136" s="75"/>
      <c r="P136" s="76"/>
      <c r="Q136" s="76"/>
      <c r="R136" s="106"/>
      <c r="S136" s="48">
        <v>1</v>
      </c>
      <c r="T136" s="48">
        <v>0</v>
      </c>
      <c r="U136" s="49">
        <v>0</v>
      </c>
      <c r="V136" s="49">
        <v>0.007035</v>
      </c>
      <c r="W136" s="107"/>
      <c r="X136" s="50"/>
      <c r="Y136" s="50"/>
      <c r="Z136" s="49">
        <v>0</v>
      </c>
      <c r="AA136" s="71">
        <v>136</v>
      </c>
      <c r="AB136" s="71"/>
      <c r="AC136" s="72"/>
      <c r="AD136" s="79" t="s">
        <v>756</v>
      </c>
      <c r="AE136" s="79" t="s">
        <v>1112</v>
      </c>
      <c r="AF136" s="79"/>
      <c r="AG136" s="79" t="s">
        <v>1574</v>
      </c>
      <c r="AH136" s="79" t="s">
        <v>1812</v>
      </c>
      <c r="AI136" s="79">
        <v>1</v>
      </c>
      <c r="AJ136" s="79">
        <v>0</v>
      </c>
      <c r="AK136" s="79">
        <v>0</v>
      </c>
      <c r="AL136" s="79">
        <v>0</v>
      </c>
      <c r="AM136" s="79" t="s">
        <v>2092</v>
      </c>
      <c r="AN136" s="114" t="str">
        <f>HYPERLINK("https://www.youtube.com/watch?v=bVdWXNmkWag")</f>
        <v>https://www.youtube.com/watch?v=bVdWXNmkWag</v>
      </c>
      <c r="AO136" s="78" t="str">
        <f>REPLACE(INDEX(GroupVertices[Group],MATCH(Vertices[[#This Row],[Vertex]],GroupVertices[Vertex],0)),1,1,"")</f>
        <v>51_Gita Aulia</v>
      </c>
      <c r="AP136" s="2"/>
      <c r="AQ136" s="3"/>
      <c r="AR136" s="3"/>
      <c r="AS136" s="3"/>
      <c r="AT136" s="3"/>
    </row>
    <row r="137" spans="1:46" ht="15">
      <c r="A137" s="64" t="s">
        <v>328</v>
      </c>
      <c r="B137" s="65"/>
      <c r="C137" s="65"/>
      <c r="D137" s="66">
        <v>150</v>
      </c>
      <c r="E137" s="102">
        <v>80.71428571428571</v>
      </c>
      <c r="F137" s="98" t="str">
        <f>HYPERLINK("https://i.ytimg.com/vi/cT58QBtFwzk/default.jpg")</f>
        <v>https://i.ytimg.com/vi/cT58QBtFwzk/default.jpg</v>
      </c>
      <c r="G137" s="100"/>
      <c r="H137" s="69" t="s">
        <v>727</v>
      </c>
      <c r="I137" s="70"/>
      <c r="J137" s="104" t="s">
        <v>75</v>
      </c>
      <c r="K137" s="69" t="s">
        <v>727</v>
      </c>
      <c r="L137" s="105">
        <v>1.4963147749783978</v>
      </c>
      <c r="M137" s="74">
        <v>4692.67529296875</v>
      </c>
      <c r="N137" s="74">
        <v>4687.60009765625</v>
      </c>
      <c r="O137" s="75"/>
      <c r="P137" s="76"/>
      <c r="Q137" s="76"/>
      <c r="R137" s="106"/>
      <c r="S137" s="48">
        <v>9</v>
      </c>
      <c r="T137" s="48">
        <v>0</v>
      </c>
      <c r="U137" s="49">
        <v>6.932841</v>
      </c>
      <c r="V137" s="49">
        <v>0.105223</v>
      </c>
      <c r="W137" s="107"/>
      <c r="X137" s="50"/>
      <c r="Y137" s="50"/>
      <c r="Z137" s="49">
        <v>0</v>
      </c>
      <c r="AA137" s="71">
        <v>137</v>
      </c>
      <c r="AB137" s="71"/>
      <c r="AC137" s="72"/>
      <c r="AD137" s="79" t="s">
        <v>727</v>
      </c>
      <c r="AE137" s="79" t="s">
        <v>1089</v>
      </c>
      <c r="AF137" s="79"/>
      <c r="AG137" s="79" t="s">
        <v>1562</v>
      </c>
      <c r="AH137" s="79" t="s">
        <v>1782</v>
      </c>
      <c r="AI137" s="79">
        <v>2</v>
      </c>
      <c r="AJ137" s="79">
        <v>0</v>
      </c>
      <c r="AK137" s="79">
        <v>0</v>
      </c>
      <c r="AL137" s="79">
        <v>0</v>
      </c>
      <c r="AM137" s="79" t="s">
        <v>2092</v>
      </c>
      <c r="AN137" s="114" t="str">
        <f>HYPERLINK("https://www.youtube.com/watch?v=cT58QBtFwzk")</f>
        <v>https://www.youtube.com/watch?v=cT58QBtFwzk</v>
      </c>
      <c r="AO137" s="78" t="str">
        <f>REPLACE(INDEX(GroupVertices[Group],MATCH(Vertices[[#This Row],[Vertex]],GroupVertices[Vertex],0)),1,1,"")</f>
        <v>nlineCEUCredit</v>
      </c>
      <c r="AP137" s="2"/>
      <c r="AQ137" s="3"/>
      <c r="AR137" s="3"/>
      <c r="AS137" s="3"/>
      <c r="AT137" s="3"/>
    </row>
    <row r="138" spans="1:46" ht="15">
      <c r="A138" s="64" t="s">
        <v>295</v>
      </c>
      <c r="B138" s="65"/>
      <c r="C138" s="65"/>
      <c r="D138" s="66">
        <v>150</v>
      </c>
      <c r="E138" s="102">
        <v>97.85714285714286</v>
      </c>
      <c r="F138" s="98" t="str">
        <f>HYPERLINK("https://i.ytimg.com/vi/tXuaunUqvGM/default.jpg")</f>
        <v>https://i.ytimg.com/vi/tXuaunUqvGM/default.jpg</v>
      </c>
      <c r="G138" s="100"/>
      <c r="H138" s="69" t="s">
        <v>688</v>
      </c>
      <c r="I138" s="70"/>
      <c r="J138" s="104" t="s">
        <v>159</v>
      </c>
      <c r="K138" s="69" t="s">
        <v>688</v>
      </c>
      <c r="L138" s="105">
        <v>1</v>
      </c>
      <c r="M138" s="74">
        <v>7362.5361328125</v>
      </c>
      <c r="N138" s="74">
        <v>3470.55078125</v>
      </c>
      <c r="O138" s="75"/>
      <c r="P138" s="76"/>
      <c r="Q138" s="76"/>
      <c r="R138" s="106"/>
      <c r="S138" s="48">
        <v>1</v>
      </c>
      <c r="T138" s="48">
        <v>0</v>
      </c>
      <c r="U138" s="49">
        <v>0</v>
      </c>
      <c r="V138" s="49">
        <v>0.011524</v>
      </c>
      <c r="W138" s="107"/>
      <c r="X138" s="50"/>
      <c r="Y138" s="50"/>
      <c r="Z138" s="49">
        <v>0</v>
      </c>
      <c r="AA138" s="71">
        <v>138</v>
      </c>
      <c r="AB138" s="71"/>
      <c r="AC138" s="72"/>
      <c r="AD138" s="79" t="s">
        <v>688</v>
      </c>
      <c r="AE138" s="79"/>
      <c r="AF138" s="79"/>
      <c r="AG138" s="79" t="s">
        <v>1546</v>
      </c>
      <c r="AH138" s="79" t="s">
        <v>1743</v>
      </c>
      <c r="AI138" s="79">
        <v>6</v>
      </c>
      <c r="AJ138" s="79">
        <v>0</v>
      </c>
      <c r="AK138" s="79">
        <v>0</v>
      </c>
      <c r="AL138" s="79">
        <v>0</v>
      </c>
      <c r="AM138" s="79" t="s">
        <v>2092</v>
      </c>
      <c r="AN138" s="114" t="str">
        <f>HYPERLINK("https://www.youtube.com/watch?v=tXuaunUqvGM")</f>
        <v>https://www.youtube.com/watch?v=tXuaunUqvGM</v>
      </c>
      <c r="AO138" s="78" t="str">
        <f>REPLACE(INDEX(GroupVertices[Group],MATCH(Vertices[[#This Row],[Vertex]],GroupVertices[Vertex],0)),1,1,"")</f>
        <v>ai maji kalubai</v>
      </c>
      <c r="AP138" s="2"/>
      <c r="AQ138" s="3"/>
      <c r="AR138" s="3"/>
      <c r="AS138" s="3"/>
      <c r="AT138" s="3"/>
    </row>
    <row r="139" spans="1:46" ht="15">
      <c r="A139" s="64" t="s">
        <v>296</v>
      </c>
      <c r="B139" s="65"/>
      <c r="C139" s="65"/>
      <c r="D139" s="66">
        <v>150</v>
      </c>
      <c r="E139" s="102">
        <v>97.85714285714286</v>
      </c>
      <c r="F139" s="98" t="str">
        <f>HYPERLINK("https://i.ytimg.com/vi/heTBvSZRwdE/default.jpg")</f>
        <v>https://i.ytimg.com/vi/heTBvSZRwdE/default.jpg</v>
      </c>
      <c r="G139" s="100"/>
      <c r="H139" s="69" t="s">
        <v>689</v>
      </c>
      <c r="I139" s="70"/>
      <c r="J139" s="104" t="s">
        <v>159</v>
      </c>
      <c r="K139" s="69" t="s">
        <v>689</v>
      </c>
      <c r="L139" s="105">
        <v>1</v>
      </c>
      <c r="M139" s="74">
        <v>6642.71728515625</v>
      </c>
      <c r="N139" s="74">
        <v>3096.9169921875</v>
      </c>
      <c r="O139" s="75"/>
      <c r="P139" s="76"/>
      <c r="Q139" s="76"/>
      <c r="R139" s="106"/>
      <c r="S139" s="48">
        <v>1</v>
      </c>
      <c r="T139" s="48">
        <v>0</v>
      </c>
      <c r="U139" s="49">
        <v>0</v>
      </c>
      <c r="V139" s="49">
        <v>0.011524</v>
      </c>
      <c r="W139" s="107"/>
      <c r="X139" s="50"/>
      <c r="Y139" s="50"/>
      <c r="Z139" s="49">
        <v>0</v>
      </c>
      <c r="AA139" s="71">
        <v>139</v>
      </c>
      <c r="AB139" s="71"/>
      <c r="AC139" s="72"/>
      <c r="AD139" s="79" t="s">
        <v>689</v>
      </c>
      <c r="AE139" s="79"/>
      <c r="AF139" s="79"/>
      <c r="AG139" s="79" t="s">
        <v>1547</v>
      </c>
      <c r="AH139" s="79" t="s">
        <v>1744</v>
      </c>
      <c r="AI139" s="79">
        <v>63</v>
      </c>
      <c r="AJ139" s="79">
        <v>3</v>
      </c>
      <c r="AK139" s="79">
        <v>10</v>
      </c>
      <c r="AL139" s="79">
        <v>0</v>
      </c>
      <c r="AM139" s="79" t="s">
        <v>2092</v>
      </c>
      <c r="AN139" s="114" t="str">
        <f>HYPERLINK("https://www.youtube.com/watch?v=heTBvSZRwdE")</f>
        <v>https://www.youtube.com/watch?v=heTBvSZRwdE</v>
      </c>
      <c r="AO139" s="78" t="str">
        <f>REPLACE(INDEX(GroupVertices[Group],MATCH(Vertices[[#This Row],[Vertex]],GroupVertices[Vertex],0)),1,1,"")</f>
        <v>umpa roy</v>
      </c>
      <c r="AP139" s="2"/>
      <c r="AQ139" s="3"/>
      <c r="AR139" s="3"/>
      <c r="AS139" s="3"/>
      <c r="AT139" s="3"/>
    </row>
    <row r="140" spans="1:46" ht="15">
      <c r="A140" s="64" t="s">
        <v>2156</v>
      </c>
      <c r="B140" s="65"/>
      <c r="C140" s="65"/>
      <c r="D140" s="66">
        <v>150</v>
      </c>
      <c r="E140" s="102">
        <v>97.85714285714286</v>
      </c>
      <c r="F140" s="98" t="str">
        <f>HYPERLINK("https://i.ytimg.com/vi/SqO3CU-WSyE/default.jpg")</f>
        <v>https://i.ytimg.com/vi/SqO3CU-WSyE/default.jpg</v>
      </c>
      <c r="G140" s="100"/>
      <c r="H140" s="69" t="s">
        <v>2633</v>
      </c>
      <c r="I140" s="70"/>
      <c r="J140" s="104" t="s">
        <v>159</v>
      </c>
      <c r="K140" s="69" t="s">
        <v>2633</v>
      </c>
      <c r="L140" s="105">
        <v>1</v>
      </c>
      <c r="M140" s="74">
        <v>7405.38134765625</v>
      </c>
      <c r="N140" s="74">
        <v>2914.355224609375</v>
      </c>
      <c r="O140" s="75"/>
      <c r="P140" s="76"/>
      <c r="Q140" s="76"/>
      <c r="R140" s="106"/>
      <c r="S140" s="48">
        <v>1</v>
      </c>
      <c r="T140" s="48">
        <v>0</v>
      </c>
      <c r="U140" s="49">
        <v>0</v>
      </c>
      <c r="V140" s="49">
        <v>0.011524</v>
      </c>
      <c r="W140" s="107"/>
      <c r="X140" s="50"/>
      <c r="Y140" s="50"/>
      <c r="Z140" s="49">
        <v>0</v>
      </c>
      <c r="AA140" s="71">
        <v>140</v>
      </c>
      <c r="AB140" s="71"/>
      <c r="AC140" s="72"/>
      <c r="AD140" s="79" t="s">
        <v>2633</v>
      </c>
      <c r="AE140" s="79"/>
      <c r="AF140" s="79"/>
      <c r="AG140" s="79" t="s">
        <v>3718</v>
      </c>
      <c r="AH140" s="79" t="s">
        <v>3999</v>
      </c>
      <c r="AI140" s="79">
        <v>9</v>
      </c>
      <c r="AJ140" s="79">
        <v>0</v>
      </c>
      <c r="AK140" s="79">
        <v>1</v>
      </c>
      <c r="AL140" s="79">
        <v>0</v>
      </c>
      <c r="AM140" s="79" t="s">
        <v>2092</v>
      </c>
      <c r="AN140" s="114" t="str">
        <f>HYPERLINK("https://www.youtube.com/watch?v=SqO3CU-WSyE")</f>
        <v>https://www.youtube.com/watch?v=SqO3CU-WSyE</v>
      </c>
      <c r="AO140" s="78" t="str">
        <f>REPLACE(INDEX(GroupVertices[Group],MATCH(Vertices[[#This Row],[Vertex]],GroupVertices[Vertex],0)),1,1,"")</f>
        <v>nsuiya Singh</v>
      </c>
      <c r="AP140" s="2"/>
      <c r="AQ140" s="3"/>
      <c r="AR140" s="3"/>
      <c r="AS140" s="3"/>
      <c r="AT140" s="3"/>
    </row>
    <row r="141" spans="1:46" ht="15">
      <c r="A141" s="64" t="s">
        <v>297</v>
      </c>
      <c r="B141" s="65"/>
      <c r="C141" s="65"/>
      <c r="D141" s="66">
        <v>150</v>
      </c>
      <c r="E141" s="102">
        <v>97.85714285714286</v>
      </c>
      <c r="F141" s="98" t="str">
        <f>HYPERLINK("https://i.ytimg.com/vi/b2HQVmZ_b3c/default.jpg")</f>
        <v>https://i.ytimg.com/vi/b2HQVmZ_b3c/default.jpg</v>
      </c>
      <c r="G141" s="100"/>
      <c r="H141" s="69" t="s">
        <v>690</v>
      </c>
      <c r="I141" s="70"/>
      <c r="J141" s="104" t="s">
        <v>159</v>
      </c>
      <c r="K141" s="69" t="s">
        <v>690</v>
      </c>
      <c r="L141" s="105">
        <v>1</v>
      </c>
      <c r="M141" s="74">
        <v>7161.27587890625</v>
      </c>
      <c r="N141" s="74">
        <v>3591.5947265625</v>
      </c>
      <c r="O141" s="75"/>
      <c r="P141" s="76"/>
      <c r="Q141" s="76"/>
      <c r="R141" s="106"/>
      <c r="S141" s="48">
        <v>1</v>
      </c>
      <c r="T141" s="48">
        <v>0</v>
      </c>
      <c r="U141" s="49">
        <v>0</v>
      </c>
      <c r="V141" s="49">
        <v>0.011524</v>
      </c>
      <c r="W141" s="107"/>
      <c r="X141" s="50"/>
      <c r="Y141" s="50"/>
      <c r="Z141" s="49">
        <v>0</v>
      </c>
      <c r="AA141" s="71">
        <v>141</v>
      </c>
      <c r="AB141" s="71"/>
      <c r="AC141" s="72"/>
      <c r="AD141" s="79" t="s">
        <v>690</v>
      </c>
      <c r="AE141" s="79" t="s">
        <v>1074</v>
      </c>
      <c r="AF141" s="79"/>
      <c r="AG141" s="79" t="s">
        <v>1548</v>
      </c>
      <c r="AH141" s="79" t="s">
        <v>1745</v>
      </c>
      <c r="AI141" s="79">
        <v>3</v>
      </c>
      <c r="AJ141" s="79">
        <v>0</v>
      </c>
      <c r="AK141" s="79">
        <v>0</v>
      </c>
      <c r="AL141" s="79">
        <v>0</v>
      </c>
      <c r="AM141" s="79" t="s">
        <v>2092</v>
      </c>
      <c r="AN141" s="114" t="str">
        <f>HYPERLINK("https://www.youtube.com/watch?v=b2HQVmZ_b3c")</f>
        <v>https://www.youtube.com/watch?v=b2HQVmZ_b3c</v>
      </c>
      <c r="AO141" s="78" t="str">
        <f>REPLACE(INDEX(GroupVertices[Group],MATCH(Vertices[[#This Row],[Vertex]],GroupVertices[Vertex],0)),1,1,"")</f>
        <v>ita Arvind</v>
      </c>
      <c r="AP141" s="2"/>
      <c r="AQ141" s="3"/>
      <c r="AR141" s="3"/>
      <c r="AS141" s="3"/>
      <c r="AT141" s="3"/>
    </row>
    <row r="142" spans="1:46" ht="15">
      <c r="A142" s="64" t="s">
        <v>2157</v>
      </c>
      <c r="B142" s="65"/>
      <c r="C142" s="65"/>
      <c r="D142" s="66">
        <v>150</v>
      </c>
      <c r="E142" s="102">
        <v>97.85714285714286</v>
      </c>
      <c r="F142" s="98" t="str">
        <f>HYPERLINK("https://i.ytimg.com/vi/bppYPEo8-Z8/default.jpg")</f>
        <v>https://i.ytimg.com/vi/bppYPEo8-Z8/default.jpg</v>
      </c>
      <c r="G142" s="100"/>
      <c r="H142" s="69" t="s">
        <v>2634</v>
      </c>
      <c r="I142" s="70"/>
      <c r="J142" s="104" t="s">
        <v>159</v>
      </c>
      <c r="K142" s="69" t="s">
        <v>2634</v>
      </c>
      <c r="L142" s="105">
        <v>1</v>
      </c>
      <c r="M142" s="74">
        <v>7656.5302734375</v>
      </c>
      <c r="N142" s="74">
        <v>2535.113525390625</v>
      </c>
      <c r="O142" s="75"/>
      <c r="P142" s="76"/>
      <c r="Q142" s="76"/>
      <c r="R142" s="106"/>
      <c r="S142" s="48">
        <v>1</v>
      </c>
      <c r="T142" s="48">
        <v>0</v>
      </c>
      <c r="U142" s="49">
        <v>0</v>
      </c>
      <c r="V142" s="49">
        <v>0.011524</v>
      </c>
      <c r="W142" s="107"/>
      <c r="X142" s="50"/>
      <c r="Y142" s="50"/>
      <c r="Z142" s="49">
        <v>0</v>
      </c>
      <c r="AA142" s="71">
        <v>142</v>
      </c>
      <c r="AB142" s="71"/>
      <c r="AC142" s="72"/>
      <c r="AD142" s="79" t="s">
        <v>2634</v>
      </c>
      <c r="AE142" s="79"/>
      <c r="AF142" s="79"/>
      <c r="AG142" s="79" t="s">
        <v>1551</v>
      </c>
      <c r="AH142" s="79" t="s">
        <v>4000</v>
      </c>
      <c r="AI142" s="79">
        <v>7</v>
      </c>
      <c r="AJ142" s="79">
        <v>0</v>
      </c>
      <c r="AK142" s="79">
        <v>0</v>
      </c>
      <c r="AL142" s="79">
        <v>0</v>
      </c>
      <c r="AM142" s="79" t="s">
        <v>2092</v>
      </c>
      <c r="AN142" s="114" t="str">
        <f>HYPERLINK("https://www.youtube.com/watch?v=bppYPEo8-Z8")</f>
        <v>https://www.youtube.com/watch?v=bppYPEo8-Z8</v>
      </c>
      <c r="AO142" s="78" t="str">
        <f>REPLACE(INDEX(GroupVertices[Group],MATCH(Vertices[[#This Row],[Vertex]],GroupVertices[Vertex],0)),1,1,"")</f>
        <v>EERTHANA'S English club.</v>
      </c>
      <c r="AP142" s="2"/>
      <c r="AQ142" s="3"/>
      <c r="AR142" s="3"/>
      <c r="AS142" s="3"/>
      <c r="AT142" s="3"/>
    </row>
    <row r="143" spans="1:46" ht="15">
      <c r="A143" s="64" t="s">
        <v>298</v>
      </c>
      <c r="B143" s="65"/>
      <c r="C143" s="65"/>
      <c r="D143" s="66">
        <v>150</v>
      </c>
      <c r="E143" s="102">
        <v>97.85714285714286</v>
      </c>
      <c r="F143" s="98" t="str">
        <f>HYPERLINK("https://i.ytimg.com/vi/zlzeXBQRoGY/default.jpg")</f>
        <v>https://i.ytimg.com/vi/zlzeXBQRoGY/default.jpg</v>
      </c>
      <c r="G143" s="100"/>
      <c r="H143" s="69" t="s">
        <v>691</v>
      </c>
      <c r="I143" s="70"/>
      <c r="J143" s="104" t="s">
        <v>159</v>
      </c>
      <c r="K143" s="69" t="s">
        <v>691</v>
      </c>
      <c r="L143" s="105">
        <v>1</v>
      </c>
      <c r="M143" s="74">
        <v>6930.52294921875</v>
      </c>
      <c r="N143" s="74">
        <v>3525.353759765625</v>
      </c>
      <c r="O143" s="75"/>
      <c r="P143" s="76"/>
      <c r="Q143" s="76"/>
      <c r="R143" s="106"/>
      <c r="S143" s="48">
        <v>1</v>
      </c>
      <c r="T143" s="48">
        <v>0</v>
      </c>
      <c r="U143" s="49">
        <v>0</v>
      </c>
      <c r="V143" s="49">
        <v>0.011524</v>
      </c>
      <c r="W143" s="107"/>
      <c r="X143" s="50"/>
      <c r="Y143" s="50"/>
      <c r="Z143" s="49">
        <v>0</v>
      </c>
      <c r="AA143" s="71">
        <v>143</v>
      </c>
      <c r="AB143" s="71"/>
      <c r="AC143" s="72"/>
      <c r="AD143" s="79" t="s">
        <v>691</v>
      </c>
      <c r="AE143" s="79"/>
      <c r="AF143" s="79"/>
      <c r="AG143" s="79" t="s">
        <v>1549</v>
      </c>
      <c r="AH143" s="79" t="s">
        <v>1746</v>
      </c>
      <c r="AI143" s="79">
        <v>63</v>
      </c>
      <c r="AJ143" s="79">
        <v>0</v>
      </c>
      <c r="AK143" s="79">
        <v>0</v>
      </c>
      <c r="AL143" s="79">
        <v>0</v>
      </c>
      <c r="AM143" s="79" t="s">
        <v>2092</v>
      </c>
      <c r="AN143" s="114" t="str">
        <f>HYPERLINK("https://www.youtube.com/watch?v=zlzeXBQRoGY")</f>
        <v>https://www.youtube.com/watch?v=zlzeXBQRoGY</v>
      </c>
      <c r="AO143" s="78" t="str">
        <f>REPLACE(INDEX(GroupVertices[Group],MATCH(Vertices[[#This Row],[Vertex]],GroupVertices[Vertex],0)),1,1,"")</f>
        <v>itara Dewan</v>
      </c>
      <c r="AP143" s="2"/>
      <c r="AQ143" s="3"/>
      <c r="AR143" s="3"/>
      <c r="AS143" s="3"/>
      <c r="AT143" s="3"/>
    </row>
    <row r="144" spans="1:46" ht="15">
      <c r="A144" s="64" t="s">
        <v>299</v>
      </c>
      <c r="B144" s="65"/>
      <c r="C144" s="65"/>
      <c r="D144" s="66">
        <v>150</v>
      </c>
      <c r="E144" s="102">
        <v>97.85714285714286</v>
      </c>
      <c r="F144" s="98" t="str">
        <f>HYPERLINK("https://i.ytimg.com/vi/XW1JiEploys/default.jpg")</f>
        <v>https://i.ytimg.com/vi/XW1JiEploys/default.jpg</v>
      </c>
      <c r="G144" s="100"/>
      <c r="H144" s="69" t="s">
        <v>2125</v>
      </c>
      <c r="I144" s="70"/>
      <c r="J144" s="104" t="s">
        <v>159</v>
      </c>
      <c r="K144" s="69" t="s">
        <v>2125</v>
      </c>
      <c r="L144" s="105">
        <v>1</v>
      </c>
      <c r="M144" s="74">
        <v>6607.67822265625</v>
      </c>
      <c r="N144" s="74">
        <v>2409.91796875</v>
      </c>
      <c r="O144" s="75"/>
      <c r="P144" s="76"/>
      <c r="Q144" s="76"/>
      <c r="R144" s="106"/>
      <c r="S144" s="48">
        <v>1</v>
      </c>
      <c r="T144" s="48">
        <v>0</v>
      </c>
      <c r="U144" s="49">
        <v>0</v>
      </c>
      <c r="V144" s="49">
        <v>0.011524</v>
      </c>
      <c r="W144" s="107"/>
      <c r="X144" s="50"/>
      <c r="Y144" s="50"/>
      <c r="Z144" s="49">
        <v>0</v>
      </c>
      <c r="AA144" s="71">
        <v>144</v>
      </c>
      <c r="AB144" s="71"/>
      <c r="AC144" s="72"/>
      <c r="AD144" s="112">
        <v>45053</v>
      </c>
      <c r="AE144" s="79"/>
      <c r="AF144" s="79"/>
      <c r="AG144" s="79" t="s">
        <v>1550</v>
      </c>
      <c r="AH144" s="79" t="s">
        <v>1747</v>
      </c>
      <c r="AI144" s="79">
        <v>69</v>
      </c>
      <c r="AJ144" s="79">
        <v>0</v>
      </c>
      <c r="AK144" s="79">
        <v>4</v>
      </c>
      <c r="AL144" s="79">
        <v>0</v>
      </c>
      <c r="AM144" s="79" t="s">
        <v>2092</v>
      </c>
      <c r="AN144" s="114" t="str">
        <f>HYPERLINK("https://www.youtube.com/watch?v=XW1JiEploys")</f>
        <v>https://www.youtube.com/watch?v=XW1JiEploys</v>
      </c>
      <c r="AO144" s="78" t="str">
        <f>REPLACE(INDEX(GroupVertices[Group],MATCH(Vertices[[#This Row],[Vertex]],GroupVertices[Vertex],0)),1,1,"")</f>
        <v>ishu</v>
      </c>
      <c r="AP144" s="2"/>
      <c r="AQ144" s="3"/>
      <c r="AR144" s="3"/>
      <c r="AS144" s="3"/>
      <c r="AT144" s="3"/>
    </row>
    <row r="145" spans="1:46" ht="15">
      <c r="A145" s="64" t="s">
        <v>300</v>
      </c>
      <c r="B145" s="65"/>
      <c r="C145" s="65"/>
      <c r="D145" s="66">
        <v>150</v>
      </c>
      <c r="E145" s="102">
        <v>97.85714285714286</v>
      </c>
      <c r="F145" s="98" t="str">
        <f>HYPERLINK("https://i.ytimg.com/vi/B_HU2zYciwY/default.jpg")</f>
        <v>https://i.ytimg.com/vi/B_HU2zYciwY/default.jpg</v>
      </c>
      <c r="G145" s="100"/>
      <c r="H145" s="69" t="s">
        <v>692</v>
      </c>
      <c r="I145" s="70"/>
      <c r="J145" s="104" t="s">
        <v>159</v>
      </c>
      <c r="K145" s="69" t="s">
        <v>692</v>
      </c>
      <c r="L145" s="105">
        <v>1</v>
      </c>
      <c r="M145" s="74">
        <v>7099.62890625</v>
      </c>
      <c r="N145" s="74">
        <v>1853.262939453125</v>
      </c>
      <c r="O145" s="75"/>
      <c r="P145" s="76"/>
      <c r="Q145" s="76"/>
      <c r="R145" s="106"/>
      <c r="S145" s="48">
        <v>1</v>
      </c>
      <c r="T145" s="48">
        <v>0</v>
      </c>
      <c r="U145" s="49">
        <v>0</v>
      </c>
      <c r="V145" s="49">
        <v>0.011524</v>
      </c>
      <c r="W145" s="107"/>
      <c r="X145" s="50"/>
      <c r="Y145" s="50"/>
      <c r="Z145" s="49">
        <v>0</v>
      </c>
      <c r="AA145" s="71">
        <v>145</v>
      </c>
      <c r="AB145" s="71"/>
      <c r="AC145" s="72"/>
      <c r="AD145" s="79" t="s">
        <v>692</v>
      </c>
      <c r="AE145" s="79"/>
      <c r="AF145" s="79"/>
      <c r="AG145" s="79" t="s">
        <v>1551</v>
      </c>
      <c r="AH145" s="79" t="s">
        <v>1748</v>
      </c>
      <c r="AI145" s="79">
        <v>4</v>
      </c>
      <c r="AJ145" s="79">
        <v>2</v>
      </c>
      <c r="AK145" s="79">
        <v>1</v>
      </c>
      <c r="AL145" s="79">
        <v>0</v>
      </c>
      <c r="AM145" s="79" t="s">
        <v>2092</v>
      </c>
      <c r="AN145" s="114" t="str">
        <f>HYPERLINK("https://www.youtube.com/watch?v=B_HU2zYciwY")</f>
        <v>https://www.youtube.com/watch?v=B_HU2zYciwY</v>
      </c>
      <c r="AO145" s="78" t="str">
        <f>REPLACE(INDEX(GroupVertices[Group],MATCH(Vertices[[#This Row],[Vertex]],GroupVertices[Vertex],0)),1,1,"")</f>
        <v>EERTHANA'S English club.</v>
      </c>
      <c r="AP145" s="2"/>
      <c r="AQ145" s="3"/>
      <c r="AR145" s="3"/>
      <c r="AS145" s="3"/>
      <c r="AT145" s="3"/>
    </row>
    <row r="146" spans="1:46" ht="15">
      <c r="A146" s="64" t="s">
        <v>301</v>
      </c>
      <c r="B146" s="65"/>
      <c r="C146" s="65"/>
      <c r="D146" s="66">
        <v>150</v>
      </c>
      <c r="E146" s="102">
        <v>97.85714285714286</v>
      </c>
      <c r="F146" s="98" t="str">
        <f>HYPERLINK("https://i.ytimg.com/vi/iYoEJsYGI3g/default.jpg")</f>
        <v>https://i.ytimg.com/vi/iYoEJsYGI3g/default.jpg</v>
      </c>
      <c r="G146" s="100"/>
      <c r="H146" s="69" t="s">
        <v>693</v>
      </c>
      <c r="I146" s="70"/>
      <c r="J146" s="104" t="s">
        <v>159</v>
      </c>
      <c r="K146" s="69" t="s">
        <v>693</v>
      </c>
      <c r="L146" s="105">
        <v>1</v>
      </c>
      <c r="M146" s="74">
        <v>7088.79345703125</v>
      </c>
      <c r="N146" s="74">
        <v>3188.373779296875</v>
      </c>
      <c r="O146" s="75"/>
      <c r="P146" s="76"/>
      <c r="Q146" s="76"/>
      <c r="R146" s="106"/>
      <c r="S146" s="48">
        <v>1</v>
      </c>
      <c r="T146" s="48">
        <v>0</v>
      </c>
      <c r="U146" s="49">
        <v>0</v>
      </c>
      <c r="V146" s="49">
        <v>0.011524</v>
      </c>
      <c r="W146" s="107"/>
      <c r="X146" s="50"/>
      <c r="Y146" s="50"/>
      <c r="Z146" s="49">
        <v>0</v>
      </c>
      <c r="AA146" s="71">
        <v>146</v>
      </c>
      <c r="AB146" s="71"/>
      <c r="AC146" s="72"/>
      <c r="AD146" s="79" t="s">
        <v>693</v>
      </c>
      <c r="AE146" s="79"/>
      <c r="AF146" s="79"/>
      <c r="AG146" s="79" t="s">
        <v>1552</v>
      </c>
      <c r="AH146" s="79" t="s">
        <v>1749</v>
      </c>
      <c r="AI146" s="79">
        <v>3</v>
      </c>
      <c r="AJ146" s="79">
        <v>0</v>
      </c>
      <c r="AK146" s="79">
        <v>0</v>
      </c>
      <c r="AL146" s="79">
        <v>0</v>
      </c>
      <c r="AM146" s="79" t="s">
        <v>2092</v>
      </c>
      <c r="AN146" s="114" t="str">
        <f>HYPERLINK("https://www.youtube.com/watch?v=iYoEJsYGI3g")</f>
        <v>https://www.youtube.com/watch?v=iYoEJsYGI3g</v>
      </c>
      <c r="AO146" s="78" t="str">
        <f>REPLACE(INDEX(GroupVertices[Group],MATCH(Vertices[[#This Row],[Vertex]],GroupVertices[Vertex],0)),1,1,"")</f>
        <v>014 Ankita Gujran</v>
      </c>
      <c r="AP146" s="2"/>
      <c r="AQ146" s="3"/>
      <c r="AR146" s="3"/>
      <c r="AS146" s="3"/>
      <c r="AT146" s="3"/>
    </row>
    <row r="147" spans="1:46" ht="15">
      <c r="A147" s="64" t="s">
        <v>302</v>
      </c>
      <c r="B147" s="65"/>
      <c r="C147" s="65"/>
      <c r="D147" s="66">
        <v>150</v>
      </c>
      <c r="E147" s="102">
        <v>97.85714285714286</v>
      </c>
      <c r="F147" s="98" t="str">
        <f>HYPERLINK("https://i.ytimg.com/vi/dkDazMMN5zU/default.jpg")</f>
        <v>https://i.ytimg.com/vi/dkDazMMN5zU/default.jpg</v>
      </c>
      <c r="G147" s="100"/>
      <c r="H147" s="69" t="s">
        <v>694</v>
      </c>
      <c r="I147" s="70"/>
      <c r="J147" s="104" t="s">
        <v>159</v>
      </c>
      <c r="K147" s="69" t="s">
        <v>694</v>
      </c>
      <c r="L147" s="105">
        <v>1</v>
      </c>
      <c r="M147" s="74">
        <v>7098.0703125</v>
      </c>
      <c r="N147" s="74">
        <v>2255.721435546875</v>
      </c>
      <c r="O147" s="75"/>
      <c r="P147" s="76"/>
      <c r="Q147" s="76"/>
      <c r="R147" s="106"/>
      <c r="S147" s="48">
        <v>1</v>
      </c>
      <c r="T147" s="48">
        <v>0</v>
      </c>
      <c r="U147" s="49">
        <v>0</v>
      </c>
      <c r="V147" s="49">
        <v>0.011524</v>
      </c>
      <c r="W147" s="107"/>
      <c r="X147" s="50"/>
      <c r="Y147" s="50"/>
      <c r="Z147" s="49">
        <v>0</v>
      </c>
      <c r="AA147" s="71">
        <v>147</v>
      </c>
      <c r="AB147" s="71"/>
      <c r="AC147" s="72"/>
      <c r="AD147" s="79" t="s">
        <v>694</v>
      </c>
      <c r="AE147" s="79" t="s">
        <v>694</v>
      </c>
      <c r="AF147" s="79"/>
      <c r="AG147" s="79" t="s">
        <v>1553</v>
      </c>
      <c r="AH147" s="79" t="s">
        <v>1750</v>
      </c>
      <c r="AI147" s="79">
        <v>143</v>
      </c>
      <c r="AJ147" s="79">
        <v>1</v>
      </c>
      <c r="AK147" s="79">
        <v>0</v>
      </c>
      <c r="AL147" s="79">
        <v>0</v>
      </c>
      <c r="AM147" s="79" t="s">
        <v>2092</v>
      </c>
      <c r="AN147" s="114" t="str">
        <f>HYPERLINK("https://www.youtube.com/watch?v=dkDazMMN5zU")</f>
        <v>https://www.youtube.com/watch?v=dkDazMMN5zU</v>
      </c>
      <c r="AO147" s="78" t="str">
        <f>REPLACE(INDEX(GroupVertices[Group],MATCH(Vertices[[#This Row],[Vertex]],GroupVertices[Vertex],0)),1,1,"")</f>
        <v>aughtynehavlogs</v>
      </c>
      <c r="AP147" s="2"/>
      <c r="AQ147" s="3"/>
      <c r="AR147" s="3"/>
      <c r="AS147" s="3"/>
      <c r="AT147" s="3"/>
    </row>
    <row r="148" spans="1:46" ht="15">
      <c r="A148" s="64" t="s">
        <v>303</v>
      </c>
      <c r="B148" s="65"/>
      <c r="C148" s="65"/>
      <c r="D148" s="66">
        <v>150</v>
      </c>
      <c r="E148" s="102">
        <v>97.85714285714286</v>
      </c>
      <c r="F148" s="98" t="str">
        <f>HYPERLINK("https://i.ytimg.com/vi/pze1xw9VrBU/default.jpg")</f>
        <v>https://i.ytimg.com/vi/pze1xw9VrBU/default.jpg</v>
      </c>
      <c r="G148" s="100"/>
      <c r="H148" s="69" t="s">
        <v>695</v>
      </c>
      <c r="I148" s="70"/>
      <c r="J148" s="104" t="s">
        <v>159</v>
      </c>
      <c r="K148" s="69" t="s">
        <v>695</v>
      </c>
      <c r="L148" s="105">
        <v>1</v>
      </c>
      <c r="M148" s="74">
        <v>7649.92724609375</v>
      </c>
      <c r="N148" s="74">
        <v>2924.42236328125</v>
      </c>
      <c r="O148" s="75"/>
      <c r="P148" s="76"/>
      <c r="Q148" s="76"/>
      <c r="R148" s="106"/>
      <c r="S148" s="48">
        <v>1</v>
      </c>
      <c r="T148" s="48">
        <v>0</v>
      </c>
      <c r="U148" s="49">
        <v>0</v>
      </c>
      <c r="V148" s="49">
        <v>0.011524</v>
      </c>
      <c r="W148" s="107"/>
      <c r="X148" s="50"/>
      <c r="Y148" s="50"/>
      <c r="Z148" s="49">
        <v>0</v>
      </c>
      <c r="AA148" s="71">
        <v>148</v>
      </c>
      <c r="AB148" s="71"/>
      <c r="AC148" s="72"/>
      <c r="AD148" s="79" t="s">
        <v>695</v>
      </c>
      <c r="AE148" s="79" t="s">
        <v>1075</v>
      </c>
      <c r="AF148" s="79" t="s">
        <v>1337</v>
      </c>
      <c r="AG148" s="79" t="s">
        <v>1554</v>
      </c>
      <c r="AH148" s="79" t="s">
        <v>1751</v>
      </c>
      <c r="AI148" s="79">
        <v>22</v>
      </c>
      <c r="AJ148" s="79">
        <v>0</v>
      </c>
      <c r="AK148" s="79">
        <v>0</v>
      </c>
      <c r="AL148" s="79">
        <v>0</v>
      </c>
      <c r="AM148" s="79" t="s">
        <v>2092</v>
      </c>
      <c r="AN148" s="114" t="str">
        <f>HYPERLINK("https://www.youtube.com/watch?v=pze1xw9VrBU")</f>
        <v>https://www.youtube.com/watch?v=pze1xw9VrBU</v>
      </c>
      <c r="AO148" s="78" t="str">
        <f>REPLACE(INDEX(GroupVertices[Group],MATCH(Vertices[[#This Row],[Vertex]],GroupVertices[Vertex],0)),1,1,"")</f>
        <v>neha Dongare</v>
      </c>
      <c r="AP148" s="2"/>
      <c r="AQ148" s="3"/>
      <c r="AR148" s="3"/>
      <c r="AS148" s="3"/>
      <c r="AT148" s="3"/>
    </row>
    <row r="149" spans="1:46" ht="15">
      <c r="A149" s="64" t="s">
        <v>304</v>
      </c>
      <c r="B149" s="65"/>
      <c r="C149" s="65"/>
      <c r="D149" s="66">
        <v>150</v>
      </c>
      <c r="E149" s="102">
        <v>97.85714285714286</v>
      </c>
      <c r="F149" s="98" t="str">
        <f>HYPERLINK("https://i.ytimg.com/vi/tAFtPy5PaAk/default.jpg")</f>
        <v>https://i.ytimg.com/vi/tAFtPy5PaAk/default.jpg</v>
      </c>
      <c r="G149" s="100"/>
      <c r="H149" s="69" t="s">
        <v>696</v>
      </c>
      <c r="I149" s="70"/>
      <c r="J149" s="104" t="s">
        <v>159</v>
      </c>
      <c r="K149" s="69" t="s">
        <v>696</v>
      </c>
      <c r="L149" s="105">
        <v>1</v>
      </c>
      <c r="M149" s="74">
        <v>6832.89599609375</v>
      </c>
      <c r="N149" s="74">
        <v>2720.402099609375</v>
      </c>
      <c r="O149" s="75"/>
      <c r="P149" s="76"/>
      <c r="Q149" s="76"/>
      <c r="R149" s="106"/>
      <c r="S149" s="48">
        <v>1</v>
      </c>
      <c r="T149" s="48">
        <v>0</v>
      </c>
      <c r="U149" s="49">
        <v>0</v>
      </c>
      <c r="V149" s="49">
        <v>0.011524</v>
      </c>
      <c r="W149" s="107"/>
      <c r="X149" s="50"/>
      <c r="Y149" s="50"/>
      <c r="Z149" s="49">
        <v>0</v>
      </c>
      <c r="AA149" s="71">
        <v>149</v>
      </c>
      <c r="AB149" s="71"/>
      <c r="AC149" s="72"/>
      <c r="AD149" s="79" t="s">
        <v>696</v>
      </c>
      <c r="AE149" s="79"/>
      <c r="AF149" s="79"/>
      <c r="AG149" s="79" t="s">
        <v>1555</v>
      </c>
      <c r="AH149" s="79" t="s">
        <v>1752</v>
      </c>
      <c r="AI149" s="79">
        <v>116</v>
      </c>
      <c r="AJ149" s="79">
        <v>18</v>
      </c>
      <c r="AK149" s="79">
        <v>28</v>
      </c>
      <c r="AL149" s="79">
        <v>0</v>
      </c>
      <c r="AM149" s="79" t="s">
        <v>2092</v>
      </c>
      <c r="AN149" s="114" t="str">
        <f>HYPERLINK("https://www.youtube.com/watch?v=tAFtPy5PaAk")</f>
        <v>https://www.youtube.com/watch?v=tAFtPy5PaAk</v>
      </c>
      <c r="AO149" s="78" t="str">
        <f>REPLACE(INDEX(GroupVertices[Group],MATCH(Vertices[[#This Row],[Vertex]],GroupVertices[Vertex],0)),1,1,"")</f>
        <v>evnandha'</v>
      </c>
      <c r="AP149" s="2"/>
      <c r="AQ149" s="3"/>
      <c r="AR149" s="3"/>
      <c r="AS149" s="3"/>
      <c r="AT149" s="3"/>
    </row>
    <row r="150" spans="1:46" ht="15">
      <c r="A150" s="64" t="s">
        <v>305</v>
      </c>
      <c r="B150" s="65"/>
      <c r="C150" s="65"/>
      <c r="D150" s="66">
        <v>150</v>
      </c>
      <c r="E150" s="102">
        <v>97.85714285714286</v>
      </c>
      <c r="F150" s="98" t="str">
        <f>HYPERLINK("https://i.ytimg.com/vi/mk57k4SMkb4/default.jpg")</f>
        <v>https://i.ytimg.com/vi/mk57k4SMkb4/default.jpg</v>
      </c>
      <c r="G150" s="100"/>
      <c r="H150" s="69" t="s">
        <v>697</v>
      </c>
      <c r="I150" s="70"/>
      <c r="J150" s="104" t="s">
        <v>159</v>
      </c>
      <c r="K150" s="69" t="s">
        <v>697</v>
      </c>
      <c r="L150" s="105">
        <v>1</v>
      </c>
      <c r="M150" s="74">
        <v>6759.93017578125</v>
      </c>
      <c r="N150" s="74">
        <v>3348.04541015625</v>
      </c>
      <c r="O150" s="75"/>
      <c r="P150" s="76"/>
      <c r="Q150" s="76"/>
      <c r="R150" s="106"/>
      <c r="S150" s="48">
        <v>1</v>
      </c>
      <c r="T150" s="48">
        <v>0</v>
      </c>
      <c r="U150" s="49">
        <v>0</v>
      </c>
      <c r="V150" s="49">
        <v>0.011524</v>
      </c>
      <c r="W150" s="107"/>
      <c r="X150" s="50"/>
      <c r="Y150" s="50"/>
      <c r="Z150" s="49">
        <v>0</v>
      </c>
      <c r="AA150" s="71">
        <v>150</v>
      </c>
      <c r="AB150" s="71"/>
      <c r="AC150" s="72"/>
      <c r="AD150" s="79" t="s">
        <v>697</v>
      </c>
      <c r="AE150" s="79"/>
      <c r="AF150" s="79" t="s">
        <v>1338</v>
      </c>
      <c r="AG150" s="79" t="s">
        <v>1556</v>
      </c>
      <c r="AH150" s="79" t="s">
        <v>1753</v>
      </c>
      <c r="AI150" s="79">
        <v>5</v>
      </c>
      <c r="AJ150" s="79">
        <v>0</v>
      </c>
      <c r="AK150" s="79">
        <v>0</v>
      </c>
      <c r="AL150" s="79">
        <v>0</v>
      </c>
      <c r="AM150" s="79" t="s">
        <v>2092</v>
      </c>
      <c r="AN150" s="114" t="str">
        <f>HYPERLINK("https://www.youtube.com/watch?v=mk57k4SMkb4")</f>
        <v>https://www.youtube.com/watch?v=mk57k4SMkb4</v>
      </c>
      <c r="AO150" s="78" t="str">
        <f>REPLACE(INDEX(GroupVertices[Group],MATCH(Vertices[[#This Row],[Vertex]],GroupVertices[Vertex],0)),1,1,"")</f>
        <v>SHLEX</v>
      </c>
      <c r="AP150" s="2"/>
      <c r="AQ150" s="3"/>
      <c r="AR150" s="3"/>
      <c r="AS150" s="3"/>
      <c r="AT150" s="3"/>
    </row>
    <row r="151" spans="1:46" ht="15">
      <c r="A151" s="64" t="s">
        <v>290</v>
      </c>
      <c r="B151" s="65"/>
      <c r="C151" s="65"/>
      <c r="D151" s="66">
        <v>150</v>
      </c>
      <c r="E151" s="102">
        <v>97.85714285714286</v>
      </c>
      <c r="F151" s="98" t="str">
        <f>HYPERLINK("https://i.ytimg.com/vi/JOrRIDX0ZLc/default.jpg")</f>
        <v>https://i.ytimg.com/vi/JOrRIDX0ZLc/default.jpg</v>
      </c>
      <c r="G151" s="100"/>
      <c r="H151" s="69" t="s">
        <v>683</v>
      </c>
      <c r="I151" s="70"/>
      <c r="J151" s="104" t="s">
        <v>159</v>
      </c>
      <c r="K151" s="69" t="s">
        <v>683</v>
      </c>
      <c r="L151" s="105">
        <v>1</v>
      </c>
      <c r="M151" s="74">
        <v>6742.0712890625</v>
      </c>
      <c r="N151" s="74">
        <v>2181.68701171875</v>
      </c>
      <c r="O151" s="75"/>
      <c r="P151" s="76"/>
      <c r="Q151" s="76"/>
      <c r="R151" s="106"/>
      <c r="S151" s="48">
        <v>1</v>
      </c>
      <c r="T151" s="48">
        <v>0</v>
      </c>
      <c r="U151" s="49">
        <v>0</v>
      </c>
      <c r="V151" s="49">
        <v>0.011524</v>
      </c>
      <c r="W151" s="107"/>
      <c r="X151" s="50"/>
      <c r="Y151" s="50"/>
      <c r="Z151" s="49">
        <v>0</v>
      </c>
      <c r="AA151" s="71">
        <v>151</v>
      </c>
      <c r="AB151" s="71"/>
      <c r="AC151" s="72"/>
      <c r="AD151" s="79" t="s">
        <v>683</v>
      </c>
      <c r="AE151" s="79"/>
      <c r="AF151" s="79"/>
      <c r="AG151" s="79" t="s">
        <v>1545</v>
      </c>
      <c r="AH151" s="79" t="s">
        <v>1738</v>
      </c>
      <c r="AI151" s="79">
        <v>29</v>
      </c>
      <c r="AJ151" s="79">
        <v>0</v>
      </c>
      <c r="AK151" s="79">
        <v>2</v>
      </c>
      <c r="AL151" s="79">
        <v>0</v>
      </c>
      <c r="AM151" s="79" t="s">
        <v>2092</v>
      </c>
      <c r="AN151" s="114" t="str">
        <f>HYPERLINK("https://www.youtube.com/watch?v=JOrRIDX0ZLc")</f>
        <v>https://www.youtube.com/watch?v=JOrRIDX0ZLc</v>
      </c>
      <c r="AO151" s="78" t="str">
        <f>REPLACE(INDEX(GroupVertices[Group],MATCH(Vertices[[#This Row],[Vertex]],GroupVertices[Vertex],0)),1,1,"")</f>
        <v>ogi's NURSING- NEST</v>
      </c>
      <c r="AP151" s="2"/>
      <c r="AQ151" s="3"/>
      <c r="AR151" s="3"/>
      <c r="AS151" s="3"/>
      <c r="AT151" s="3"/>
    </row>
    <row r="152" spans="1:46" ht="15">
      <c r="A152" s="64" t="s">
        <v>2158</v>
      </c>
      <c r="B152" s="65"/>
      <c r="C152" s="65"/>
      <c r="D152" s="66">
        <v>150</v>
      </c>
      <c r="E152" s="102">
        <v>97.85714285714286</v>
      </c>
      <c r="F152" s="98" t="str">
        <f>HYPERLINK("https://i.ytimg.com/vi/ymaKjLzY9k4/default.jpg")</f>
        <v>https://i.ytimg.com/vi/ymaKjLzY9k4/default.jpg</v>
      </c>
      <c r="G152" s="100"/>
      <c r="H152" s="69" t="s">
        <v>2635</v>
      </c>
      <c r="I152" s="70"/>
      <c r="J152" s="104" t="s">
        <v>159</v>
      </c>
      <c r="K152" s="69" t="s">
        <v>2635</v>
      </c>
      <c r="L152" s="105">
        <v>1</v>
      </c>
      <c r="M152" s="74">
        <v>6572.30126953125</v>
      </c>
      <c r="N152" s="74">
        <v>2769.02490234375</v>
      </c>
      <c r="O152" s="75"/>
      <c r="P152" s="76"/>
      <c r="Q152" s="76"/>
      <c r="R152" s="106"/>
      <c r="S152" s="48">
        <v>1</v>
      </c>
      <c r="T152" s="48">
        <v>0</v>
      </c>
      <c r="U152" s="49">
        <v>0</v>
      </c>
      <c r="V152" s="49">
        <v>0.011524</v>
      </c>
      <c r="W152" s="107"/>
      <c r="X152" s="50"/>
      <c r="Y152" s="50"/>
      <c r="Z152" s="49">
        <v>0</v>
      </c>
      <c r="AA152" s="71">
        <v>152</v>
      </c>
      <c r="AB152" s="71"/>
      <c r="AC152" s="72"/>
      <c r="AD152" s="79" t="s">
        <v>2635</v>
      </c>
      <c r="AE152" s="79"/>
      <c r="AF152" s="79"/>
      <c r="AG152" s="79" t="s">
        <v>1545</v>
      </c>
      <c r="AH152" s="79" t="s">
        <v>4001</v>
      </c>
      <c r="AI152" s="79">
        <v>53</v>
      </c>
      <c r="AJ152" s="79">
        <v>0</v>
      </c>
      <c r="AK152" s="79">
        <v>7</v>
      </c>
      <c r="AL152" s="79">
        <v>0</v>
      </c>
      <c r="AM152" s="79" t="s">
        <v>2092</v>
      </c>
      <c r="AN152" s="114" t="str">
        <f>HYPERLINK("https://www.youtube.com/watch?v=ymaKjLzY9k4")</f>
        <v>https://www.youtube.com/watch?v=ymaKjLzY9k4</v>
      </c>
      <c r="AO152" s="78" t="str">
        <f>REPLACE(INDEX(GroupVertices[Group],MATCH(Vertices[[#This Row],[Vertex]],GroupVertices[Vertex],0)),1,1,"")</f>
        <v>ogi's NURSING- NEST</v>
      </c>
      <c r="AP152" s="2"/>
      <c r="AQ152" s="3"/>
      <c r="AR152" s="3"/>
      <c r="AS152" s="3"/>
      <c r="AT152" s="3"/>
    </row>
    <row r="153" spans="1:46" ht="15">
      <c r="A153" s="64" t="s">
        <v>291</v>
      </c>
      <c r="B153" s="65"/>
      <c r="C153" s="65"/>
      <c r="D153" s="66">
        <v>150</v>
      </c>
      <c r="E153" s="102">
        <v>97.85714285714286</v>
      </c>
      <c r="F153" s="98" t="str">
        <f>HYPERLINK("https://i.ytimg.com/vi/pViLb3O30vM/default.jpg")</f>
        <v>https://i.ytimg.com/vi/pViLb3O30vM/default.jpg</v>
      </c>
      <c r="G153" s="100"/>
      <c r="H153" s="69" t="s">
        <v>684</v>
      </c>
      <c r="I153" s="70"/>
      <c r="J153" s="104" t="s">
        <v>159</v>
      </c>
      <c r="K153" s="69" t="s">
        <v>684</v>
      </c>
      <c r="L153" s="105">
        <v>1</v>
      </c>
      <c r="M153" s="74">
        <v>7537.3671875</v>
      </c>
      <c r="N153" s="74">
        <v>3270.703125</v>
      </c>
      <c r="O153" s="75"/>
      <c r="P153" s="76"/>
      <c r="Q153" s="76"/>
      <c r="R153" s="106"/>
      <c r="S153" s="48">
        <v>1</v>
      </c>
      <c r="T153" s="48">
        <v>0</v>
      </c>
      <c r="U153" s="49">
        <v>0</v>
      </c>
      <c r="V153" s="49">
        <v>0.011524</v>
      </c>
      <c r="W153" s="107"/>
      <c r="X153" s="50"/>
      <c r="Y153" s="50"/>
      <c r="Z153" s="49">
        <v>0</v>
      </c>
      <c r="AA153" s="71">
        <v>153</v>
      </c>
      <c r="AB153" s="71"/>
      <c r="AC153" s="72"/>
      <c r="AD153" s="79" t="s">
        <v>684</v>
      </c>
      <c r="AE153" s="79" t="s">
        <v>1072</v>
      </c>
      <c r="AF153" s="79"/>
      <c r="AG153" s="79" t="s">
        <v>1545</v>
      </c>
      <c r="AH153" s="79" t="s">
        <v>1739</v>
      </c>
      <c r="AI153" s="79">
        <v>29</v>
      </c>
      <c r="AJ153" s="79">
        <v>0</v>
      </c>
      <c r="AK153" s="79">
        <v>1</v>
      </c>
      <c r="AL153" s="79">
        <v>0</v>
      </c>
      <c r="AM153" s="79" t="s">
        <v>2092</v>
      </c>
      <c r="AN153" s="114" t="str">
        <f>HYPERLINK("https://www.youtube.com/watch?v=pViLb3O30vM")</f>
        <v>https://www.youtube.com/watch?v=pViLb3O30vM</v>
      </c>
      <c r="AO153" s="78" t="str">
        <f>REPLACE(INDEX(GroupVertices[Group],MATCH(Vertices[[#This Row],[Vertex]],GroupVertices[Vertex],0)),1,1,"")</f>
        <v>ogi's NURSING- NEST</v>
      </c>
      <c r="AP153" s="2"/>
      <c r="AQ153" s="3"/>
      <c r="AR153" s="3"/>
      <c r="AS153" s="3"/>
      <c r="AT153" s="3"/>
    </row>
    <row r="154" spans="1:46" ht="15">
      <c r="A154" s="64" t="s">
        <v>292</v>
      </c>
      <c r="B154" s="65"/>
      <c r="C154" s="65"/>
      <c r="D154" s="66">
        <v>150</v>
      </c>
      <c r="E154" s="102">
        <v>97.85714285714286</v>
      </c>
      <c r="F154" s="98" t="str">
        <f>HYPERLINK("https://i.ytimg.com/vi/Mdqjg5wvam0/default.jpg")</f>
        <v>https://i.ytimg.com/vi/Mdqjg5wvam0/default.jpg</v>
      </c>
      <c r="G154" s="100"/>
      <c r="H154" s="69" t="s">
        <v>685</v>
      </c>
      <c r="I154" s="70"/>
      <c r="J154" s="104" t="s">
        <v>159</v>
      </c>
      <c r="K154" s="69" t="s">
        <v>685</v>
      </c>
      <c r="L154" s="105">
        <v>1</v>
      </c>
      <c r="M154" s="74">
        <v>7321.11962890625</v>
      </c>
      <c r="N154" s="74">
        <v>1938.2625732421875</v>
      </c>
      <c r="O154" s="75"/>
      <c r="P154" s="76"/>
      <c r="Q154" s="76"/>
      <c r="R154" s="106"/>
      <c r="S154" s="48">
        <v>1</v>
      </c>
      <c r="T154" s="48">
        <v>0</v>
      </c>
      <c r="U154" s="49">
        <v>0</v>
      </c>
      <c r="V154" s="49">
        <v>0.011524</v>
      </c>
      <c r="W154" s="107"/>
      <c r="X154" s="50"/>
      <c r="Y154" s="50"/>
      <c r="Z154" s="49">
        <v>0</v>
      </c>
      <c r="AA154" s="71">
        <v>154</v>
      </c>
      <c r="AB154" s="71"/>
      <c r="AC154" s="72"/>
      <c r="AD154" s="79" t="s">
        <v>685</v>
      </c>
      <c r="AE154" s="79" t="s">
        <v>1073</v>
      </c>
      <c r="AF154" s="79"/>
      <c r="AG154" s="79" t="s">
        <v>1545</v>
      </c>
      <c r="AH154" s="79" t="s">
        <v>1740</v>
      </c>
      <c r="AI154" s="79">
        <v>818</v>
      </c>
      <c r="AJ154" s="79">
        <v>2</v>
      </c>
      <c r="AK154" s="79">
        <v>26</v>
      </c>
      <c r="AL154" s="79">
        <v>0</v>
      </c>
      <c r="AM154" s="79" t="s">
        <v>2092</v>
      </c>
      <c r="AN154" s="114" t="str">
        <f>HYPERLINK("https://www.youtube.com/watch?v=Mdqjg5wvam0")</f>
        <v>https://www.youtube.com/watch?v=Mdqjg5wvam0</v>
      </c>
      <c r="AO154" s="78" t="str">
        <f>REPLACE(INDEX(GroupVertices[Group],MATCH(Vertices[[#This Row],[Vertex]],GroupVertices[Vertex],0)),1,1,"")</f>
        <v>ogi's NURSING- NEST</v>
      </c>
      <c r="AP154" s="2"/>
      <c r="AQ154" s="3"/>
      <c r="AR154" s="3"/>
      <c r="AS154" s="3"/>
      <c r="AT154" s="3"/>
    </row>
    <row r="155" spans="1:46" ht="15">
      <c r="A155" s="64" t="s">
        <v>293</v>
      </c>
      <c r="B155" s="65"/>
      <c r="C155" s="65"/>
      <c r="D155" s="66">
        <v>150</v>
      </c>
      <c r="E155" s="102">
        <v>97.85714285714286</v>
      </c>
      <c r="F155" s="98" t="str">
        <f>HYPERLINK("https://i.ytimg.com/vi/JzV4y9xOwJc/default.jpg")</f>
        <v>https://i.ytimg.com/vi/JzV4y9xOwJc/default.jpg</v>
      </c>
      <c r="G155" s="100"/>
      <c r="H155" s="69" t="s">
        <v>686</v>
      </c>
      <c r="I155" s="70"/>
      <c r="J155" s="104" t="s">
        <v>159</v>
      </c>
      <c r="K155" s="69" t="s">
        <v>686</v>
      </c>
      <c r="L155" s="105">
        <v>1</v>
      </c>
      <c r="M155" s="74">
        <v>7428.74609375</v>
      </c>
      <c r="N155" s="74">
        <v>2425.30419921875</v>
      </c>
      <c r="O155" s="75"/>
      <c r="P155" s="76"/>
      <c r="Q155" s="76"/>
      <c r="R155" s="106"/>
      <c r="S155" s="48">
        <v>1</v>
      </c>
      <c r="T155" s="48">
        <v>0</v>
      </c>
      <c r="U155" s="49">
        <v>0</v>
      </c>
      <c r="V155" s="49">
        <v>0.011524</v>
      </c>
      <c r="W155" s="107"/>
      <c r="X155" s="50"/>
      <c r="Y155" s="50"/>
      <c r="Z155" s="49">
        <v>0</v>
      </c>
      <c r="AA155" s="71">
        <v>155</v>
      </c>
      <c r="AB155" s="71"/>
      <c r="AC155" s="72"/>
      <c r="AD155" s="79" t="s">
        <v>686</v>
      </c>
      <c r="AE155" s="79" t="s">
        <v>1073</v>
      </c>
      <c r="AF155" s="79"/>
      <c r="AG155" s="79" t="s">
        <v>1545</v>
      </c>
      <c r="AH155" s="79" t="s">
        <v>1741</v>
      </c>
      <c r="AI155" s="79">
        <v>654</v>
      </c>
      <c r="AJ155" s="79">
        <v>0</v>
      </c>
      <c r="AK155" s="79">
        <v>18</v>
      </c>
      <c r="AL155" s="79">
        <v>0</v>
      </c>
      <c r="AM155" s="79" t="s">
        <v>2092</v>
      </c>
      <c r="AN155" s="114" t="str">
        <f>HYPERLINK("https://www.youtube.com/watch?v=JzV4y9xOwJc")</f>
        <v>https://www.youtube.com/watch?v=JzV4y9xOwJc</v>
      </c>
      <c r="AO155" s="78" t="str">
        <f>REPLACE(INDEX(GroupVertices[Group],MATCH(Vertices[[#This Row],[Vertex]],GroupVertices[Vertex],0)),1,1,"")</f>
        <v>ogi's NURSING- NEST</v>
      </c>
      <c r="AP155" s="2"/>
      <c r="AQ155" s="3"/>
      <c r="AR155" s="3"/>
      <c r="AS155" s="3"/>
      <c r="AT155" s="3"/>
    </row>
    <row r="156" spans="1:46" ht="15">
      <c r="A156" s="64" t="s">
        <v>306</v>
      </c>
      <c r="B156" s="65"/>
      <c r="C156" s="65"/>
      <c r="D156" s="66">
        <v>150</v>
      </c>
      <c r="E156" s="102">
        <v>97.85714285714286</v>
      </c>
      <c r="F156" s="98" t="str">
        <f>HYPERLINK("https://i.ytimg.com/vi/POiSDHRTOqA/default.jpg")</f>
        <v>https://i.ytimg.com/vi/POiSDHRTOqA/default.jpg</v>
      </c>
      <c r="G156" s="100"/>
      <c r="H156" s="69" t="s">
        <v>698</v>
      </c>
      <c r="I156" s="70"/>
      <c r="J156" s="104" t="s">
        <v>159</v>
      </c>
      <c r="K156" s="69" t="s">
        <v>698</v>
      </c>
      <c r="L156" s="105">
        <v>1</v>
      </c>
      <c r="M156" s="74">
        <v>6876.5927734375</v>
      </c>
      <c r="N156" s="74">
        <v>1950.6490478515625</v>
      </c>
      <c r="O156" s="75"/>
      <c r="P156" s="76"/>
      <c r="Q156" s="76"/>
      <c r="R156" s="106"/>
      <c r="S156" s="48">
        <v>1</v>
      </c>
      <c r="T156" s="48">
        <v>0</v>
      </c>
      <c r="U156" s="49">
        <v>0</v>
      </c>
      <c r="V156" s="49">
        <v>0.011524</v>
      </c>
      <c r="W156" s="107"/>
      <c r="X156" s="50"/>
      <c r="Y156" s="50"/>
      <c r="Z156" s="49">
        <v>0</v>
      </c>
      <c r="AA156" s="71">
        <v>156</v>
      </c>
      <c r="AB156" s="71"/>
      <c r="AC156" s="72"/>
      <c r="AD156" s="79" t="s">
        <v>698</v>
      </c>
      <c r="AE156" s="79" t="s">
        <v>1073</v>
      </c>
      <c r="AF156" s="79"/>
      <c r="AG156" s="79" t="s">
        <v>1545</v>
      </c>
      <c r="AH156" s="79" t="s">
        <v>1754</v>
      </c>
      <c r="AI156" s="79">
        <v>1789</v>
      </c>
      <c r="AJ156" s="79">
        <v>0</v>
      </c>
      <c r="AK156" s="79">
        <v>56</v>
      </c>
      <c r="AL156" s="79">
        <v>0</v>
      </c>
      <c r="AM156" s="79" t="s">
        <v>2092</v>
      </c>
      <c r="AN156" s="114" t="str">
        <f>HYPERLINK("https://www.youtube.com/watch?v=POiSDHRTOqA")</f>
        <v>https://www.youtube.com/watch?v=POiSDHRTOqA</v>
      </c>
      <c r="AO156" s="78" t="str">
        <f>REPLACE(INDEX(GroupVertices[Group],MATCH(Vertices[[#This Row],[Vertex]],GroupVertices[Vertex],0)),1,1,"")</f>
        <v>ogi's NURSING- NEST</v>
      </c>
      <c r="AP156" s="2"/>
      <c r="AQ156" s="3"/>
      <c r="AR156" s="3"/>
      <c r="AS156" s="3"/>
      <c r="AT156" s="3"/>
    </row>
    <row r="157" spans="1:46" ht="15">
      <c r="A157" s="64" t="s">
        <v>294</v>
      </c>
      <c r="B157" s="65"/>
      <c r="C157" s="65"/>
      <c r="D157" s="66">
        <v>150</v>
      </c>
      <c r="E157" s="102">
        <v>97.85714285714286</v>
      </c>
      <c r="F157" s="98" t="str">
        <f>HYPERLINK("https://i.ytimg.com/vi/EH0s6guGfeg/default.jpg")</f>
        <v>https://i.ytimg.com/vi/EH0s6guGfeg/default.jpg</v>
      </c>
      <c r="G157" s="100"/>
      <c r="H157" s="69" t="s">
        <v>687</v>
      </c>
      <c r="I157" s="70"/>
      <c r="J157" s="104" t="s">
        <v>159</v>
      </c>
      <c r="K157" s="69" t="s">
        <v>687</v>
      </c>
      <c r="L157" s="105">
        <v>1</v>
      </c>
      <c r="M157" s="74">
        <v>7525.9287109375</v>
      </c>
      <c r="N157" s="74">
        <v>2123.305908203125</v>
      </c>
      <c r="O157" s="75"/>
      <c r="P157" s="76"/>
      <c r="Q157" s="76"/>
      <c r="R157" s="106"/>
      <c r="S157" s="48">
        <v>1</v>
      </c>
      <c r="T157" s="48">
        <v>0</v>
      </c>
      <c r="U157" s="49">
        <v>0</v>
      </c>
      <c r="V157" s="49">
        <v>0.011524</v>
      </c>
      <c r="W157" s="107"/>
      <c r="X157" s="50"/>
      <c r="Y157" s="50"/>
      <c r="Z157" s="49">
        <v>0</v>
      </c>
      <c r="AA157" s="71">
        <v>157</v>
      </c>
      <c r="AB157" s="71"/>
      <c r="AC157" s="72"/>
      <c r="AD157" s="79" t="s">
        <v>687</v>
      </c>
      <c r="AE157" s="79" t="s">
        <v>1073</v>
      </c>
      <c r="AF157" s="79"/>
      <c r="AG157" s="79" t="s">
        <v>1545</v>
      </c>
      <c r="AH157" s="79" t="s">
        <v>1742</v>
      </c>
      <c r="AI157" s="79">
        <v>1135</v>
      </c>
      <c r="AJ157" s="79">
        <v>3</v>
      </c>
      <c r="AK157" s="79">
        <v>34</v>
      </c>
      <c r="AL157" s="79">
        <v>0</v>
      </c>
      <c r="AM157" s="79" t="s">
        <v>2092</v>
      </c>
      <c r="AN157" s="114" t="str">
        <f>HYPERLINK("https://www.youtube.com/watch?v=EH0s6guGfeg")</f>
        <v>https://www.youtube.com/watch?v=EH0s6guGfeg</v>
      </c>
      <c r="AO157" s="78" t="str">
        <f>REPLACE(INDEX(GroupVertices[Group],MATCH(Vertices[[#This Row],[Vertex]],GroupVertices[Vertex],0)),1,1,"")</f>
        <v>ogi's NURSING- NEST</v>
      </c>
      <c r="AP157" s="2"/>
      <c r="AQ157" s="3"/>
      <c r="AR157" s="3"/>
      <c r="AS157" s="3"/>
      <c r="AT157" s="3"/>
    </row>
    <row r="158" spans="1:46" ht="15">
      <c r="A158" s="64" t="s">
        <v>2159</v>
      </c>
      <c r="B158" s="65"/>
      <c r="C158" s="65"/>
      <c r="D158" s="66">
        <v>150</v>
      </c>
      <c r="E158" s="102">
        <v>97.85714285714286</v>
      </c>
      <c r="F158" s="98" t="str">
        <f>HYPERLINK("https://i.ytimg.com/vi/QfWifSfd4Rk/default.jpg")</f>
        <v>https://i.ytimg.com/vi/QfWifSfd4Rk/default.jpg</v>
      </c>
      <c r="G158" s="100"/>
      <c r="H158" s="69" t="s">
        <v>2636</v>
      </c>
      <c r="I158" s="70"/>
      <c r="J158" s="104" t="s">
        <v>159</v>
      </c>
      <c r="K158" s="69" t="s">
        <v>2636</v>
      </c>
      <c r="L158" s="105">
        <v>1</v>
      </c>
      <c r="M158" s="74">
        <v>2106.98095703125</v>
      </c>
      <c r="N158" s="74">
        <v>5812.03759765625</v>
      </c>
      <c r="O158" s="75"/>
      <c r="P158" s="76"/>
      <c r="Q158" s="76"/>
      <c r="R158" s="106"/>
      <c r="S158" s="48">
        <v>1</v>
      </c>
      <c r="T158" s="48">
        <v>0</v>
      </c>
      <c r="U158" s="49">
        <v>0</v>
      </c>
      <c r="V158" s="49">
        <v>0.118184</v>
      </c>
      <c r="W158" s="107"/>
      <c r="X158" s="50"/>
      <c r="Y158" s="50"/>
      <c r="Z158" s="49">
        <v>0</v>
      </c>
      <c r="AA158" s="71">
        <v>158</v>
      </c>
      <c r="AB158" s="71"/>
      <c r="AC158" s="72"/>
      <c r="AD158" s="79" t="s">
        <v>2636</v>
      </c>
      <c r="AE158" s="79" t="s">
        <v>3101</v>
      </c>
      <c r="AF158" s="79"/>
      <c r="AG158" s="79" t="s">
        <v>3719</v>
      </c>
      <c r="AH158" s="79" t="s">
        <v>4002</v>
      </c>
      <c r="AI158" s="79">
        <v>32</v>
      </c>
      <c r="AJ158" s="79">
        <v>0</v>
      </c>
      <c r="AK158" s="79">
        <v>0</v>
      </c>
      <c r="AL158" s="79">
        <v>0</v>
      </c>
      <c r="AM158" s="79" t="s">
        <v>2092</v>
      </c>
      <c r="AN158" s="114" t="str">
        <f>HYPERLINK("https://www.youtube.com/watch?v=QfWifSfd4Rk")</f>
        <v>https://www.youtube.com/watch?v=QfWifSfd4Rk</v>
      </c>
      <c r="AO158" s="78" t="str">
        <f>REPLACE(INDEX(GroupVertices[Group],MATCH(Vertices[[#This Row],[Vertex]],GroupVertices[Vertex],0)),1,1,"")</f>
        <v>oel Bickford</v>
      </c>
      <c r="AP158" s="2"/>
      <c r="AQ158" s="3"/>
      <c r="AR158" s="3"/>
      <c r="AS158" s="3"/>
      <c r="AT158" s="3"/>
    </row>
    <row r="159" spans="1:46" ht="15">
      <c r="A159" s="64" t="s">
        <v>2160</v>
      </c>
      <c r="B159" s="65"/>
      <c r="C159" s="65"/>
      <c r="D159" s="66">
        <v>150</v>
      </c>
      <c r="E159" s="102">
        <v>97.85714285714286</v>
      </c>
      <c r="F159" s="98" t="str">
        <f>HYPERLINK("https://i.ytimg.com/vi/RCr1k8v4qJc/default.jpg")</f>
        <v>https://i.ytimg.com/vi/RCr1k8v4qJc/default.jpg</v>
      </c>
      <c r="G159" s="100"/>
      <c r="H159" s="69" t="s">
        <v>2637</v>
      </c>
      <c r="I159" s="70"/>
      <c r="J159" s="104" t="s">
        <v>159</v>
      </c>
      <c r="K159" s="69" t="s">
        <v>2637</v>
      </c>
      <c r="L159" s="105">
        <v>1</v>
      </c>
      <c r="M159" s="74">
        <v>2009.29150390625</v>
      </c>
      <c r="N159" s="74">
        <v>5920.009765625</v>
      </c>
      <c r="O159" s="75"/>
      <c r="P159" s="76"/>
      <c r="Q159" s="76"/>
      <c r="R159" s="106"/>
      <c r="S159" s="48">
        <v>1</v>
      </c>
      <c r="T159" s="48">
        <v>0</v>
      </c>
      <c r="U159" s="49">
        <v>0</v>
      </c>
      <c r="V159" s="49">
        <v>0.118184</v>
      </c>
      <c r="W159" s="107"/>
      <c r="X159" s="50"/>
      <c r="Y159" s="50"/>
      <c r="Z159" s="49">
        <v>0</v>
      </c>
      <c r="AA159" s="71">
        <v>159</v>
      </c>
      <c r="AB159" s="71"/>
      <c r="AC159" s="72"/>
      <c r="AD159" s="79" t="s">
        <v>2637</v>
      </c>
      <c r="AE159" s="79"/>
      <c r="AF159" s="79"/>
      <c r="AG159" s="79" t="s">
        <v>3720</v>
      </c>
      <c r="AH159" s="79" t="s">
        <v>4003</v>
      </c>
      <c r="AI159" s="79">
        <v>19</v>
      </c>
      <c r="AJ159" s="79">
        <v>0</v>
      </c>
      <c r="AK159" s="79">
        <v>5</v>
      </c>
      <c r="AL159" s="79">
        <v>0</v>
      </c>
      <c r="AM159" s="79" t="s">
        <v>2092</v>
      </c>
      <c r="AN159" s="114" t="str">
        <f>HYPERLINK("https://www.youtube.com/watch?v=RCr1k8v4qJc")</f>
        <v>https://www.youtube.com/watch?v=RCr1k8v4qJc</v>
      </c>
      <c r="AO159" s="78" t="str">
        <f>REPLACE(INDEX(GroupVertices[Group],MATCH(Vertices[[#This Row],[Vertex]],GroupVertices[Vertex],0)),1,1,"")</f>
        <v>orks of Little River Baptist Church</v>
      </c>
      <c r="AP159" s="2"/>
      <c r="AQ159" s="3"/>
      <c r="AR159" s="3"/>
      <c r="AS159" s="3"/>
      <c r="AT159" s="3"/>
    </row>
    <row r="160" spans="1:46" ht="15">
      <c r="A160" s="64" t="s">
        <v>347</v>
      </c>
      <c r="B160" s="65"/>
      <c r="C160" s="65"/>
      <c r="D160" s="66">
        <v>150</v>
      </c>
      <c r="E160" s="102">
        <v>91.42857142857143</v>
      </c>
      <c r="F160" s="98" t="str">
        <f>HYPERLINK("https://i.ytimg.com/vi/NtYpCMLqHeQ/default.jpg")</f>
        <v>https://i.ytimg.com/vi/NtYpCMLqHeQ/default.jpg</v>
      </c>
      <c r="G160" s="100"/>
      <c r="H160" s="69" t="s">
        <v>748</v>
      </c>
      <c r="I160" s="70"/>
      <c r="J160" s="104" t="s">
        <v>75</v>
      </c>
      <c r="K160" s="69" t="s">
        <v>748</v>
      </c>
      <c r="L160" s="105">
        <v>1.0770426627195153</v>
      </c>
      <c r="M160" s="74">
        <v>6027.0546875</v>
      </c>
      <c r="N160" s="74">
        <v>5214.99560546875</v>
      </c>
      <c r="O160" s="75"/>
      <c r="P160" s="76"/>
      <c r="Q160" s="76"/>
      <c r="R160" s="106"/>
      <c r="S160" s="48">
        <v>4</v>
      </c>
      <c r="T160" s="48">
        <v>0</v>
      </c>
      <c r="U160" s="49">
        <v>1.076181</v>
      </c>
      <c r="V160" s="49">
        <v>0.104999</v>
      </c>
      <c r="W160" s="107"/>
      <c r="X160" s="50"/>
      <c r="Y160" s="50"/>
      <c r="Z160" s="49">
        <v>0</v>
      </c>
      <c r="AA160" s="71">
        <v>160</v>
      </c>
      <c r="AB160" s="71"/>
      <c r="AC160" s="72"/>
      <c r="AD160" s="79" t="s">
        <v>748</v>
      </c>
      <c r="AE160" s="79" t="s">
        <v>1107</v>
      </c>
      <c r="AF160" s="79"/>
      <c r="AG160" s="79" t="s">
        <v>1562</v>
      </c>
      <c r="AH160" s="79" t="s">
        <v>1804</v>
      </c>
      <c r="AI160" s="79">
        <v>53</v>
      </c>
      <c r="AJ160" s="79">
        <v>0</v>
      </c>
      <c r="AK160" s="79">
        <v>0</v>
      </c>
      <c r="AL160" s="79">
        <v>0</v>
      </c>
      <c r="AM160" s="79" t="s">
        <v>2092</v>
      </c>
      <c r="AN160" s="114" t="str">
        <f>HYPERLINK("https://www.youtube.com/watch?v=NtYpCMLqHeQ")</f>
        <v>https://www.youtube.com/watch?v=NtYpCMLqHeQ</v>
      </c>
      <c r="AO160" s="78" t="str">
        <f>REPLACE(INDEX(GroupVertices[Group],MATCH(Vertices[[#This Row],[Vertex]],GroupVertices[Vertex],0)),1,1,"")</f>
        <v>nlineCEUCredit</v>
      </c>
      <c r="AP160" s="2"/>
      <c r="AQ160" s="3"/>
      <c r="AR160" s="3"/>
      <c r="AS160" s="3"/>
      <c r="AT160" s="3"/>
    </row>
    <row r="161" spans="1:46" ht="15">
      <c r="A161" s="64" t="s">
        <v>393</v>
      </c>
      <c r="B161" s="65"/>
      <c r="C161" s="65"/>
      <c r="D161" s="66">
        <v>150</v>
      </c>
      <c r="E161" s="102">
        <v>97.85714285714286</v>
      </c>
      <c r="F161" s="98" t="str">
        <f>HYPERLINK("https://i.ytimg.com/vi/uOi8fNrPAkc/default.jpg")</f>
        <v>https://i.ytimg.com/vi/uOi8fNrPAkc/default.jpg</v>
      </c>
      <c r="G161" s="100"/>
      <c r="H161" s="69" t="s">
        <v>803</v>
      </c>
      <c r="I161" s="70"/>
      <c r="J161" s="104" t="s">
        <v>159</v>
      </c>
      <c r="K161" s="69" t="s">
        <v>803</v>
      </c>
      <c r="L161" s="105">
        <v>1</v>
      </c>
      <c r="M161" s="74">
        <v>783.843505859375</v>
      </c>
      <c r="N161" s="74">
        <v>3291.3779296875</v>
      </c>
      <c r="O161" s="75"/>
      <c r="P161" s="76"/>
      <c r="Q161" s="76"/>
      <c r="R161" s="106"/>
      <c r="S161" s="48">
        <v>1</v>
      </c>
      <c r="T161" s="48">
        <v>0</v>
      </c>
      <c r="U161" s="49">
        <v>0</v>
      </c>
      <c r="V161" s="49">
        <v>0.126588</v>
      </c>
      <c r="W161" s="107"/>
      <c r="X161" s="50"/>
      <c r="Y161" s="50"/>
      <c r="Z161" s="49">
        <v>0</v>
      </c>
      <c r="AA161" s="71">
        <v>161</v>
      </c>
      <c r="AB161" s="71"/>
      <c r="AC161" s="72"/>
      <c r="AD161" s="79" t="s">
        <v>803</v>
      </c>
      <c r="AE161" s="79" t="s">
        <v>1137</v>
      </c>
      <c r="AF161" s="79"/>
      <c r="AG161" s="79" t="s">
        <v>1587</v>
      </c>
      <c r="AH161" s="79" t="s">
        <v>1858</v>
      </c>
      <c r="AI161" s="79">
        <v>1</v>
      </c>
      <c r="AJ161" s="79">
        <v>0</v>
      </c>
      <c r="AK161" s="79">
        <v>0</v>
      </c>
      <c r="AL161" s="79">
        <v>0</v>
      </c>
      <c r="AM161" s="79" t="s">
        <v>2092</v>
      </c>
      <c r="AN161" s="114" t="str">
        <f>HYPERLINK("https://www.youtube.com/watch?v=uOi8fNrPAkc")</f>
        <v>https://www.youtube.com/watch?v=uOi8fNrPAkc</v>
      </c>
      <c r="AO161" s="78" t="str">
        <f>REPLACE(INDEX(GroupVertices[Group],MATCH(Vertices[[#This Row],[Vertex]],GroupVertices[Vertex],0)),1,1,"")</f>
        <v>outube Dictionary</v>
      </c>
      <c r="AP161" s="2"/>
      <c r="AQ161" s="3"/>
      <c r="AR161" s="3"/>
      <c r="AS161" s="3"/>
      <c r="AT161" s="3"/>
    </row>
    <row r="162" spans="1:46" ht="15">
      <c r="A162" s="64" t="s">
        <v>392</v>
      </c>
      <c r="B162" s="65"/>
      <c r="C162" s="65"/>
      <c r="D162" s="66">
        <v>150</v>
      </c>
      <c r="E162" s="102">
        <v>97.85714285714286</v>
      </c>
      <c r="F162" s="98" t="str">
        <f>HYPERLINK("https://i.ytimg.com/vi/Ne9LarSTueI/default.jpg")</f>
        <v>https://i.ytimg.com/vi/Ne9LarSTueI/default.jpg</v>
      </c>
      <c r="G162" s="100"/>
      <c r="H162" s="69" t="s">
        <v>802</v>
      </c>
      <c r="I162" s="70"/>
      <c r="J162" s="104" t="s">
        <v>159</v>
      </c>
      <c r="K162" s="69" t="s">
        <v>802</v>
      </c>
      <c r="L162" s="105">
        <v>1</v>
      </c>
      <c r="M162" s="74">
        <v>705.9396362304688</v>
      </c>
      <c r="N162" s="74">
        <v>3448.330078125</v>
      </c>
      <c r="O162" s="75"/>
      <c r="P162" s="76"/>
      <c r="Q162" s="76"/>
      <c r="R162" s="106"/>
      <c r="S162" s="48">
        <v>1</v>
      </c>
      <c r="T162" s="48">
        <v>0</v>
      </c>
      <c r="U162" s="49">
        <v>0</v>
      </c>
      <c r="V162" s="49">
        <v>0.126588</v>
      </c>
      <c r="W162" s="107"/>
      <c r="X162" s="50"/>
      <c r="Y162" s="50"/>
      <c r="Z162" s="49">
        <v>0</v>
      </c>
      <c r="AA162" s="71">
        <v>162</v>
      </c>
      <c r="AB162" s="71"/>
      <c r="AC162" s="72"/>
      <c r="AD162" s="79" t="s">
        <v>802</v>
      </c>
      <c r="AE162" s="79"/>
      <c r="AF162" s="79" t="s">
        <v>1386</v>
      </c>
      <c r="AG162" s="79" t="s">
        <v>1516</v>
      </c>
      <c r="AH162" s="79" t="s">
        <v>1857</v>
      </c>
      <c r="AI162" s="79">
        <v>351</v>
      </c>
      <c r="AJ162" s="79">
        <v>4</v>
      </c>
      <c r="AK162" s="79">
        <v>8</v>
      </c>
      <c r="AL162" s="79">
        <v>0</v>
      </c>
      <c r="AM162" s="79" t="s">
        <v>2092</v>
      </c>
      <c r="AN162" s="114" t="str">
        <f>HYPERLINK("https://www.youtube.com/watch?v=Ne9LarSTueI")</f>
        <v>https://www.youtube.com/watch?v=Ne9LarSTueI</v>
      </c>
      <c r="AO162" s="78" t="str">
        <f>REPLACE(INDEX(GroupVertices[Group],MATCH(Vertices[[#This Row],[Vertex]],GroupVertices[Vertex],0)),1,1,"")</f>
        <v>otcaster bot</v>
      </c>
      <c r="AP162" s="2"/>
      <c r="AQ162" s="3"/>
      <c r="AR162" s="3"/>
      <c r="AS162" s="3"/>
      <c r="AT162" s="3"/>
    </row>
    <row r="163" spans="1:46" ht="15">
      <c r="A163" s="64" t="s">
        <v>394</v>
      </c>
      <c r="B163" s="65"/>
      <c r="C163" s="65"/>
      <c r="D163" s="66">
        <v>150</v>
      </c>
      <c r="E163" s="102">
        <v>97.85714285714286</v>
      </c>
      <c r="F163" s="98" t="str">
        <f>HYPERLINK("https://i.ytimg.com/vi/zfOkraUuVig/default.jpg")</f>
        <v>https://i.ytimg.com/vi/zfOkraUuVig/default.jpg</v>
      </c>
      <c r="G163" s="100"/>
      <c r="H163" s="69" t="s">
        <v>804</v>
      </c>
      <c r="I163" s="70"/>
      <c r="J163" s="104" t="s">
        <v>159</v>
      </c>
      <c r="K163" s="69" t="s">
        <v>804</v>
      </c>
      <c r="L163" s="105">
        <v>1</v>
      </c>
      <c r="M163" s="74">
        <v>642.2024536132812</v>
      </c>
      <c r="N163" s="74">
        <v>3584.749267578125</v>
      </c>
      <c r="O163" s="75"/>
      <c r="P163" s="76"/>
      <c r="Q163" s="76"/>
      <c r="R163" s="106"/>
      <c r="S163" s="48">
        <v>1</v>
      </c>
      <c r="T163" s="48">
        <v>0</v>
      </c>
      <c r="U163" s="49">
        <v>0</v>
      </c>
      <c r="V163" s="49">
        <v>0.126588</v>
      </c>
      <c r="W163" s="107"/>
      <c r="X163" s="50"/>
      <c r="Y163" s="50"/>
      <c r="Z163" s="49">
        <v>0</v>
      </c>
      <c r="AA163" s="71">
        <v>163</v>
      </c>
      <c r="AB163" s="71"/>
      <c r="AC163" s="72"/>
      <c r="AD163" s="79" t="s">
        <v>804</v>
      </c>
      <c r="AE163" s="79" t="s">
        <v>1138</v>
      </c>
      <c r="AF163" s="79"/>
      <c r="AG163" s="79" t="s">
        <v>1588</v>
      </c>
      <c r="AH163" s="79" t="s">
        <v>1859</v>
      </c>
      <c r="AI163" s="79">
        <v>0</v>
      </c>
      <c r="AJ163" s="79">
        <v>0</v>
      </c>
      <c r="AK163" s="79">
        <v>0</v>
      </c>
      <c r="AL163" s="79">
        <v>0</v>
      </c>
      <c r="AM163" s="79" t="s">
        <v>2092</v>
      </c>
      <c r="AN163" s="114" t="str">
        <f>HYPERLINK("https://www.youtube.com/watch?v=zfOkraUuVig")</f>
        <v>https://www.youtube.com/watch?v=zfOkraUuVig</v>
      </c>
      <c r="AO163" s="78" t="str">
        <f>REPLACE(INDEX(GroupVertices[Group],MATCH(Vertices[[#This Row],[Vertex]],GroupVertices[Vertex],0)),1,1,"")</f>
        <v>ARE.™️</v>
      </c>
      <c r="AP163" s="2"/>
      <c r="AQ163" s="3"/>
      <c r="AR163" s="3"/>
      <c r="AS163" s="3"/>
      <c r="AT163" s="3"/>
    </row>
    <row r="164" spans="1:46" ht="15">
      <c r="A164" s="64" t="s">
        <v>395</v>
      </c>
      <c r="B164" s="65"/>
      <c r="C164" s="65"/>
      <c r="D164" s="66">
        <v>150</v>
      </c>
      <c r="E164" s="102">
        <v>97.85714285714286</v>
      </c>
      <c r="F164" s="98" t="str">
        <f>HYPERLINK("https://i.ytimg.com/vi/0zwXAzfGnFg/default.jpg")</f>
        <v>https://i.ytimg.com/vi/0zwXAzfGnFg/default.jpg</v>
      </c>
      <c r="G164" s="100"/>
      <c r="H164" s="69" t="s">
        <v>805</v>
      </c>
      <c r="I164" s="70"/>
      <c r="J164" s="104" t="s">
        <v>159</v>
      </c>
      <c r="K164" s="69" t="s">
        <v>805</v>
      </c>
      <c r="L164" s="105">
        <v>1</v>
      </c>
      <c r="M164" s="74">
        <v>901.35009765625</v>
      </c>
      <c r="N164" s="74">
        <v>3382.83251953125</v>
      </c>
      <c r="O164" s="75"/>
      <c r="P164" s="76"/>
      <c r="Q164" s="76"/>
      <c r="R164" s="106"/>
      <c r="S164" s="48">
        <v>1</v>
      </c>
      <c r="T164" s="48">
        <v>0</v>
      </c>
      <c r="U164" s="49">
        <v>0</v>
      </c>
      <c r="V164" s="49">
        <v>0.126588</v>
      </c>
      <c r="W164" s="107"/>
      <c r="X164" s="50"/>
      <c r="Y164" s="50"/>
      <c r="Z164" s="49">
        <v>0</v>
      </c>
      <c r="AA164" s="71">
        <v>164</v>
      </c>
      <c r="AB164" s="71"/>
      <c r="AC164" s="72"/>
      <c r="AD164" s="79" t="s">
        <v>805</v>
      </c>
      <c r="AE164" s="79"/>
      <c r="AF164" s="79"/>
      <c r="AG164" s="79" t="s">
        <v>1589</v>
      </c>
      <c r="AH164" s="79" t="s">
        <v>1860</v>
      </c>
      <c r="AI164" s="79">
        <v>210</v>
      </c>
      <c r="AJ164" s="79">
        <v>0</v>
      </c>
      <c r="AK164" s="79">
        <v>12</v>
      </c>
      <c r="AL164" s="79">
        <v>0</v>
      </c>
      <c r="AM164" s="79" t="s">
        <v>2092</v>
      </c>
      <c r="AN164" s="114" t="str">
        <f>HYPERLINK("https://www.youtube.com/watch?v=0zwXAzfGnFg")</f>
        <v>https://www.youtube.com/watch?v=0zwXAzfGnFg</v>
      </c>
      <c r="AO164" s="78" t="str">
        <f>REPLACE(INDEX(GroupVertices[Group],MATCH(Vertices[[#This Row],[Vertex]],GroupVertices[Vertex],0)),1,1,"")</f>
        <v>he Radiographer</v>
      </c>
      <c r="AP164" s="2"/>
      <c r="AQ164" s="3"/>
      <c r="AR164" s="3"/>
      <c r="AS164" s="3"/>
      <c r="AT164" s="3"/>
    </row>
    <row r="165" spans="1:46" ht="15">
      <c r="A165" s="64" t="s">
        <v>396</v>
      </c>
      <c r="B165" s="65"/>
      <c r="C165" s="65"/>
      <c r="D165" s="66">
        <v>150</v>
      </c>
      <c r="E165" s="102">
        <v>97.85714285714286</v>
      </c>
      <c r="F165" s="98" t="str">
        <f>HYPERLINK("https://i.ytimg.com/vi/oQLlrVcQoPc/default.jpg")</f>
        <v>https://i.ytimg.com/vi/oQLlrVcQoPc/default.jpg</v>
      </c>
      <c r="G165" s="100"/>
      <c r="H165" s="69" t="s">
        <v>806</v>
      </c>
      <c r="I165" s="70"/>
      <c r="J165" s="104" t="s">
        <v>159</v>
      </c>
      <c r="K165" s="69" t="s">
        <v>806</v>
      </c>
      <c r="L165" s="105">
        <v>1</v>
      </c>
      <c r="M165" s="74">
        <v>961.6814575195312</v>
      </c>
      <c r="N165" s="74">
        <v>3204.0380859375</v>
      </c>
      <c r="O165" s="75"/>
      <c r="P165" s="76"/>
      <c r="Q165" s="76"/>
      <c r="R165" s="106"/>
      <c r="S165" s="48">
        <v>1</v>
      </c>
      <c r="T165" s="48">
        <v>0</v>
      </c>
      <c r="U165" s="49">
        <v>0</v>
      </c>
      <c r="V165" s="49">
        <v>0.126588</v>
      </c>
      <c r="W165" s="107"/>
      <c r="X165" s="50"/>
      <c r="Y165" s="50"/>
      <c r="Z165" s="49">
        <v>0</v>
      </c>
      <c r="AA165" s="71">
        <v>165</v>
      </c>
      <c r="AB165" s="71"/>
      <c r="AC165" s="72"/>
      <c r="AD165" s="79" t="s">
        <v>806</v>
      </c>
      <c r="AE165" s="79" t="s">
        <v>1139</v>
      </c>
      <c r="AF165" s="79" t="s">
        <v>1311</v>
      </c>
      <c r="AG165" s="79" t="s">
        <v>1516</v>
      </c>
      <c r="AH165" s="79" t="s">
        <v>1861</v>
      </c>
      <c r="AI165" s="79">
        <v>614</v>
      </c>
      <c r="AJ165" s="79">
        <v>0</v>
      </c>
      <c r="AK165" s="79">
        <v>2</v>
      </c>
      <c r="AL165" s="79">
        <v>0</v>
      </c>
      <c r="AM165" s="79" t="s">
        <v>2092</v>
      </c>
      <c r="AN165" s="114" t="str">
        <f>HYPERLINK("https://www.youtube.com/watch?v=oQLlrVcQoPc")</f>
        <v>https://www.youtube.com/watch?v=oQLlrVcQoPc</v>
      </c>
      <c r="AO165" s="78" t="str">
        <f>REPLACE(INDEX(GroupVertices[Group],MATCH(Vertices[[#This Row],[Vertex]],GroupVertices[Vertex],0)),1,1,"")</f>
        <v>otcaster bot</v>
      </c>
      <c r="AP165" s="2"/>
      <c r="AQ165" s="3"/>
      <c r="AR165" s="3"/>
      <c r="AS165" s="3"/>
      <c r="AT165" s="3"/>
    </row>
    <row r="166" spans="1:46" ht="15">
      <c r="A166" s="64" t="s">
        <v>2161</v>
      </c>
      <c r="B166" s="65"/>
      <c r="C166" s="65"/>
      <c r="D166" s="66">
        <v>150</v>
      </c>
      <c r="E166" s="102">
        <v>95.71428571428571</v>
      </c>
      <c r="F166" s="98" t="str">
        <f>HYPERLINK("https://i.ytimg.com/vi/Dm_GbeOBvzA/default_live.jpg")</f>
        <v>https://i.ytimg.com/vi/Dm_GbeOBvzA/default_live.jpg</v>
      </c>
      <c r="G166" s="100"/>
      <c r="H166" s="69" t="s">
        <v>2638</v>
      </c>
      <c r="I166" s="70"/>
      <c r="J166" s="104" t="s">
        <v>75</v>
      </c>
      <c r="K166" s="69" t="s">
        <v>2638</v>
      </c>
      <c r="L166" s="105">
        <v>1660.4486948854917</v>
      </c>
      <c r="M166" s="74">
        <v>4156.98046875</v>
      </c>
      <c r="N166" s="74">
        <v>8065.70556640625</v>
      </c>
      <c r="O166" s="75"/>
      <c r="P166" s="76"/>
      <c r="Q166" s="76"/>
      <c r="R166" s="106"/>
      <c r="S166" s="48">
        <v>2</v>
      </c>
      <c r="T166" s="48">
        <v>0</v>
      </c>
      <c r="U166" s="49">
        <v>23180.236675</v>
      </c>
      <c r="V166" s="49">
        <v>0.151121</v>
      </c>
      <c r="W166" s="107"/>
      <c r="X166" s="50"/>
      <c r="Y166" s="50"/>
      <c r="Z166" s="49">
        <v>0</v>
      </c>
      <c r="AA166" s="71">
        <v>166</v>
      </c>
      <c r="AB166" s="71"/>
      <c r="AC166" s="72"/>
      <c r="AD166" s="79" t="s">
        <v>2638</v>
      </c>
      <c r="AE166" s="79" t="s">
        <v>3102</v>
      </c>
      <c r="AF166" s="79" t="s">
        <v>3503</v>
      </c>
      <c r="AG166" s="79" t="s">
        <v>3721</v>
      </c>
      <c r="AH166" s="79" t="s">
        <v>4004</v>
      </c>
      <c r="AI166" s="79">
        <v>170</v>
      </c>
      <c r="AJ166" s="79">
        <v>0</v>
      </c>
      <c r="AK166" s="79">
        <v>47</v>
      </c>
      <c r="AL166" s="79">
        <v>0</v>
      </c>
      <c r="AM166" s="79" t="s">
        <v>2092</v>
      </c>
      <c r="AN166" s="114" t="str">
        <f>HYPERLINK("https://www.youtube.com/watch?v=Dm_GbeOBvzA")</f>
        <v>https://www.youtube.com/watch?v=Dm_GbeOBvzA</v>
      </c>
      <c r="AO166" s="78" t="str">
        <f>REPLACE(INDEX(GroupVertices[Group],MATCH(Vertices[[#This Row],[Vertex]],GroupVertices[Vertex],0)),1,1,"")</f>
        <v>LS Online CSIR-NET Life Science, GATE BT&amp;XL, DBT</v>
      </c>
      <c r="AP166" s="2"/>
      <c r="AQ166" s="3"/>
      <c r="AR166" s="3"/>
      <c r="AS166" s="3"/>
      <c r="AT166" s="3"/>
    </row>
    <row r="167" spans="1:46" ht="15">
      <c r="A167" s="64" t="s">
        <v>2162</v>
      </c>
      <c r="B167" s="65"/>
      <c r="C167" s="65"/>
      <c r="D167" s="66">
        <v>150</v>
      </c>
      <c r="E167" s="102">
        <v>97.85714285714286</v>
      </c>
      <c r="F167" s="98" t="str">
        <f>HYPERLINK("https://i.ytimg.com/vi/ge5U5T5W5Ns/default.jpg")</f>
        <v>https://i.ytimg.com/vi/ge5U5T5W5Ns/default.jpg</v>
      </c>
      <c r="G167" s="100"/>
      <c r="H167" s="69" t="s">
        <v>2639</v>
      </c>
      <c r="I167" s="70"/>
      <c r="J167" s="104" t="s">
        <v>159</v>
      </c>
      <c r="K167" s="69" t="s">
        <v>2639</v>
      </c>
      <c r="L167" s="105">
        <v>1</v>
      </c>
      <c r="M167" s="74">
        <v>1846.9893798828125</v>
      </c>
      <c r="N167" s="74">
        <v>7113.2431640625</v>
      </c>
      <c r="O167" s="75"/>
      <c r="P167" s="76"/>
      <c r="Q167" s="76"/>
      <c r="R167" s="106"/>
      <c r="S167" s="48">
        <v>1</v>
      </c>
      <c r="T167" s="48">
        <v>0</v>
      </c>
      <c r="U167" s="49">
        <v>0</v>
      </c>
      <c r="V167" s="49">
        <v>0.18495</v>
      </c>
      <c r="W167" s="107"/>
      <c r="X167" s="50"/>
      <c r="Y167" s="50"/>
      <c r="Z167" s="49">
        <v>0</v>
      </c>
      <c r="AA167" s="71">
        <v>167</v>
      </c>
      <c r="AB167" s="71"/>
      <c r="AC167" s="72"/>
      <c r="AD167" s="79" t="s">
        <v>2639</v>
      </c>
      <c r="AE167" s="79" t="s">
        <v>3104</v>
      </c>
      <c r="AF167" s="79" t="s">
        <v>3504</v>
      </c>
      <c r="AG167" s="79" t="s">
        <v>3722</v>
      </c>
      <c r="AH167" s="79" t="s">
        <v>4005</v>
      </c>
      <c r="AI167" s="79">
        <v>13</v>
      </c>
      <c r="AJ167" s="79">
        <v>0</v>
      </c>
      <c r="AK167" s="79">
        <v>1</v>
      </c>
      <c r="AL167" s="79">
        <v>0</v>
      </c>
      <c r="AM167" s="79" t="s">
        <v>2092</v>
      </c>
      <c r="AN167" s="114" t="str">
        <f>HYPERLINK("https://www.youtube.com/watch?v=ge5U5T5W5Ns")</f>
        <v>https://www.youtube.com/watch?v=ge5U5T5W5Ns</v>
      </c>
      <c r="AO167" s="78" t="str">
        <f>REPLACE(INDEX(GroupVertices[Group],MATCH(Vertices[[#This Row],[Vertex]],GroupVertices[Vertex],0)),1,1,"")</f>
        <v>ife Synergy</v>
      </c>
      <c r="AP167" s="2"/>
      <c r="AQ167" s="3"/>
      <c r="AR167" s="3"/>
      <c r="AS167" s="3"/>
      <c r="AT167" s="3"/>
    </row>
    <row r="168" spans="1:46" ht="15">
      <c r="A168" s="64" t="s">
        <v>2163</v>
      </c>
      <c r="B168" s="65"/>
      <c r="C168" s="65"/>
      <c r="D168" s="66">
        <v>150</v>
      </c>
      <c r="E168" s="102">
        <v>97.85714285714286</v>
      </c>
      <c r="F168" s="98" t="str">
        <f>HYPERLINK("https://i.ytimg.com/vi/ekvXkowIGE0/default.jpg")</f>
        <v>https://i.ytimg.com/vi/ekvXkowIGE0/default.jpg</v>
      </c>
      <c r="G168" s="100"/>
      <c r="H168" s="69" t="s">
        <v>2640</v>
      </c>
      <c r="I168" s="70"/>
      <c r="J168" s="104" t="s">
        <v>159</v>
      </c>
      <c r="K168" s="69" t="s">
        <v>2640</v>
      </c>
      <c r="L168" s="105">
        <v>1</v>
      </c>
      <c r="M168" s="74">
        <v>1790.650390625</v>
      </c>
      <c r="N168" s="74">
        <v>9496.9609375</v>
      </c>
      <c r="O168" s="75"/>
      <c r="P168" s="76"/>
      <c r="Q168" s="76"/>
      <c r="R168" s="106"/>
      <c r="S168" s="48">
        <v>1</v>
      </c>
      <c r="T168" s="48">
        <v>0</v>
      </c>
      <c r="U168" s="49">
        <v>0</v>
      </c>
      <c r="V168" s="49">
        <v>0.18495</v>
      </c>
      <c r="W168" s="107"/>
      <c r="X168" s="50"/>
      <c r="Y168" s="50"/>
      <c r="Z168" s="49">
        <v>0</v>
      </c>
      <c r="AA168" s="71">
        <v>168</v>
      </c>
      <c r="AB168" s="71"/>
      <c r="AC168" s="72"/>
      <c r="AD168" s="79" t="s">
        <v>2640</v>
      </c>
      <c r="AE168" s="79" t="s">
        <v>3105</v>
      </c>
      <c r="AF168" s="79"/>
      <c r="AG168" s="79" t="s">
        <v>3723</v>
      </c>
      <c r="AH168" s="79" t="s">
        <v>4006</v>
      </c>
      <c r="AI168" s="79">
        <v>84</v>
      </c>
      <c r="AJ168" s="79">
        <v>2</v>
      </c>
      <c r="AK168" s="79">
        <v>4</v>
      </c>
      <c r="AL168" s="79">
        <v>0</v>
      </c>
      <c r="AM168" s="79" t="s">
        <v>2092</v>
      </c>
      <c r="AN168" s="114" t="str">
        <f>HYPERLINK("https://www.youtube.com/watch?v=ekvXkowIGE0")</f>
        <v>https://www.youtube.com/watch?v=ekvXkowIGE0</v>
      </c>
      <c r="AO168" s="78" t="str">
        <f>REPLACE(INDEX(GroupVertices[Group],MATCH(Vertices[[#This Row],[Vertex]],GroupVertices[Vertex],0)),1,1,"")</f>
        <v>on morrow</v>
      </c>
      <c r="AP168" s="2"/>
      <c r="AQ168" s="3"/>
      <c r="AR168" s="3"/>
      <c r="AS168" s="3"/>
      <c r="AT168" s="3"/>
    </row>
    <row r="169" spans="1:46" ht="15">
      <c r="A169" s="64" t="s">
        <v>2164</v>
      </c>
      <c r="B169" s="65"/>
      <c r="C169" s="65"/>
      <c r="D169" s="66">
        <v>150</v>
      </c>
      <c r="E169" s="102">
        <v>97.85714285714286</v>
      </c>
      <c r="F169" s="98" t="str">
        <f>HYPERLINK("https://i.ytimg.com/vi/puRYYWllYCA/default.jpg")</f>
        <v>https://i.ytimg.com/vi/puRYYWllYCA/default.jpg</v>
      </c>
      <c r="G169" s="100"/>
      <c r="H169" s="69" t="s">
        <v>2641</v>
      </c>
      <c r="I169" s="70"/>
      <c r="J169" s="104" t="s">
        <v>159</v>
      </c>
      <c r="K169" s="69" t="s">
        <v>2641</v>
      </c>
      <c r="L169" s="105">
        <v>1</v>
      </c>
      <c r="M169" s="74">
        <v>2228.679443359375</v>
      </c>
      <c r="N169" s="74">
        <v>8633.8603515625</v>
      </c>
      <c r="O169" s="75"/>
      <c r="P169" s="76"/>
      <c r="Q169" s="76"/>
      <c r="R169" s="106"/>
      <c r="S169" s="48">
        <v>1</v>
      </c>
      <c r="T169" s="48">
        <v>0</v>
      </c>
      <c r="U169" s="49">
        <v>0</v>
      </c>
      <c r="V169" s="49">
        <v>0.18495</v>
      </c>
      <c r="W169" s="107"/>
      <c r="X169" s="50"/>
      <c r="Y169" s="50"/>
      <c r="Z169" s="49">
        <v>0</v>
      </c>
      <c r="AA169" s="71">
        <v>169</v>
      </c>
      <c r="AB169" s="71"/>
      <c r="AC169" s="72"/>
      <c r="AD169" s="79" t="s">
        <v>2641</v>
      </c>
      <c r="AE169" s="79" t="s">
        <v>3106</v>
      </c>
      <c r="AF169" s="79" t="s">
        <v>2641</v>
      </c>
      <c r="AG169" s="79" t="s">
        <v>3724</v>
      </c>
      <c r="AH169" s="79" t="s">
        <v>4007</v>
      </c>
      <c r="AI169" s="79">
        <v>5</v>
      </c>
      <c r="AJ169" s="79">
        <v>0</v>
      </c>
      <c r="AK169" s="79">
        <v>0</v>
      </c>
      <c r="AL169" s="79">
        <v>0</v>
      </c>
      <c r="AM169" s="79" t="s">
        <v>2092</v>
      </c>
      <c r="AN169" s="114" t="str">
        <f>HYPERLINK("https://www.youtube.com/watch?v=puRYYWllYCA")</f>
        <v>https://www.youtube.com/watch?v=puRYYWllYCA</v>
      </c>
      <c r="AO169" s="78" t="str">
        <f>REPLACE(INDEX(GroupVertices[Group],MATCH(Vertices[[#This Row],[Vertex]],GroupVertices[Vertex],0)),1,1,"")</f>
        <v>arepatron</v>
      </c>
      <c r="AP169" s="2"/>
      <c r="AQ169" s="3"/>
      <c r="AR169" s="3"/>
      <c r="AS169" s="3"/>
      <c r="AT169" s="3"/>
    </row>
    <row r="170" spans="1:46" ht="15">
      <c r="A170" s="64" t="s">
        <v>2165</v>
      </c>
      <c r="B170" s="65"/>
      <c r="C170" s="65"/>
      <c r="D170" s="66">
        <v>150</v>
      </c>
      <c r="E170" s="102">
        <v>97.85714285714286</v>
      </c>
      <c r="F170" s="98" t="str">
        <f>HYPERLINK("https://i.ytimg.com/vi/-dIUMi6wNfY/default.jpg")</f>
        <v>https://i.ytimg.com/vi/-dIUMi6wNfY/default.jpg</v>
      </c>
      <c r="G170" s="100"/>
      <c r="H170" s="69" t="s">
        <v>2642</v>
      </c>
      <c r="I170" s="70"/>
      <c r="J170" s="104" t="s">
        <v>159</v>
      </c>
      <c r="K170" s="69" t="s">
        <v>2642</v>
      </c>
      <c r="L170" s="105">
        <v>1</v>
      </c>
      <c r="M170" s="74">
        <v>1675.9759521484375</v>
      </c>
      <c r="N170" s="74">
        <v>6970.9619140625</v>
      </c>
      <c r="O170" s="75"/>
      <c r="P170" s="76"/>
      <c r="Q170" s="76"/>
      <c r="R170" s="106"/>
      <c r="S170" s="48">
        <v>1</v>
      </c>
      <c r="T170" s="48">
        <v>0</v>
      </c>
      <c r="U170" s="49">
        <v>0</v>
      </c>
      <c r="V170" s="49">
        <v>0.18495</v>
      </c>
      <c r="W170" s="107"/>
      <c r="X170" s="50"/>
      <c r="Y170" s="50"/>
      <c r="Z170" s="49">
        <v>0</v>
      </c>
      <c r="AA170" s="71">
        <v>170</v>
      </c>
      <c r="AB170" s="71"/>
      <c r="AC170" s="72"/>
      <c r="AD170" s="79" t="s">
        <v>2642</v>
      </c>
      <c r="AE170" s="79" t="s">
        <v>3107</v>
      </c>
      <c r="AF170" s="79" t="s">
        <v>3505</v>
      </c>
      <c r="AG170" s="79" t="s">
        <v>3725</v>
      </c>
      <c r="AH170" s="79" t="s">
        <v>4008</v>
      </c>
      <c r="AI170" s="79">
        <v>33</v>
      </c>
      <c r="AJ170" s="79">
        <v>0</v>
      </c>
      <c r="AK170" s="79">
        <v>1</v>
      </c>
      <c r="AL170" s="79">
        <v>0</v>
      </c>
      <c r="AM170" s="79" t="s">
        <v>2092</v>
      </c>
      <c r="AN170" s="114" t="str">
        <f>HYPERLINK("https://www.youtube.com/watch?v=-dIUMi6wNfY")</f>
        <v>https://www.youtube.com/watch?v=-dIUMi6wNfY</v>
      </c>
      <c r="AO170" s="78" t="str">
        <f>REPLACE(INDEX(GroupVertices[Group],MATCH(Vertices[[#This Row],[Vertex]],GroupVertices[Vertex],0)),1,1,"")</f>
        <v>amily First</v>
      </c>
      <c r="AP170" s="2"/>
      <c r="AQ170" s="3"/>
      <c r="AR170" s="3"/>
      <c r="AS170" s="3"/>
      <c r="AT170" s="3"/>
    </row>
    <row r="171" spans="1:46" ht="15">
      <c r="A171" s="64" t="s">
        <v>2166</v>
      </c>
      <c r="B171" s="65"/>
      <c r="C171" s="65"/>
      <c r="D171" s="66">
        <v>150</v>
      </c>
      <c r="E171" s="102">
        <v>97.85714285714286</v>
      </c>
      <c r="F171" s="98" t="str">
        <f>HYPERLINK("https://i.ytimg.com/vi/QRhD7IY71G0/default.jpg")</f>
        <v>https://i.ytimg.com/vi/QRhD7IY71G0/default.jpg</v>
      </c>
      <c r="G171" s="100"/>
      <c r="H171" s="69" t="s">
        <v>2643</v>
      </c>
      <c r="I171" s="70"/>
      <c r="J171" s="104" t="s">
        <v>159</v>
      </c>
      <c r="K171" s="69" t="s">
        <v>2643</v>
      </c>
      <c r="L171" s="105">
        <v>1</v>
      </c>
      <c r="M171" s="74">
        <v>2019.2430419921875</v>
      </c>
      <c r="N171" s="74">
        <v>9530.080078125</v>
      </c>
      <c r="O171" s="75"/>
      <c r="P171" s="76"/>
      <c r="Q171" s="76"/>
      <c r="R171" s="106"/>
      <c r="S171" s="48">
        <v>1</v>
      </c>
      <c r="T171" s="48">
        <v>0</v>
      </c>
      <c r="U171" s="49">
        <v>0</v>
      </c>
      <c r="V171" s="49">
        <v>0.18495</v>
      </c>
      <c r="W171" s="107"/>
      <c r="X171" s="50"/>
      <c r="Y171" s="50"/>
      <c r="Z171" s="49">
        <v>0</v>
      </c>
      <c r="AA171" s="71">
        <v>171</v>
      </c>
      <c r="AB171" s="71"/>
      <c r="AC171" s="72"/>
      <c r="AD171" s="79" t="s">
        <v>2643</v>
      </c>
      <c r="AE171" s="79"/>
      <c r="AF171" s="79"/>
      <c r="AG171" s="79" t="s">
        <v>3726</v>
      </c>
      <c r="AH171" s="79" t="s">
        <v>4009</v>
      </c>
      <c r="AI171" s="79">
        <v>17</v>
      </c>
      <c r="AJ171" s="79">
        <v>0</v>
      </c>
      <c r="AK171" s="79">
        <v>1</v>
      </c>
      <c r="AL171" s="79">
        <v>0</v>
      </c>
      <c r="AM171" s="79" t="s">
        <v>2092</v>
      </c>
      <c r="AN171" s="114" t="str">
        <f>HYPERLINK("https://www.youtube.com/watch?v=QRhD7IY71G0")</f>
        <v>https://www.youtube.com/watch?v=QRhD7IY71G0</v>
      </c>
      <c r="AO171" s="78" t="str">
        <f>REPLACE(INDEX(GroupVertices[Group],MATCH(Vertices[[#This Row],[Vertex]],GroupVertices[Vertex],0)),1,1,"")</f>
        <v>hanbormey Rous</v>
      </c>
      <c r="AP171" s="2"/>
      <c r="AQ171" s="3"/>
      <c r="AR171" s="3"/>
      <c r="AS171" s="3"/>
      <c r="AT171" s="3"/>
    </row>
    <row r="172" spans="1:46" ht="15">
      <c r="A172" s="64" t="s">
        <v>2167</v>
      </c>
      <c r="B172" s="65"/>
      <c r="C172" s="65"/>
      <c r="D172" s="66">
        <v>150</v>
      </c>
      <c r="E172" s="102">
        <v>97.85714285714286</v>
      </c>
      <c r="F172" s="98" t="str">
        <f>HYPERLINK("https://i.ytimg.com/vi/kJiori6Z3dc/default.jpg")</f>
        <v>https://i.ytimg.com/vi/kJiori6Z3dc/default.jpg</v>
      </c>
      <c r="G172" s="100"/>
      <c r="H172" s="69" t="s">
        <v>2644</v>
      </c>
      <c r="I172" s="70"/>
      <c r="J172" s="104" t="s">
        <v>159</v>
      </c>
      <c r="K172" s="69" t="s">
        <v>2644</v>
      </c>
      <c r="L172" s="105">
        <v>1</v>
      </c>
      <c r="M172" s="74">
        <v>1811.6319580078125</v>
      </c>
      <c r="N172" s="74">
        <v>6404.09326171875</v>
      </c>
      <c r="O172" s="75"/>
      <c r="P172" s="76"/>
      <c r="Q172" s="76"/>
      <c r="R172" s="106"/>
      <c r="S172" s="48">
        <v>1</v>
      </c>
      <c r="T172" s="48">
        <v>0</v>
      </c>
      <c r="U172" s="49">
        <v>0</v>
      </c>
      <c r="V172" s="49">
        <v>0.18495</v>
      </c>
      <c r="W172" s="107"/>
      <c r="X172" s="50"/>
      <c r="Y172" s="50"/>
      <c r="Z172" s="49">
        <v>0</v>
      </c>
      <c r="AA172" s="71">
        <v>172</v>
      </c>
      <c r="AB172" s="71"/>
      <c r="AC172" s="72"/>
      <c r="AD172" s="79" t="s">
        <v>2644</v>
      </c>
      <c r="AE172" s="79" t="s">
        <v>3108</v>
      </c>
      <c r="AF172" s="79" t="s">
        <v>3506</v>
      </c>
      <c r="AG172" s="79" t="s">
        <v>3727</v>
      </c>
      <c r="AH172" s="79" t="s">
        <v>4010</v>
      </c>
      <c r="AI172" s="79">
        <v>0</v>
      </c>
      <c r="AJ172" s="79">
        <v>0</v>
      </c>
      <c r="AK172" s="79">
        <v>0</v>
      </c>
      <c r="AL172" s="79">
        <v>0</v>
      </c>
      <c r="AM172" s="79" t="s">
        <v>2092</v>
      </c>
      <c r="AN172" s="114" t="str">
        <f>HYPERLINK("https://www.youtube.com/watch?v=kJiori6Z3dc")</f>
        <v>https://www.youtube.com/watch?v=kJiori6Z3dc</v>
      </c>
      <c r="AO172" s="78" t="str">
        <f>REPLACE(INDEX(GroupVertices[Group],MATCH(Vertices[[#This Row],[Vertex]],GroupVertices[Vertex],0)),1,1,"")</f>
        <v>entian Sovan</v>
      </c>
      <c r="AP172" s="2"/>
      <c r="AQ172" s="3"/>
      <c r="AR172" s="3"/>
      <c r="AS172" s="3"/>
      <c r="AT172" s="3"/>
    </row>
    <row r="173" spans="1:46" ht="15">
      <c r="A173" s="64" t="s">
        <v>2168</v>
      </c>
      <c r="B173" s="65"/>
      <c r="C173" s="65"/>
      <c r="D173" s="66">
        <v>150</v>
      </c>
      <c r="E173" s="102">
        <v>97.85714285714286</v>
      </c>
      <c r="F173" s="98" t="str">
        <f>HYPERLINK("https://i.ytimg.com/vi/AiWaO4CizuU/default.jpg")</f>
        <v>https://i.ytimg.com/vi/AiWaO4CizuU/default.jpg</v>
      </c>
      <c r="G173" s="100"/>
      <c r="H173" s="69" t="s">
        <v>2645</v>
      </c>
      <c r="I173" s="70"/>
      <c r="J173" s="104" t="s">
        <v>159</v>
      </c>
      <c r="K173" s="69" t="s">
        <v>2645</v>
      </c>
      <c r="L173" s="105">
        <v>1</v>
      </c>
      <c r="M173" s="74">
        <v>2065.10888671875</v>
      </c>
      <c r="N173" s="74">
        <v>8835.31640625</v>
      </c>
      <c r="O173" s="75"/>
      <c r="P173" s="76"/>
      <c r="Q173" s="76"/>
      <c r="R173" s="106"/>
      <c r="S173" s="48">
        <v>1</v>
      </c>
      <c r="T173" s="48">
        <v>0</v>
      </c>
      <c r="U173" s="49">
        <v>0</v>
      </c>
      <c r="V173" s="49">
        <v>0.18495</v>
      </c>
      <c r="W173" s="107"/>
      <c r="X173" s="50"/>
      <c r="Y173" s="50"/>
      <c r="Z173" s="49">
        <v>0</v>
      </c>
      <c r="AA173" s="71">
        <v>173</v>
      </c>
      <c r="AB173" s="71"/>
      <c r="AC173" s="72"/>
      <c r="AD173" s="79" t="s">
        <v>2645</v>
      </c>
      <c r="AE173" s="79" t="s">
        <v>3109</v>
      </c>
      <c r="AF173" s="79" t="s">
        <v>3507</v>
      </c>
      <c r="AG173" s="79" t="s">
        <v>3728</v>
      </c>
      <c r="AH173" s="79" t="s">
        <v>4011</v>
      </c>
      <c r="AI173" s="79">
        <v>36</v>
      </c>
      <c r="AJ173" s="79">
        <v>0</v>
      </c>
      <c r="AK173" s="79">
        <v>0</v>
      </c>
      <c r="AL173" s="79">
        <v>0</v>
      </c>
      <c r="AM173" s="79" t="s">
        <v>2092</v>
      </c>
      <c r="AN173" s="114" t="str">
        <f>HYPERLINK("https://www.youtube.com/watch?v=AiWaO4CizuU")</f>
        <v>https://www.youtube.com/watch?v=AiWaO4CizuU</v>
      </c>
      <c r="AO173" s="78" t="str">
        <f>REPLACE(INDEX(GroupVertices[Group],MATCH(Vertices[[#This Row],[Vertex]],GroupVertices[Vertex],0)),1,1,"")</f>
        <v>nowledge In World</v>
      </c>
      <c r="AP173" s="2"/>
      <c r="AQ173" s="3"/>
      <c r="AR173" s="3"/>
      <c r="AS173" s="3"/>
      <c r="AT173" s="3"/>
    </row>
    <row r="174" spans="1:46" ht="15">
      <c r="A174" s="64" t="s">
        <v>2169</v>
      </c>
      <c r="B174" s="65"/>
      <c r="C174" s="65"/>
      <c r="D174" s="66">
        <v>150</v>
      </c>
      <c r="E174" s="102">
        <v>97.85714285714286</v>
      </c>
      <c r="F174" s="98" t="str">
        <f>HYPERLINK("https://i.ytimg.com/vi/l4NKew4V2LE/default.jpg")</f>
        <v>https://i.ytimg.com/vi/l4NKew4V2LE/default.jpg</v>
      </c>
      <c r="G174" s="100"/>
      <c r="H174" s="69" t="s">
        <v>2646</v>
      </c>
      <c r="I174" s="70"/>
      <c r="J174" s="104" t="s">
        <v>159</v>
      </c>
      <c r="K174" s="69" t="s">
        <v>2646</v>
      </c>
      <c r="L174" s="105">
        <v>1</v>
      </c>
      <c r="M174" s="74">
        <v>1564.1854248046875</v>
      </c>
      <c r="N174" s="74">
        <v>6461.11328125</v>
      </c>
      <c r="O174" s="75"/>
      <c r="P174" s="76"/>
      <c r="Q174" s="76"/>
      <c r="R174" s="106"/>
      <c r="S174" s="48">
        <v>1</v>
      </c>
      <c r="T174" s="48">
        <v>0</v>
      </c>
      <c r="U174" s="49">
        <v>0</v>
      </c>
      <c r="V174" s="49">
        <v>0.18495</v>
      </c>
      <c r="W174" s="107"/>
      <c r="X174" s="50"/>
      <c r="Y174" s="50"/>
      <c r="Z174" s="49">
        <v>0</v>
      </c>
      <c r="AA174" s="71">
        <v>174</v>
      </c>
      <c r="AB174" s="71"/>
      <c r="AC174" s="72"/>
      <c r="AD174" s="79" t="s">
        <v>2646</v>
      </c>
      <c r="AE174" s="79" t="s">
        <v>3110</v>
      </c>
      <c r="AF174" s="79"/>
      <c r="AG174" s="79" t="s">
        <v>3729</v>
      </c>
      <c r="AH174" s="79" t="s">
        <v>4012</v>
      </c>
      <c r="AI174" s="79">
        <v>1929</v>
      </c>
      <c r="AJ174" s="79">
        <v>8</v>
      </c>
      <c r="AK174" s="79">
        <v>19</v>
      </c>
      <c r="AL174" s="79">
        <v>0</v>
      </c>
      <c r="AM174" s="79" t="s">
        <v>2092</v>
      </c>
      <c r="AN174" s="114" t="str">
        <f>HYPERLINK("https://www.youtube.com/watch?v=l4NKew4V2LE")</f>
        <v>https://www.youtube.com/watch?v=l4NKew4V2LE</v>
      </c>
      <c r="AO174" s="78" t="str">
        <f>REPLACE(INDEX(GroupVertices[Group],MATCH(Vertices[[#This Row],[Vertex]],GroupVertices[Vertex],0)),1,1,"")</f>
        <v>r. Soumen Roy</v>
      </c>
      <c r="AP174" s="2"/>
      <c r="AQ174" s="3"/>
      <c r="AR174" s="3"/>
      <c r="AS174" s="3"/>
      <c r="AT174" s="3"/>
    </row>
    <row r="175" spans="1:46" ht="15">
      <c r="A175" s="64" t="s">
        <v>2170</v>
      </c>
      <c r="B175" s="65"/>
      <c r="C175" s="65"/>
      <c r="D175" s="66">
        <v>150</v>
      </c>
      <c r="E175" s="102">
        <v>97.85714285714286</v>
      </c>
      <c r="F175" s="98" t="str">
        <f>HYPERLINK("https://i.ytimg.com/vi/m3l5dZKrku4/default.jpg")</f>
        <v>https://i.ytimg.com/vi/m3l5dZKrku4/default.jpg</v>
      </c>
      <c r="G175" s="100"/>
      <c r="H175" s="69" t="s">
        <v>2647</v>
      </c>
      <c r="I175" s="70"/>
      <c r="J175" s="104" t="s">
        <v>159</v>
      </c>
      <c r="K175" s="69" t="s">
        <v>2647</v>
      </c>
      <c r="L175" s="105">
        <v>1</v>
      </c>
      <c r="M175" s="74">
        <v>2059.4453125</v>
      </c>
      <c r="N175" s="74">
        <v>6637.04736328125</v>
      </c>
      <c r="O175" s="75"/>
      <c r="P175" s="76"/>
      <c r="Q175" s="76"/>
      <c r="R175" s="106"/>
      <c r="S175" s="48">
        <v>1</v>
      </c>
      <c r="T175" s="48">
        <v>0</v>
      </c>
      <c r="U175" s="49">
        <v>0</v>
      </c>
      <c r="V175" s="49">
        <v>0.18495</v>
      </c>
      <c r="W175" s="107"/>
      <c r="X175" s="50"/>
      <c r="Y175" s="50"/>
      <c r="Z175" s="49">
        <v>0</v>
      </c>
      <c r="AA175" s="71">
        <v>175</v>
      </c>
      <c r="AB175" s="71"/>
      <c r="AC175" s="72"/>
      <c r="AD175" s="79" t="s">
        <v>2647</v>
      </c>
      <c r="AE175" s="79" t="s">
        <v>3111</v>
      </c>
      <c r="AF175" s="79" t="s">
        <v>3508</v>
      </c>
      <c r="AG175" s="79" t="s">
        <v>3730</v>
      </c>
      <c r="AH175" s="79" t="s">
        <v>4013</v>
      </c>
      <c r="AI175" s="79">
        <v>9</v>
      </c>
      <c r="AJ175" s="79">
        <v>0</v>
      </c>
      <c r="AK175" s="79">
        <v>0</v>
      </c>
      <c r="AL175" s="79">
        <v>0</v>
      </c>
      <c r="AM175" s="79" t="s">
        <v>2092</v>
      </c>
      <c r="AN175" s="114" t="str">
        <f>HYPERLINK("https://www.youtube.com/watch?v=m3l5dZKrku4")</f>
        <v>https://www.youtube.com/watch?v=m3l5dZKrku4</v>
      </c>
      <c r="AO175" s="78" t="str">
        <f>REPLACE(INDEX(GroupVertices[Group],MATCH(Vertices[[#This Row],[Vertex]],GroupVertices[Vertex],0)),1,1,"")</f>
        <v>edCare Metropolis</v>
      </c>
      <c r="AP175" s="2"/>
      <c r="AQ175" s="3"/>
      <c r="AR175" s="3"/>
      <c r="AS175" s="3"/>
      <c r="AT175" s="3"/>
    </row>
    <row r="176" spans="1:46" ht="15">
      <c r="A176" s="64" t="s">
        <v>2171</v>
      </c>
      <c r="B176" s="65"/>
      <c r="C176" s="65"/>
      <c r="D176" s="66">
        <v>150</v>
      </c>
      <c r="E176" s="102">
        <v>97.85714285714286</v>
      </c>
      <c r="F176" s="98" t="str">
        <f>HYPERLINK("https://i.ytimg.com/vi/0m-tYdzJVkM/default.jpg")</f>
        <v>https://i.ytimg.com/vi/0m-tYdzJVkM/default.jpg</v>
      </c>
      <c r="G176" s="100"/>
      <c r="H176" s="69" t="s">
        <v>2648</v>
      </c>
      <c r="I176" s="70"/>
      <c r="J176" s="104" t="s">
        <v>159</v>
      </c>
      <c r="K176" s="69" t="s">
        <v>2648</v>
      </c>
      <c r="L176" s="105">
        <v>1</v>
      </c>
      <c r="M176" s="74">
        <v>2259.2724609375</v>
      </c>
      <c r="N176" s="74">
        <v>9206.796875</v>
      </c>
      <c r="O176" s="75"/>
      <c r="P176" s="76"/>
      <c r="Q176" s="76"/>
      <c r="R176" s="106"/>
      <c r="S176" s="48">
        <v>1</v>
      </c>
      <c r="T176" s="48">
        <v>0</v>
      </c>
      <c r="U176" s="49">
        <v>0</v>
      </c>
      <c r="V176" s="49">
        <v>0.18495</v>
      </c>
      <c r="W176" s="107"/>
      <c r="X176" s="50"/>
      <c r="Y176" s="50"/>
      <c r="Z176" s="49">
        <v>0</v>
      </c>
      <c r="AA176" s="71">
        <v>176</v>
      </c>
      <c r="AB176" s="71"/>
      <c r="AC176" s="72"/>
      <c r="AD176" s="79" t="s">
        <v>2648</v>
      </c>
      <c r="AE176" s="79"/>
      <c r="AF176" s="79"/>
      <c r="AG176" s="79" t="s">
        <v>3731</v>
      </c>
      <c r="AH176" s="79" t="s">
        <v>4014</v>
      </c>
      <c r="AI176" s="79">
        <v>365</v>
      </c>
      <c r="AJ176" s="79">
        <v>0</v>
      </c>
      <c r="AK176" s="79">
        <v>12</v>
      </c>
      <c r="AL176" s="79">
        <v>0</v>
      </c>
      <c r="AM176" s="79" t="s">
        <v>2092</v>
      </c>
      <c r="AN176" s="114" t="str">
        <f>HYPERLINK("https://www.youtube.com/watch?v=0m-tYdzJVkM")</f>
        <v>https://www.youtube.com/watch?v=0m-tYdzJVkM</v>
      </c>
      <c r="AO176" s="78" t="str">
        <f>REPLACE(INDEX(GroupVertices[Group],MATCH(Vertices[[#This Row],[Vertex]],GroupVertices[Vertex],0)),1,1,"")</f>
        <v>d.Sabbir Islam Moon</v>
      </c>
      <c r="AP176" s="2"/>
      <c r="AQ176" s="3"/>
      <c r="AR176" s="3"/>
      <c r="AS176" s="3"/>
      <c r="AT176" s="3"/>
    </row>
    <row r="177" spans="1:46" ht="15">
      <c r="A177" s="64" t="s">
        <v>2172</v>
      </c>
      <c r="B177" s="65"/>
      <c r="C177" s="65"/>
      <c r="D177" s="66">
        <v>150</v>
      </c>
      <c r="E177" s="102">
        <v>97.85714285714286</v>
      </c>
      <c r="F177" s="98" t="str">
        <f>HYPERLINK("https://i.ytimg.com/vi/e-1hGU1VxVI/default.jpg")</f>
        <v>https://i.ytimg.com/vi/e-1hGU1VxVI/default.jpg</v>
      </c>
      <c r="G177" s="100"/>
      <c r="H177" s="69" t="s">
        <v>2649</v>
      </c>
      <c r="I177" s="70"/>
      <c r="J177" s="104" t="s">
        <v>159</v>
      </c>
      <c r="K177" s="69" t="s">
        <v>2649</v>
      </c>
      <c r="L177" s="105">
        <v>1</v>
      </c>
      <c r="M177" s="74">
        <v>2342.002197265625</v>
      </c>
      <c r="N177" s="74">
        <v>8309.0205078125</v>
      </c>
      <c r="O177" s="75"/>
      <c r="P177" s="76"/>
      <c r="Q177" s="76"/>
      <c r="R177" s="106"/>
      <c r="S177" s="48">
        <v>1</v>
      </c>
      <c r="T177" s="48">
        <v>0</v>
      </c>
      <c r="U177" s="49">
        <v>0</v>
      </c>
      <c r="V177" s="49">
        <v>0.18495</v>
      </c>
      <c r="W177" s="107"/>
      <c r="X177" s="50"/>
      <c r="Y177" s="50"/>
      <c r="Z177" s="49">
        <v>0</v>
      </c>
      <c r="AA177" s="71">
        <v>177</v>
      </c>
      <c r="AB177" s="71"/>
      <c r="AC177" s="72"/>
      <c r="AD177" s="79" t="s">
        <v>2649</v>
      </c>
      <c r="AE177" s="79" t="s">
        <v>3112</v>
      </c>
      <c r="AF177" s="79" t="s">
        <v>3509</v>
      </c>
      <c r="AG177" s="79" t="s">
        <v>3732</v>
      </c>
      <c r="AH177" s="79" t="s">
        <v>4015</v>
      </c>
      <c r="AI177" s="79">
        <v>1952</v>
      </c>
      <c r="AJ177" s="79">
        <v>11</v>
      </c>
      <c r="AK177" s="79">
        <v>129</v>
      </c>
      <c r="AL177" s="79">
        <v>0</v>
      </c>
      <c r="AM177" s="79" t="s">
        <v>2092</v>
      </c>
      <c r="AN177" s="114" t="str">
        <f>HYPERLINK("https://www.youtube.com/watch?v=e-1hGU1VxVI")</f>
        <v>https://www.youtube.com/watch?v=e-1hGU1VxVI</v>
      </c>
      <c r="AO177" s="78" t="str">
        <f>REPLACE(INDEX(GroupVertices[Group],MATCH(Vertices[[#This Row],[Vertex]],GroupVertices[Vertex],0)),1,1,"")</f>
        <v>ingdomPrincess</v>
      </c>
      <c r="AP177" s="2"/>
      <c r="AQ177" s="3"/>
      <c r="AR177" s="3"/>
      <c r="AS177" s="3"/>
      <c r="AT177" s="3"/>
    </row>
    <row r="178" spans="1:46" ht="15">
      <c r="A178" s="64" t="s">
        <v>2173</v>
      </c>
      <c r="B178" s="65"/>
      <c r="C178" s="65"/>
      <c r="D178" s="66">
        <v>150</v>
      </c>
      <c r="E178" s="102">
        <v>97.85714285714286</v>
      </c>
      <c r="F178" s="98" t="str">
        <f>HYPERLINK("https://i.ytimg.com/vi/aJ0NM_2Uv60/default.jpg")</f>
        <v>https://i.ytimg.com/vi/aJ0NM_2Uv60/default.jpg</v>
      </c>
      <c r="G178" s="100"/>
      <c r="H178" s="69" t="s">
        <v>2650</v>
      </c>
      <c r="I178" s="70"/>
      <c r="J178" s="104" t="s">
        <v>159</v>
      </c>
      <c r="K178" s="69" t="s">
        <v>2650</v>
      </c>
      <c r="L178" s="105">
        <v>1</v>
      </c>
      <c r="M178" s="74">
        <v>1894.614013671875</v>
      </c>
      <c r="N178" s="74">
        <v>9618.607421875</v>
      </c>
      <c r="O178" s="75"/>
      <c r="P178" s="76"/>
      <c r="Q178" s="76"/>
      <c r="R178" s="106"/>
      <c r="S178" s="48">
        <v>1</v>
      </c>
      <c r="T178" s="48">
        <v>0</v>
      </c>
      <c r="U178" s="49">
        <v>0</v>
      </c>
      <c r="V178" s="49">
        <v>0.18495</v>
      </c>
      <c r="W178" s="107"/>
      <c r="X178" s="50"/>
      <c r="Y178" s="50"/>
      <c r="Z178" s="49">
        <v>0</v>
      </c>
      <c r="AA178" s="71">
        <v>178</v>
      </c>
      <c r="AB178" s="71"/>
      <c r="AC178" s="72"/>
      <c r="AD178" s="79" t="s">
        <v>2650</v>
      </c>
      <c r="AE178" s="79" t="s">
        <v>3113</v>
      </c>
      <c r="AF178" s="79"/>
      <c r="AG178" s="79" t="s">
        <v>3733</v>
      </c>
      <c r="AH178" s="79" t="s">
        <v>4016</v>
      </c>
      <c r="AI178" s="79">
        <v>86</v>
      </c>
      <c r="AJ178" s="79">
        <v>2</v>
      </c>
      <c r="AK178" s="79">
        <v>2</v>
      </c>
      <c r="AL178" s="79">
        <v>0</v>
      </c>
      <c r="AM178" s="79" t="s">
        <v>2092</v>
      </c>
      <c r="AN178" s="114" t="str">
        <f>HYPERLINK("https://www.youtube.com/watch?v=aJ0NM_2Uv60")</f>
        <v>https://www.youtube.com/watch?v=aJ0NM_2Uv60</v>
      </c>
      <c r="AO178" s="78" t="str">
        <f>REPLACE(INDEX(GroupVertices[Group],MATCH(Vertices[[#This Row],[Vertex]],GroupVertices[Vertex],0)),1,1,"")</f>
        <v>odium Physio</v>
      </c>
      <c r="AP178" s="2"/>
      <c r="AQ178" s="3"/>
      <c r="AR178" s="3"/>
      <c r="AS178" s="3"/>
      <c r="AT178" s="3"/>
    </row>
    <row r="179" spans="1:46" ht="15">
      <c r="A179" s="64" t="s">
        <v>2174</v>
      </c>
      <c r="B179" s="65"/>
      <c r="C179" s="65"/>
      <c r="D179" s="66">
        <v>150</v>
      </c>
      <c r="E179" s="102">
        <v>97.85714285714286</v>
      </c>
      <c r="F179" s="98" t="str">
        <f>HYPERLINK("https://i.ytimg.com/vi/uccVDD4kJhY/default.jpg")</f>
        <v>https://i.ytimg.com/vi/uccVDD4kJhY/default.jpg</v>
      </c>
      <c r="G179" s="100"/>
      <c r="H179" s="69" t="s">
        <v>2651</v>
      </c>
      <c r="I179" s="70"/>
      <c r="J179" s="104" t="s">
        <v>159</v>
      </c>
      <c r="K179" s="69" t="s">
        <v>2651</v>
      </c>
      <c r="L179" s="105">
        <v>1</v>
      </c>
      <c r="M179" s="74">
        <v>1952.213134765625</v>
      </c>
      <c r="N179" s="74">
        <v>6485.82470703125</v>
      </c>
      <c r="O179" s="75"/>
      <c r="P179" s="76"/>
      <c r="Q179" s="76"/>
      <c r="R179" s="106"/>
      <c r="S179" s="48">
        <v>1</v>
      </c>
      <c r="T179" s="48">
        <v>0</v>
      </c>
      <c r="U179" s="49">
        <v>0</v>
      </c>
      <c r="V179" s="49">
        <v>0.18495</v>
      </c>
      <c r="W179" s="107"/>
      <c r="X179" s="50"/>
      <c r="Y179" s="50"/>
      <c r="Z179" s="49">
        <v>0</v>
      </c>
      <c r="AA179" s="71">
        <v>179</v>
      </c>
      <c r="AB179" s="71"/>
      <c r="AC179" s="72"/>
      <c r="AD179" s="79" t="s">
        <v>2651</v>
      </c>
      <c r="AE179" s="79" t="s">
        <v>3114</v>
      </c>
      <c r="AF179" s="79"/>
      <c r="AG179" s="79" t="s">
        <v>3734</v>
      </c>
      <c r="AH179" s="79" t="s">
        <v>4017</v>
      </c>
      <c r="AI179" s="79">
        <v>106</v>
      </c>
      <c r="AJ179" s="79">
        <v>0</v>
      </c>
      <c r="AK179" s="79">
        <v>0</v>
      </c>
      <c r="AL179" s="79">
        <v>0</v>
      </c>
      <c r="AM179" s="79" t="s">
        <v>2092</v>
      </c>
      <c r="AN179" s="114" t="str">
        <f>HYPERLINK("https://www.youtube.com/watch?v=uccVDD4kJhY")</f>
        <v>https://www.youtube.com/watch?v=uccVDD4kJhY</v>
      </c>
      <c r="AO179" s="78" t="str">
        <f>REPLACE(INDEX(GroupVertices[Group],MATCH(Vertices[[#This Row],[Vertex]],GroupVertices[Vertex],0)),1,1,"")</f>
        <v>otomac Dental Centre</v>
      </c>
      <c r="AP179" s="2"/>
      <c r="AQ179" s="3"/>
      <c r="AR179" s="3"/>
      <c r="AS179" s="3"/>
      <c r="AT179" s="3"/>
    </row>
    <row r="180" spans="1:46" ht="15">
      <c r="A180" s="64" t="s">
        <v>2175</v>
      </c>
      <c r="B180" s="65"/>
      <c r="C180" s="65"/>
      <c r="D180" s="66">
        <v>150</v>
      </c>
      <c r="E180" s="102">
        <v>97.85714285714286</v>
      </c>
      <c r="F180" s="98" t="str">
        <f>HYPERLINK("https://i.ytimg.com/vi/fCyWKORsDIU/default.jpg")</f>
        <v>https://i.ytimg.com/vi/fCyWKORsDIU/default.jpg</v>
      </c>
      <c r="G180" s="100"/>
      <c r="H180" s="69" t="s">
        <v>2652</v>
      </c>
      <c r="I180" s="70"/>
      <c r="J180" s="104" t="s">
        <v>159</v>
      </c>
      <c r="K180" s="69" t="s">
        <v>2652</v>
      </c>
      <c r="L180" s="105">
        <v>1</v>
      </c>
      <c r="M180" s="74">
        <v>1680.7325439453125</v>
      </c>
      <c r="N180" s="74">
        <v>6378.67236328125</v>
      </c>
      <c r="O180" s="75"/>
      <c r="P180" s="76"/>
      <c r="Q180" s="76"/>
      <c r="R180" s="106"/>
      <c r="S180" s="48">
        <v>1</v>
      </c>
      <c r="T180" s="48">
        <v>0</v>
      </c>
      <c r="U180" s="49">
        <v>0</v>
      </c>
      <c r="V180" s="49">
        <v>0.18495</v>
      </c>
      <c r="W180" s="107"/>
      <c r="X180" s="50"/>
      <c r="Y180" s="50"/>
      <c r="Z180" s="49">
        <v>0</v>
      </c>
      <c r="AA180" s="71">
        <v>180</v>
      </c>
      <c r="AB180" s="71"/>
      <c r="AC180" s="72"/>
      <c r="AD180" s="79" t="s">
        <v>2652</v>
      </c>
      <c r="AE180" s="79" t="s">
        <v>3115</v>
      </c>
      <c r="AF180" s="79"/>
      <c r="AG180" s="79" t="s">
        <v>3735</v>
      </c>
      <c r="AH180" s="79" t="s">
        <v>4018</v>
      </c>
      <c r="AI180" s="79">
        <v>574</v>
      </c>
      <c r="AJ180" s="79">
        <v>8</v>
      </c>
      <c r="AK180" s="79">
        <v>18</v>
      </c>
      <c r="AL180" s="79">
        <v>0</v>
      </c>
      <c r="AM180" s="79" t="s">
        <v>2092</v>
      </c>
      <c r="AN180" s="114" t="str">
        <f>HYPERLINK("https://www.youtube.com/watch?v=fCyWKORsDIU")</f>
        <v>https://www.youtube.com/watch?v=fCyWKORsDIU</v>
      </c>
      <c r="AO180" s="78" t="str">
        <f>REPLACE(INDEX(GroupVertices[Group],MATCH(Vertices[[#This Row],[Vertex]],GroupVertices[Vertex],0)),1,1,"")</f>
        <v>etours:  Understanding Acquired Brain Injury</v>
      </c>
      <c r="AP180" s="2"/>
      <c r="AQ180" s="3"/>
      <c r="AR180" s="3"/>
      <c r="AS180" s="3"/>
      <c r="AT180" s="3"/>
    </row>
    <row r="181" spans="1:46" ht="15">
      <c r="A181" s="64" t="s">
        <v>2176</v>
      </c>
      <c r="B181" s="65"/>
      <c r="C181" s="65"/>
      <c r="D181" s="66">
        <v>150</v>
      </c>
      <c r="E181" s="102">
        <v>97.85714285714286</v>
      </c>
      <c r="F181" s="98" t="str">
        <f>HYPERLINK("https://i.ytimg.com/vi/T_FnxAgfygI/default.jpg")</f>
        <v>https://i.ytimg.com/vi/T_FnxAgfygI/default.jpg</v>
      </c>
      <c r="G181" s="100"/>
      <c r="H181" s="69" t="s">
        <v>2653</v>
      </c>
      <c r="I181" s="70"/>
      <c r="J181" s="104" t="s">
        <v>159</v>
      </c>
      <c r="K181" s="69" t="s">
        <v>2653</v>
      </c>
      <c r="L181" s="105">
        <v>1</v>
      </c>
      <c r="M181" s="74">
        <v>2076.415771484375</v>
      </c>
      <c r="N181" s="74">
        <v>8236.01953125</v>
      </c>
      <c r="O181" s="75"/>
      <c r="P181" s="76"/>
      <c r="Q181" s="76"/>
      <c r="R181" s="106"/>
      <c r="S181" s="48">
        <v>1</v>
      </c>
      <c r="T181" s="48">
        <v>0</v>
      </c>
      <c r="U181" s="49">
        <v>0</v>
      </c>
      <c r="V181" s="49">
        <v>0.18495</v>
      </c>
      <c r="W181" s="107"/>
      <c r="X181" s="50"/>
      <c r="Y181" s="50"/>
      <c r="Z181" s="49">
        <v>0</v>
      </c>
      <c r="AA181" s="71">
        <v>181</v>
      </c>
      <c r="AB181" s="71"/>
      <c r="AC181" s="72"/>
      <c r="AD181" s="79" t="s">
        <v>2653</v>
      </c>
      <c r="AE181" s="79" t="s">
        <v>3116</v>
      </c>
      <c r="AF181" s="79"/>
      <c r="AG181" s="79" t="s">
        <v>3736</v>
      </c>
      <c r="AH181" s="79" t="s">
        <v>4019</v>
      </c>
      <c r="AI181" s="79">
        <v>9636</v>
      </c>
      <c r="AJ181" s="79">
        <v>0</v>
      </c>
      <c r="AK181" s="79">
        <v>111</v>
      </c>
      <c r="AL181" s="79">
        <v>0</v>
      </c>
      <c r="AM181" s="79" t="s">
        <v>2092</v>
      </c>
      <c r="AN181" s="114" t="str">
        <f>HYPERLINK("https://www.youtube.com/watch?v=T_FnxAgfygI")</f>
        <v>https://www.youtube.com/watch?v=T_FnxAgfygI</v>
      </c>
      <c r="AO181" s="78" t="str">
        <f>REPLACE(INDEX(GroupVertices[Group],MATCH(Vertices[[#This Row],[Vertex]],GroupVertices[Vertex],0)),1,1,"")</f>
        <v>pplied Radiology</v>
      </c>
      <c r="AP181" s="2"/>
      <c r="AQ181" s="3"/>
      <c r="AR181" s="3"/>
      <c r="AS181" s="3"/>
      <c r="AT181" s="3"/>
    </row>
    <row r="182" spans="1:46" ht="15">
      <c r="A182" s="64" t="s">
        <v>2177</v>
      </c>
      <c r="B182" s="65"/>
      <c r="C182" s="65"/>
      <c r="D182" s="66">
        <v>150</v>
      </c>
      <c r="E182" s="102">
        <v>97.85714285714286</v>
      </c>
      <c r="F182" s="98" t="str">
        <f>HYPERLINK("https://i.ytimg.com/vi/c179EsJ97BA/default.jpg")</f>
        <v>https://i.ytimg.com/vi/c179EsJ97BA/default.jpg</v>
      </c>
      <c r="G182" s="100"/>
      <c r="H182" s="69" t="s">
        <v>2654</v>
      </c>
      <c r="I182" s="70"/>
      <c r="J182" s="104" t="s">
        <v>159</v>
      </c>
      <c r="K182" s="69" t="s">
        <v>2654</v>
      </c>
      <c r="L182" s="105">
        <v>1</v>
      </c>
      <c r="M182" s="74">
        <v>2503.096435546875</v>
      </c>
      <c r="N182" s="74">
        <v>8211.4287109375</v>
      </c>
      <c r="O182" s="75"/>
      <c r="P182" s="76"/>
      <c r="Q182" s="76"/>
      <c r="R182" s="106"/>
      <c r="S182" s="48">
        <v>1</v>
      </c>
      <c r="T182" s="48">
        <v>0</v>
      </c>
      <c r="U182" s="49">
        <v>0</v>
      </c>
      <c r="V182" s="49">
        <v>0.18495</v>
      </c>
      <c r="W182" s="107"/>
      <c r="X182" s="50"/>
      <c r="Y182" s="50"/>
      <c r="Z182" s="49">
        <v>0</v>
      </c>
      <c r="AA182" s="71">
        <v>182</v>
      </c>
      <c r="AB182" s="71"/>
      <c r="AC182" s="72"/>
      <c r="AD182" s="79" t="s">
        <v>2654</v>
      </c>
      <c r="AE182" s="79" t="s">
        <v>3117</v>
      </c>
      <c r="AF182" s="79" t="s">
        <v>3510</v>
      </c>
      <c r="AG182" s="79" t="s">
        <v>3737</v>
      </c>
      <c r="AH182" s="79" t="s">
        <v>4020</v>
      </c>
      <c r="AI182" s="79">
        <v>12687</v>
      </c>
      <c r="AJ182" s="79">
        <v>0</v>
      </c>
      <c r="AK182" s="79">
        <v>79</v>
      </c>
      <c r="AL182" s="79">
        <v>0</v>
      </c>
      <c r="AM182" s="79" t="s">
        <v>2092</v>
      </c>
      <c r="AN182" s="114" t="str">
        <f>HYPERLINK("https://www.youtube.com/watch?v=c179EsJ97BA")</f>
        <v>https://www.youtube.com/watch?v=c179EsJ97BA</v>
      </c>
      <c r="AO182" s="78" t="str">
        <f>REPLACE(INDEX(GroupVertices[Group],MATCH(Vertices[[#This Row],[Vertex]],GroupVertices[Vertex],0)),1,1,"")</f>
        <v>rkin Canada</v>
      </c>
      <c r="AP182" s="2"/>
      <c r="AQ182" s="3"/>
      <c r="AR182" s="3"/>
      <c r="AS182" s="3"/>
      <c r="AT182" s="3"/>
    </row>
    <row r="183" spans="1:46" ht="15">
      <c r="A183" s="64" t="s">
        <v>201</v>
      </c>
      <c r="B183" s="65"/>
      <c r="C183" s="65"/>
      <c r="D183" s="66">
        <v>150</v>
      </c>
      <c r="E183" s="102">
        <v>97.85714285714286</v>
      </c>
      <c r="F183" s="98" t="str">
        <f>HYPERLINK("https://i.ytimg.com/vi/bSu_MhKfryM/default.jpg")</f>
        <v>https://i.ytimg.com/vi/bSu_MhKfryM/default.jpg</v>
      </c>
      <c r="G183" s="100"/>
      <c r="H183" s="69" t="s">
        <v>712</v>
      </c>
      <c r="I183" s="70"/>
      <c r="J183" s="104" t="s">
        <v>159</v>
      </c>
      <c r="K183" s="69" t="s">
        <v>712</v>
      </c>
      <c r="L183" s="105">
        <v>1</v>
      </c>
      <c r="M183" s="74">
        <v>2465.4013671875</v>
      </c>
      <c r="N183" s="74">
        <v>8530.7734375</v>
      </c>
      <c r="O183" s="75"/>
      <c r="P183" s="76"/>
      <c r="Q183" s="76"/>
      <c r="R183" s="106"/>
      <c r="S183" s="48">
        <v>1</v>
      </c>
      <c r="T183" s="48">
        <v>0</v>
      </c>
      <c r="U183" s="49">
        <v>0</v>
      </c>
      <c r="V183" s="49">
        <v>0.18495</v>
      </c>
      <c r="W183" s="107"/>
      <c r="X183" s="50"/>
      <c r="Y183" s="50"/>
      <c r="Z183" s="49">
        <v>0</v>
      </c>
      <c r="AA183" s="71">
        <v>183</v>
      </c>
      <c r="AB183" s="71"/>
      <c r="AC183" s="72"/>
      <c r="AD183" s="79" t="s">
        <v>712</v>
      </c>
      <c r="AE183" s="79" t="s">
        <v>1076</v>
      </c>
      <c r="AF183" s="79" t="s">
        <v>1294</v>
      </c>
      <c r="AG183" s="79" t="s">
        <v>1484</v>
      </c>
      <c r="AH183" s="79" t="s">
        <v>1767</v>
      </c>
      <c r="AI183" s="79">
        <v>15404</v>
      </c>
      <c r="AJ183" s="79">
        <v>17</v>
      </c>
      <c r="AK183" s="79">
        <v>419</v>
      </c>
      <c r="AL183" s="79">
        <v>0</v>
      </c>
      <c r="AM183" s="79" t="s">
        <v>2092</v>
      </c>
      <c r="AN183" s="114" t="str">
        <f>HYPERLINK("https://www.youtube.com/watch?v=bSu_MhKfryM")</f>
        <v>https://www.youtube.com/watch?v=bSu_MhKfryM</v>
      </c>
      <c r="AO183" s="78" t="str">
        <f>REPLACE(INDEX(GroupVertices[Group],MATCH(Vertices[[#This Row],[Vertex]],GroupVertices[Vertex],0)),1,1,"")</f>
        <v>BeautifulMindClinic</v>
      </c>
      <c r="AP183" s="2"/>
      <c r="AQ183" s="3"/>
      <c r="AR183" s="3"/>
      <c r="AS183" s="3"/>
      <c r="AT183" s="3"/>
    </row>
    <row r="184" spans="1:46" ht="15">
      <c r="A184" s="64" t="s">
        <v>2178</v>
      </c>
      <c r="B184" s="65"/>
      <c r="C184" s="65"/>
      <c r="D184" s="66">
        <v>150</v>
      </c>
      <c r="E184" s="102">
        <v>97.85714285714286</v>
      </c>
      <c r="F184" s="98" t="str">
        <f>HYPERLINK("https://i.ytimg.com/vi/TGolFVvzz3Q/default.jpg")</f>
        <v>https://i.ytimg.com/vi/TGolFVvzz3Q/default.jpg</v>
      </c>
      <c r="G184" s="100"/>
      <c r="H184" s="69" t="s">
        <v>2655</v>
      </c>
      <c r="I184" s="70"/>
      <c r="J184" s="104" t="s">
        <v>159</v>
      </c>
      <c r="K184" s="69" t="s">
        <v>2655</v>
      </c>
      <c r="L184" s="105">
        <v>1</v>
      </c>
      <c r="M184" s="74">
        <v>2067.101806640625</v>
      </c>
      <c r="N184" s="74">
        <v>7053.19091796875</v>
      </c>
      <c r="O184" s="75"/>
      <c r="P184" s="76"/>
      <c r="Q184" s="76"/>
      <c r="R184" s="106"/>
      <c r="S184" s="48">
        <v>1</v>
      </c>
      <c r="T184" s="48">
        <v>0</v>
      </c>
      <c r="U184" s="49">
        <v>0</v>
      </c>
      <c r="V184" s="49">
        <v>0.18495</v>
      </c>
      <c r="W184" s="107"/>
      <c r="X184" s="50"/>
      <c r="Y184" s="50"/>
      <c r="Z184" s="49">
        <v>0</v>
      </c>
      <c r="AA184" s="71">
        <v>184</v>
      </c>
      <c r="AB184" s="71"/>
      <c r="AC184" s="72"/>
      <c r="AD184" s="79" t="s">
        <v>2655</v>
      </c>
      <c r="AE184" s="79" t="s">
        <v>3118</v>
      </c>
      <c r="AF184" s="79" t="s">
        <v>3511</v>
      </c>
      <c r="AG184" s="79" t="s">
        <v>1512</v>
      </c>
      <c r="AH184" s="79" t="s">
        <v>4021</v>
      </c>
      <c r="AI184" s="79">
        <v>466</v>
      </c>
      <c r="AJ184" s="79">
        <v>2</v>
      </c>
      <c r="AK184" s="79">
        <v>12</v>
      </c>
      <c r="AL184" s="79">
        <v>0</v>
      </c>
      <c r="AM184" s="79" t="s">
        <v>2092</v>
      </c>
      <c r="AN184" s="114" t="str">
        <f>HYPERLINK("https://www.youtube.com/watch?v=TGolFVvzz3Q")</f>
        <v>https://www.youtube.com/watch?v=TGolFVvzz3Q</v>
      </c>
      <c r="AO184" s="78" t="str">
        <f>REPLACE(INDEX(GroupVertices[Group],MATCH(Vertices[[#This Row],[Vertex]],GroupVertices[Vertex],0)),1,1,"")</f>
        <v>edical Centric</v>
      </c>
      <c r="AP184" s="2"/>
      <c r="AQ184" s="3"/>
      <c r="AR184" s="3"/>
      <c r="AS184" s="3"/>
      <c r="AT184" s="3"/>
    </row>
    <row r="185" spans="1:46" ht="15">
      <c r="A185" s="64" t="s">
        <v>2179</v>
      </c>
      <c r="B185" s="65"/>
      <c r="C185" s="65"/>
      <c r="D185" s="66">
        <v>150</v>
      </c>
      <c r="E185" s="102">
        <v>97.85714285714286</v>
      </c>
      <c r="F185" s="98" t="str">
        <f>HYPERLINK("https://i.ytimg.com/vi/Zx74UKH0fOQ/default.jpg")</f>
        <v>https://i.ytimg.com/vi/Zx74UKH0fOQ/default.jpg</v>
      </c>
      <c r="G185" s="100"/>
      <c r="H185" s="69" t="s">
        <v>2656</v>
      </c>
      <c r="I185" s="70"/>
      <c r="J185" s="104" t="s">
        <v>159</v>
      </c>
      <c r="K185" s="69" t="s">
        <v>2656</v>
      </c>
      <c r="L185" s="105">
        <v>1</v>
      </c>
      <c r="M185" s="74">
        <v>2176.04052734375</v>
      </c>
      <c r="N185" s="74">
        <v>6759.91650390625</v>
      </c>
      <c r="O185" s="75"/>
      <c r="P185" s="76"/>
      <c r="Q185" s="76"/>
      <c r="R185" s="106"/>
      <c r="S185" s="48">
        <v>1</v>
      </c>
      <c r="T185" s="48">
        <v>0</v>
      </c>
      <c r="U185" s="49">
        <v>0</v>
      </c>
      <c r="V185" s="49">
        <v>0.18495</v>
      </c>
      <c r="W185" s="107"/>
      <c r="X185" s="50"/>
      <c r="Y185" s="50"/>
      <c r="Z185" s="49">
        <v>0</v>
      </c>
      <c r="AA185" s="71">
        <v>185</v>
      </c>
      <c r="AB185" s="71"/>
      <c r="AC185" s="72"/>
      <c r="AD185" s="79" t="s">
        <v>2656</v>
      </c>
      <c r="AE185" s="79" t="s">
        <v>3119</v>
      </c>
      <c r="AF185" s="79" t="s">
        <v>3512</v>
      </c>
      <c r="AG185" s="79" t="s">
        <v>3738</v>
      </c>
      <c r="AH185" s="79" t="s">
        <v>4022</v>
      </c>
      <c r="AI185" s="79">
        <v>1376</v>
      </c>
      <c r="AJ185" s="79">
        <v>5</v>
      </c>
      <c r="AK185" s="79">
        <v>33</v>
      </c>
      <c r="AL185" s="79">
        <v>0</v>
      </c>
      <c r="AM185" s="79" t="s">
        <v>2092</v>
      </c>
      <c r="AN185" s="114" t="str">
        <f>HYPERLINK("https://www.youtube.com/watch?v=Zx74UKH0fOQ")</f>
        <v>https://www.youtube.com/watch?v=Zx74UKH0fOQ</v>
      </c>
      <c r="AO185" s="78" t="str">
        <f>REPLACE(INDEX(GroupVertices[Group],MATCH(Vertices[[#This Row],[Vertex]],GroupVertices[Vertex],0)),1,1,"")</f>
        <v>anny Shouhed, MD</v>
      </c>
      <c r="AP185" s="2"/>
      <c r="AQ185" s="3"/>
      <c r="AR185" s="3"/>
      <c r="AS185" s="3"/>
      <c r="AT185" s="3"/>
    </row>
    <row r="186" spans="1:46" ht="15">
      <c r="A186" s="64" t="s">
        <v>2180</v>
      </c>
      <c r="B186" s="65"/>
      <c r="C186" s="65"/>
      <c r="D186" s="66">
        <v>150</v>
      </c>
      <c r="E186" s="102">
        <v>97.85714285714286</v>
      </c>
      <c r="F186" s="98" t="str">
        <f>HYPERLINK("https://i.ytimg.com/vi/EV6WjK_GNNc/default.jpg")</f>
        <v>https://i.ytimg.com/vi/EV6WjK_GNNc/default.jpg</v>
      </c>
      <c r="G186" s="100"/>
      <c r="H186" s="69" t="s">
        <v>2657</v>
      </c>
      <c r="I186" s="70"/>
      <c r="J186" s="104" t="s">
        <v>159</v>
      </c>
      <c r="K186" s="69" t="s">
        <v>2657</v>
      </c>
      <c r="L186" s="105">
        <v>1</v>
      </c>
      <c r="M186" s="74">
        <v>1844.1353759765625</v>
      </c>
      <c r="N186" s="74">
        <v>9259.05859375</v>
      </c>
      <c r="O186" s="75"/>
      <c r="P186" s="76"/>
      <c r="Q186" s="76"/>
      <c r="R186" s="106"/>
      <c r="S186" s="48">
        <v>1</v>
      </c>
      <c r="T186" s="48">
        <v>0</v>
      </c>
      <c r="U186" s="49">
        <v>0</v>
      </c>
      <c r="V186" s="49">
        <v>0.18495</v>
      </c>
      <c r="W186" s="107"/>
      <c r="X186" s="50"/>
      <c r="Y186" s="50"/>
      <c r="Z186" s="49">
        <v>0</v>
      </c>
      <c r="AA186" s="71">
        <v>186</v>
      </c>
      <c r="AB186" s="71"/>
      <c r="AC186" s="72"/>
      <c r="AD186" s="79" t="s">
        <v>2657</v>
      </c>
      <c r="AE186" s="79" t="s">
        <v>3120</v>
      </c>
      <c r="AF186" s="79" t="s">
        <v>3513</v>
      </c>
      <c r="AG186" s="79" t="s">
        <v>1512</v>
      </c>
      <c r="AH186" s="79" t="s">
        <v>4023</v>
      </c>
      <c r="AI186" s="79">
        <v>530</v>
      </c>
      <c r="AJ186" s="79">
        <v>5</v>
      </c>
      <c r="AK186" s="79">
        <v>28</v>
      </c>
      <c r="AL186" s="79">
        <v>0</v>
      </c>
      <c r="AM186" s="79" t="s">
        <v>2092</v>
      </c>
      <c r="AN186" s="114" t="str">
        <f>HYPERLINK("https://www.youtube.com/watch?v=EV6WjK_GNNc")</f>
        <v>https://www.youtube.com/watch?v=EV6WjK_GNNc</v>
      </c>
      <c r="AO186" s="78" t="str">
        <f>REPLACE(INDEX(GroupVertices[Group],MATCH(Vertices[[#This Row],[Vertex]],GroupVertices[Vertex],0)),1,1,"")</f>
        <v>edical Centric</v>
      </c>
      <c r="AP186" s="2"/>
      <c r="AQ186" s="3"/>
      <c r="AR186" s="3"/>
      <c r="AS186" s="3"/>
      <c r="AT186" s="3"/>
    </row>
    <row r="187" spans="1:46" ht="15">
      <c r="A187" s="64" t="s">
        <v>2181</v>
      </c>
      <c r="B187" s="65"/>
      <c r="C187" s="65"/>
      <c r="D187" s="66">
        <v>150</v>
      </c>
      <c r="E187" s="102">
        <v>97.85714285714286</v>
      </c>
      <c r="F187" s="98" t="str">
        <f>HYPERLINK("https://i.ytimg.com/vi/HoTVCpulJRo/default.jpg")</f>
        <v>https://i.ytimg.com/vi/HoTVCpulJRo/default.jpg</v>
      </c>
      <c r="G187" s="100"/>
      <c r="H187" s="69" t="s">
        <v>2658</v>
      </c>
      <c r="I187" s="70"/>
      <c r="J187" s="104" t="s">
        <v>159</v>
      </c>
      <c r="K187" s="69" t="s">
        <v>2658</v>
      </c>
      <c r="L187" s="105">
        <v>1</v>
      </c>
      <c r="M187" s="74">
        <v>2412.37060546875</v>
      </c>
      <c r="N187" s="74">
        <v>8792.296875</v>
      </c>
      <c r="O187" s="75"/>
      <c r="P187" s="76"/>
      <c r="Q187" s="76"/>
      <c r="R187" s="106"/>
      <c r="S187" s="48">
        <v>1</v>
      </c>
      <c r="T187" s="48">
        <v>0</v>
      </c>
      <c r="U187" s="49">
        <v>0</v>
      </c>
      <c r="V187" s="49">
        <v>0.18495</v>
      </c>
      <c r="W187" s="107"/>
      <c r="X187" s="50"/>
      <c r="Y187" s="50"/>
      <c r="Z187" s="49">
        <v>0</v>
      </c>
      <c r="AA187" s="71">
        <v>187</v>
      </c>
      <c r="AB187" s="71"/>
      <c r="AC187" s="72"/>
      <c r="AD187" s="79" t="s">
        <v>2658</v>
      </c>
      <c r="AE187" s="79" t="s">
        <v>3121</v>
      </c>
      <c r="AF187" s="79" t="s">
        <v>3514</v>
      </c>
      <c r="AG187" s="79" t="s">
        <v>1512</v>
      </c>
      <c r="AH187" s="79" t="s">
        <v>4024</v>
      </c>
      <c r="AI187" s="79">
        <v>357</v>
      </c>
      <c r="AJ187" s="79">
        <v>1</v>
      </c>
      <c r="AK187" s="79">
        <v>20</v>
      </c>
      <c r="AL187" s="79">
        <v>0</v>
      </c>
      <c r="AM187" s="79" t="s">
        <v>2092</v>
      </c>
      <c r="AN187" s="114" t="str">
        <f>HYPERLINK("https://www.youtube.com/watch?v=HoTVCpulJRo")</f>
        <v>https://www.youtube.com/watch?v=HoTVCpulJRo</v>
      </c>
      <c r="AO187" s="78" t="str">
        <f>REPLACE(INDEX(GroupVertices[Group],MATCH(Vertices[[#This Row],[Vertex]],GroupVertices[Vertex],0)),1,1,"")</f>
        <v>edical Centric</v>
      </c>
      <c r="AP187" s="2"/>
      <c r="AQ187" s="3"/>
      <c r="AR187" s="3"/>
      <c r="AS187" s="3"/>
      <c r="AT187" s="3"/>
    </row>
    <row r="188" spans="1:46" ht="15">
      <c r="A188" s="64" t="s">
        <v>2182</v>
      </c>
      <c r="B188" s="65"/>
      <c r="C188" s="65"/>
      <c r="D188" s="66">
        <v>150</v>
      </c>
      <c r="E188" s="102">
        <v>97.85714285714286</v>
      </c>
      <c r="F188" s="98" t="str">
        <f>HYPERLINK("https://i.ytimg.com/vi/yKABcJcptBI/default.jpg")</f>
        <v>https://i.ytimg.com/vi/yKABcJcptBI/default.jpg</v>
      </c>
      <c r="G188" s="100"/>
      <c r="H188" s="69" t="s">
        <v>2659</v>
      </c>
      <c r="I188" s="70"/>
      <c r="J188" s="104" t="s">
        <v>159</v>
      </c>
      <c r="K188" s="69" t="s">
        <v>2659</v>
      </c>
      <c r="L188" s="105">
        <v>1</v>
      </c>
      <c r="M188" s="74">
        <v>1871.13037109375</v>
      </c>
      <c r="N188" s="74">
        <v>7465.6455078125</v>
      </c>
      <c r="O188" s="75"/>
      <c r="P188" s="76"/>
      <c r="Q188" s="76"/>
      <c r="R188" s="106"/>
      <c r="S188" s="48">
        <v>1</v>
      </c>
      <c r="T188" s="48">
        <v>0</v>
      </c>
      <c r="U188" s="49">
        <v>0</v>
      </c>
      <c r="V188" s="49">
        <v>0.18495</v>
      </c>
      <c r="W188" s="107"/>
      <c r="X188" s="50"/>
      <c r="Y188" s="50"/>
      <c r="Z188" s="49">
        <v>0</v>
      </c>
      <c r="AA188" s="71">
        <v>188</v>
      </c>
      <c r="AB188" s="71"/>
      <c r="AC188" s="72"/>
      <c r="AD188" s="79" t="s">
        <v>2659</v>
      </c>
      <c r="AE188" s="79" t="s">
        <v>3122</v>
      </c>
      <c r="AF188" s="79"/>
      <c r="AG188" s="79" t="s">
        <v>1586</v>
      </c>
      <c r="AH188" s="79" t="s">
        <v>4025</v>
      </c>
      <c r="AI188" s="79">
        <v>27123</v>
      </c>
      <c r="AJ188" s="79">
        <v>0</v>
      </c>
      <c r="AK188" s="79">
        <v>195</v>
      </c>
      <c r="AL188" s="79">
        <v>0</v>
      </c>
      <c r="AM188" s="79" t="s">
        <v>2092</v>
      </c>
      <c r="AN188" s="114" t="str">
        <f>HYPERLINK("https://www.youtube.com/watch?v=yKABcJcptBI")</f>
        <v>https://www.youtube.com/watch?v=yKABcJcptBI</v>
      </c>
      <c r="AO188" s="78" t="str">
        <f>REPLACE(INDEX(GroupVertices[Group],MATCH(Vertices[[#This Row],[Vertex]],GroupVertices[Vertex],0)),1,1,"")</f>
        <v>ational Institute of Mental Health (NIMH)</v>
      </c>
      <c r="AP188" s="2"/>
      <c r="AQ188" s="3"/>
      <c r="AR188" s="3"/>
      <c r="AS188" s="3"/>
      <c r="AT188" s="3"/>
    </row>
    <row r="189" spans="1:46" ht="15">
      <c r="A189" s="64" t="s">
        <v>2183</v>
      </c>
      <c r="B189" s="65"/>
      <c r="C189" s="65"/>
      <c r="D189" s="66">
        <v>150</v>
      </c>
      <c r="E189" s="102">
        <v>97.85714285714286</v>
      </c>
      <c r="F189" s="98" t="str">
        <f>HYPERLINK("https://i.ytimg.com/vi/Ra-GtEDB2bQ/default.jpg")</f>
        <v>https://i.ytimg.com/vi/Ra-GtEDB2bQ/default.jpg</v>
      </c>
      <c r="G189" s="100"/>
      <c r="H189" s="69" t="s">
        <v>2660</v>
      </c>
      <c r="I189" s="70"/>
      <c r="J189" s="104" t="s">
        <v>159</v>
      </c>
      <c r="K189" s="69" t="s">
        <v>2660</v>
      </c>
      <c r="L189" s="105">
        <v>1</v>
      </c>
      <c r="M189" s="74">
        <v>2102.972412109375</v>
      </c>
      <c r="N189" s="74">
        <v>7448.69580078125</v>
      </c>
      <c r="O189" s="75"/>
      <c r="P189" s="76"/>
      <c r="Q189" s="76"/>
      <c r="R189" s="106"/>
      <c r="S189" s="48">
        <v>1</v>
      </c>
      <c r="T189" s="48">
        <v>0</v>
      </c>
      <c r="U189" s="49">
        <v>0</v>
      </c>
      <c r="V189" s="49">
        <v>0.18495</v>
      </c>
      <c r="W189" s="107"/>
      <c r="X189" s="50"/>
      <c r="Y189" s="50"/>
      <c r="Z189" s="49">
        <v>0</v>
      </c>
      <c r="AA189" s="71">
        <v>189</v>
      </c>
      <c r="AB189" s="71"/>
      <c r="AC189" s="72"/>
      <c r="AD189" s="79" t="s">
        <v>2660</v>
      </c>
      <c r="AE189" s="79" t="s">
        <v>3123</v>
      </c>
      <c r="AF189" s="79" t="s">
        <v>3515</v>
      </c>
      <c r="AG189" s="79" t="s">
        <v>1512</v>
      </c>
      <c r="AH189" s="79" t="s">
        <v>4026</v>
      </c>
      <c r="AI189" s="79">
        <v>732</v>
      </c>
      <c r="AJ189" s="79">
        <v>2</v>
      </c>
      <c r="AK189" s="79">
        <v>31</v>
      </c>
      <c r="AL189" s="79">
        <v>0</v>
      </c>
      <c r="AM189" s="79" t="s">
        <v>2092</v>
      </c>
      <c r="AN189" s="114" t="str">
        <f>HYPERLINK("https://www.youtube.com/watch?v=Ra-GtEDB2bQ")</f>
        <v>https://www.youtube.com/watch?v=Ra-GtEDB2bQ</v>
      </c>
      <c r="AO189" s="78" t="str">
        <f>REPLACE(INDEX(GroupVertices[Group],MATCH(Vertices[[#This Row],[Vertex]],GroupVertices[Vertex],0)),1,1,"")</f>
        <v>edical Centric</v>
      </c>
      <c r="AP189" s="2"/>
      <c r="AQ189" s="3"/>
      <c r="AR189" s="3"/>
      <c r="AS189" s="3"/>
      <c r="AT189" s="3"/>
    </row>
    <row r="190" spans="1:46" ht="15">
      <c r="A190" s="64" t="s">
        <v>2184</v>
      </c>
      <c r="B190" s="65"/>
      <c r="C190" s="65"/>
      <c r="D190" s="66">
        <v>150</v>
      </c>
      <c r="E190" s="102">
        <v>97.85714285714286</v>
      </c>
      <c r="F190" s="98" t="str">
        <f>HYPERLINK("https://i.ytimg.com/vi/f6l3mbOPRs0/default.jpg")</f>
        <v>https://i.ytimg.com/vi/f6l3mbOPRs0/default.jpg</v>
      </c>
      <c r="G190" s="100"/>
      <c r="H190" s="69" t="s">
        <v>2661</v>
      </c>
      <c r="I190" s="70"/>
      <c r="J190" s="104" t="s">
        <v>159</v>
      </c>
      <c r="K190" s="69" t="s">
        <v>2661</v>
      </c>
      <c r="L190" s="105">
        <v>1</v>
      </c>
      <c r="M190" s="74">
        <v>2292.679443359375</v>
      </c>
      <c r="N190" s="74">
        <v>7574.7314453125</v>
      </c>
      <c r="O190" s="75"/>
      <c r="P190" s="76"/>
      <c r="Q190" s="76"/>
      <c r="R190" s="106"/>
      <c r="S190" s="48">
        <v>1</v>
      </c>
      <c r="T190" s="48">
        <v>0</v>
      </c>
      <c r="U190" s="49">
        <v>0</v>
      </c>
      <c r="V190" s="49">
        <v>0.18495</v>
      </c>
      <c r="W190" s="107"/>
      <c r="X190" s="50"/>
      <c r="Y190" s="50"/>
      <c r="Z190" s="49">
        <v>0</v>
      </c>
      <c r="AA190" s="71">
        <v>190</v>
      </c>
      <c r="AB190" s="71"/>
      <c r="AC190" s="72"/>
      <c r="AD190" s="79" t="s">
        <v>2661</v>
      </c>
      <c r="AE190" s="79" t="s">
        <v>3124</v>
      </c>
      <c r="AF190" s="79" t="s">
        <v>3516</v>
      </c>
      <c r="AG190" s="79" t="s">
        <v>1512</v>
      </c>
      <c r="AH190" s="79" t="s">
        <v>4027</v>
      </c>
      <c r="AI190" s="79">
        <v>712</v>
      </c>
      <c r="AJ190" s="79">
        <v>5</v>
      </c>
      <c r="AK190" s="79">
        <v>35</v>
      </c>
      <c r="AL190" s="79">
        <v>0</v>
      </c>
      <c r="AM190" s="79" t="s">
        <v>2092</v>
      </c>
      <c r="AN190" s="114" t="str">
        <f>HYPERLINK("https://www.youtube.com/watch?v=f6l3mbOPRs0")</f>
        <v>https://www.youtube.com/watch?v=f6l3mbOPRs0</v>
      </c>
      <c r="AO190" s="78" t="str">
        <f>REPLACE(INDEX(GroupVertices[Group],MATCH(Vertices[[#This Row],[Vertex]],GroupVertices[Vertex],0)),1,1,"")</f>
        <v>edical Centric</v>
      </c>
      <c r="AP190" s="2"/>
      <c r="AQ190" s="3"/>
      <c r="AR190" s="3"/>
      <c r="AS190" s="3"/>
      <c r="AT190" s="3"/>
    </row>
    <row r="191" spans="1:46" ht="15">
      <c r="A191" s="64" t="s">
        <v>2185</v>
      </c>
      <c r="B191" s="65"/>
      <c r="C191" s="65"/>
      <c r="D191" s="66">
        <v>150</v>
      </c>
      <c r="E191" s="102">
        <v>97.85714285714286</v>
      </c>
      <c r="F191" s="98" t="str">
        <f>HYPERLINK("https://i.ytimg.com/vi/WAhVacT-3ms/default.jpg")</f>
        <v>https://i.ytimg.com/vi/WAhVacT-3ms/default.jpg</v>
      </c>
      <c r="G191" s="100"/>
      <c r="H191" s="69" t="s">
        <v>2662</v>
      </c>
      <c r="I191" s="70"/>
      <c r="J191" s="104" t="s">
        <v>159</v>
      </c>
      <c r="K191" s="69" t="s">
        <v>2662</v>
      </c>
      <c r="L191" s="105">
        <v>1</v>
      </c>
      <c r="M191" s="74">
        <v>2055.460205078125</v>
      </c>
      <c r="N191" s="74">
        <v>9188.5712890625</v>
      </c>
      <c r="O191" s="75"/>
      <c r="P191" s="76"/>
      <c r="Q191" s="76"/>
      <c r="R191" s="106"/>
      <c r="S191" s="48">
        <v>1</v>
      </c>
      <c r="T191" s="48">
        <v>0</v>
      </c>
      <c r="U191" s="49">
        <v>0</v>
      </c>
      <c r="V191" s="49">
        <v>0.18495</v>
      </c>
      <c r="W191" s="107"/>
      <c r="X191" s="50"/>
      <c r="Y191" s="50"/>
      <c r="Z191" s="49">
        <v>0</v>
      </c>
      <c r="AA191" s="71">
        <v>191</v>
      </c>
      <c r="AB191" s="71"/>
      <c r="AC191" s="72"/>
      <c r="AD191" s="79" t="s">
        <v>2662</v>
      </c>
      <c r="AE191" s="79" t="s">
        <v>3125</v>
      </c>
      <c r="AF191" s="79" t="s">
        <v>3517</v>
      </c>
      <c r="AG191" s="79" t="s">
        <v>1512</v>
      </c>
      <c r="AH191" s="79" t="s">
        <v>4028</v>
      </c>
      <c r="AI191" s="79">
        <v>180</v>
      </c>
      <c r="AJ191" s="79">
        <v>0</v>
      </c>
      <c r="AK191" s="79">
        <v>23</v>
      </c>
      <c r="AL191" s="79">
        <v>0</v>
      </c>
      <c r="AM191" s="79" t="s">
        <v>2092</v>
      </c>
      <c r="AN191" s="114" t="str">
        <f>HYPERLINK("https://www.youtube.com/watch?v=WAhVacT-3ms")</f>
        <v>https://www.youtube.com/watch?v=WAhVacT-3ms</v>
      </c>
      <c r="AO191" s="78" t="str">
        <f>REPLACE(INDEX(GroupVertices[Group],MATCH(Vertices[[#This Row],[Vertex]],GroupVertices[Vertex],0)),1,1,"")</f>
        <v>edical Centric</v>
      </c>
      <c r="AP191" s="2"/>
      <c r="AQ191" s="3"/>
      <c r="AR191" s="3"/>
      <c r="AS191" s="3"/>
      <c r="AT191" s="3"/>
    </row>
    <row r="192" spans="1:46" ht="15">
      <c r="A192" s="64" t="s">
        <v>2186</v>
      </c>
      <c r="B192" s="65"/>
      <c r="C192" s="65"/>
      <c r="D192" s="66">
        <v>150</v>
      </c>
      <c r="E192" s="102">
        <v>97.85714285714286</v>
      </c>
      <c r="F192" s="98" t="str">
        <f>HYPERLINK("https://i.ytimg.com/vi/CYe2h5Dv324/default.jpg")</f>
        <v>https://i.ytimg.com/vi/CYe2h5Dv324/default.jpg</v>
      </c>
      <c r="G192" s="100"/>
      <c r="H192" s="69" t="s">
        <v>2663</v>
      </c>
      <c r="I192" s="70"/>
      <c r="J192" s="104" t="s">
        <v>159</v>
      </c>
      <c r="K192" s="69" t="s">
        <v>2663</v>
      </c>
      <c r="L192" s="105">
        <v>1</v>
      </c>
      <c r="M192" s="74">
        <v>2273.758056640625</v>
      </c>
      <c r="N192" s="74">
        <v>6950.55419921875</v>
      </c>
      <c r="O192" s="75"/>
      <c r="P192" s="76"/>
      <c r="Q192" s="76"/>
      <c r="R192" s="106"/>
      <c r="S192" s="48">
        <v>1</v>
      </c>
      <c r="T192" s="48">
        <v>0</v>
      </c>
      <c r="U192" s="49">
        <v>0</v>
      </c>
      <c r="V192" s="49">
        <v>0.18495</v>
      </c>
      <c r="W192" s="107"/>
      <c r="X192" s="50"/>
      <c r="Y192" s="50"/>
      <c r="Z192" s="49">
        <v>0</v>
      </c>
      <c r="AA192" s="71">
        <v>192</v>
      </c>
      <c r="AB192" s="71"/>
      <c r="AC192" s="72"/>
      <c r="AD192" s="79" t="s">
        <v>2663</v>
      </c>
      <c r="AE192" s="79" t="s">
        <v>3126</v>
      </c>
      <c r="AF192" s="79" t="s">
        <v>3518</v>
      </c>
      <c r="AG192" s="79" t="s">
        <v>1512</v>
      </c>
      <c r="AH192" s="79" t="s">
        <v>4029</v>
      </c>
      <c r="AI192" s="79">
        <v>387</v>
      </c>
      <c r="AJ192" s="79">
        <v>3</v>
      </c>
      <c r="AK192" s="79">
        <v>28</v>
      </c>
      <c r="AL192" s="79">
        <v>0</v>
      </c>
      <c r="AM192" s="79" t="s">
        <v>2092</v>
      </c>
      <c r="AN192" s="114" t="str">
        <f>HYPERLINK("https://www.youtube.com/watch?v=CYe2h5Dv324")</f>
        <v>https://www.youtube.com/watch?v=CYe2h5Dv324</v>
      </c>
      <c r="AO192" s="78" t="str">
        <f>REPLACE(INDEX(GroupVertices[Group],MATCH(Vertices[[#This Row],[Vertex]],GroupVertices[Vertex],0)),1,1,"")</f>
        <v>edical Centric</v>
      </c>
      <c r="AP192" s="2"/>
      <c r="AQ192" s="3"/>
      <c r="AR192" s="3"/>
      <c r="AS192" s="3"/>
      <c r="AT192" s="3"/>
    </row>
    <row r="193" spans="1:46" ht="15">
      <c r="A193" s="64" t="s">
        <v>2187</v>
      </c>
      <c r="B193" s="65"/>
      <c r="C193" s="65"/>
      <c r="D193" s="66">
        <v>150</v>
      </c>
      <c r="E193" s="102">
        <v>97.85714285714286</v>
      </c>
      <c r="F193" s="98" t="str">
        <f>HYPERLINK("https://i.ytimg.com/vi/XwDNuItYx6A/default.jpg")</f>
        <v>https://i.ytimg.com/vi/XwDNuItYx6A/default.jpg</v>
      </c>
      <c r="G193" s="100"/>
      <c r="H193" s="69" t="s">
        <v>2664</v>
      </c>
      <c r="I193" s="70"/>
      <c r="J193" s="104" t="s">
        <v>159</v>
      </c>
      <c r="K193" s="69" t="s">
        <v>2664</v>
      </c>
      <c r="L193" s="105">
        <v>1</v>
      </c>
      <c r="M193" s="74">
        <v>1837.671630859375</v>
      </c>
      <c r="N193" s="74">
        <v>6727.265625</v>
      </c>
      <c r="O193" s="75"/>
      <c r="P193" s="76"/>
      <c r="Q193" s="76"/>
      <c r="R193" s="106"/>
      <c r="S193" s="48">
        <v>1</v>
      </c>
      <c r="T193" s="48">
        <v>0</v>
      </c>
      <c r="U193" s="49">
        <v>0</v>
      </c>
      <c r="V193" s="49">
        <v>0.18495</v>
      </c>
      <c r="W193" s="107"/>
      <c r="X193" s="50"/>
      <c r="Y193" s="50"/>
      <c r="Z193" s="49">
        <v>0</v>
      </c>
      <c r="AA193" s="71">
        <v>193</v>
      </c>
      <c r="AB193" s="71"/>
      <c r="AC193" s="72"/>
      <c r="AD193" s="79" t="s">
        <v>2664</v>
      </c>
      <c r="AE193" s="79" t="s">
        <v>3127</v>
      </c>
      <c r="AF193" s="79" t="s">
        <v>3519</v>
      </c>
      <c r="AG193" s="79" t="s">
        <v>1512</v>
      </c>
      <c r="AH193" s="79" t="s">
        <v>4030</v>
      </c>
      <c r="AI193" s="79">
        <v>503</v>
      </c>
      <c r="AJ193" s="79">
        <v>18</v>
      </c>
      <c r="AK193" s="79">
        <v>15</v>
      </c>
      <c r="AL193" s="79">
        <v>0</v>
      </c>
      <c r="AM193" s="79" t="s">
        <v>2092</v>
      </c>
      <c r="AN193" s="114" t="str">
        <f>HYPERLINK("https://www.youtube.com/watch?v=XwDNuItYx6A")</f>
        <v>https://www.youtube.com/watch?v=XwDNuItYx6A</v>
      </c>
      <c r="AO193" s="78" t="str">
        <f>REPLACE(INDEX(GroupVertices[Group],MATCH(Vertices[[#This Row],[Vertex]],GroupVertices[Vertex],0)),1,1,"")</f>
        <v>edical Centric</v>
      </c>
      <c r="AP193" s="2"/>
      <c r="AQ193" s="3"/>
      <c r="AR193" s="3"/>
      <c r="AS193" s="3"/>
      <c r="AT193" s="3"/>
    </row>
    <row r="194" spans="1:46" ht="15">
      <c r="A194" s="64" t="s">
        <v>2188</v>
      </c>
      <c r="B194" s="65"/>
      <c r="C194" s="65"/>
      <c r="D194" s="66">
        <v>150</v>
      </c>
      <c r="E194" s="102">
        <v>97.85714285714286</v>
      </c>
      <c r="F194" s="98" t="str">
        <f>HYPERLINK("https://i.ytimg.com/vi/K68e9W8D_ag/default.jpg")</f>
        <v>https://i.ytimg.com/vi/K68e9W8D_ag/default.jpg</v>
      </c>
      <c r="G194" s="100"/>
      <c r="H194" s="69" t="s">
        <v>2665</v>
      </c>
      <c r="I194" s="70"/>
      <c r="J194" s="104" t="s">
        <v>159</v>
      </c>
      <c r="K194" s="69" t="s">
        <v>2665</v>
      </c>
      <c r="L194" s="105">
        <v>1</v>
      </c>
      <c r="M194" s="74">
        <v>2472.332763671875</v>
      </c>
      <c r="N194" s="74">
        <v>7669.34228515625</v>
      </c>
      <c r="O194" s="75"/>
      <c r="P194" s="76"/>
      <c r="Q194" s="76"/>
      <c r="R194" s="106"/>
      <c r="S194" s="48">
        <v>1</v>
      </c>
      <c r="T194" s="48">
        <v>0</v>
      </c>
      <c r="U194" s="49">
        <v>0</v>
      </c>
      <c r="V194" s="49">
        <v>0.18495</v>
      </c>
      <c r="W194" s="107"/>
      <c r="X194" s="50"/>
      <c r="Y194" s="50"/>
      <c r="Z194" s="49">
        <v>0</v>
      </c>
      <c r="AA194" s="71">
        <v>194</v>
      </c>
      <c r="AB194" s="71"/>
      <c r="AC194" s="72"/>
      <c r="AD194" s="79" t="s">
        <v>2665</v>
      </c>
      <c r="AE194" s="79" t="s">
        <v>3128</v>
      </c>
      <c r="AF194" s="79" t="s">
        <v>3520</v>
      </c>
      <c r="AG194" s="79" t="s">
        <v>1512</v>
      </c>
      <c r="AH194" s="79" t="s">
        <v>4031</v>
      </c>
      <c r="AI194" s="79">
        <v>650</v>
      </c>
      <c r="AJ194" s="79">
        <v>4</v>
      </c>
      <c r="AK194" s="79">
        <v>40</v>
      </c>
      <c r="AL194" s="79">
        <v>0</v>
      </c>
      <c r="AM194" s="79" t="s">
        <v>2092</v>
      </c>
      <c r="AN194" s="114" t="str">
        <f>HYPERLINK("https://www.youtube.com/watch?v=K68e9W8D_ag")</f>
        <v>https://www.youtube.com/watch?v=K68e9W8D_ag</v>
      </c>
      <c r="AO194" s="78" t="str">
        <f>REPLACE(INDEX(GroupVertices[Group],MATCH(Vertices[[#This Row],[Vertex]],GroupVertices[Vertex],0)),1,1,"")</f>
        <v>edical Centric</v>
      </c>
      <c r="AP194" s="2"/>
      <c r="AQ194" s="3"/>
      <c r="AR194" s="3"/>
      <c r="AS194" s="3"/>
      <c r="AT194" s="3"/>
    </row>
    <row r="195" spans="1:46" ht="15">
      <c r="A195" s="64" t="s">
        <v>2189</v>
      </c>
      <c r="B195" s="65"/>
      <c r="C195" s="65"/>
      <c r="D195" s="66">
        <v>150</v>
      </c>
      <c r="E195" s="102">
        <v>97.85714285714286</v>
      </c>
      <c r="F195" s="98" t="str">
        <f>HYPERLINK("https://i.ytimg.com/vi/7qhEjt9qrHg/default.jpg")</f>
        <v>https://i.ytimg.com/vi/7qhEjt9qrHg/default.jpg</v>
      </c>
      <c r="G195" s="100"/>
      <c r="H195" s="69" t="s">
        <v>2666</v>
      </c>
      <c r="I195" s="70"/>
      <c r="J195" s="104" t="s">
        <v>159</v>
      </c>
      <c r="K195" s="69" t="s">
        <v>2666</v>
      </c>
      <c r="L195" s="105">
        <v>1</v>
      </c>
      <c r="M195" s="74">
        <v>1936.748046875</v>
      </c>
      <c r="N195" s="74">
        <v>8514.5634765625</v>
      </c>
      <c r="O195" s="75"/>
      <c r="P195" s="76"/>
      <c r="Q195" s="76"/>
      <c r="R195" s="106"/>
      <c r="S195" s="48">
        <v>1</v>
      </c>
      <c r="T195" s="48">
        <v>0</v>
      </c>
      <c r="U195" s="49">
        <v>0</v>
      </c>
      <c r="V195" s="49">
        <v>0.18495</v>
      </c>
      <c r="W195" s="107"/>
      <c r="X195" s="50"/>
      <c r="Y195" s="50"/>
      <c r="Z195" s="49">
        <v>0</v>
      </c>
      <c r="AA195" s="71">
        <v>195</v>
      </c>
      <c r="AB195" s="71"/>
      <c r="AC195" s="72"/>
      <c r="AD195" s="79" t="s">
        <v>2666</v>
      </c>
      <c r="AE195" s="79" t="s">
        <v>3129</v>
      </c>
      <c r="AF195" s="79" t="s">
        <v>3521</v>
      </c>
      <c r="AG195" s="79" t="s">
        <v>1512</v>
      </c>
      <c r="AH195" s="79" t="s">
        <v>4032</v>
      </c>
      <c r="AI195" s="79">
        <v>705</v>
      </c>
      <c r="AJ195" s="79">
        <v>2</v>
      </c>
      <c r="AK195" s="79">
        <v>34</v>
      </c>
      <c r="AL195" s="79">
        <v>0</v>
      </c>
      <c r="AM195" s="79" t="s">
        <v>2092</v>
      </c>
      <c r="AN195" s="114" t="str">
        <f>HYPERLINK("https://www.youtube.com/watch?v=7qhEjt9qrHg")</f>
        <v>https://www.youtube.com/watch?v=7qhEjt9qrHg</v>
      </c>
      <c r="AO195" s="78" t="str">
        <f>REPLACE(INDEX(GroupVertices[Group],MATCH(Vertices[[#This Row],[Vertex]],GroupVertices[Vertex],0)),1,1,"")</f>
        <v>edical Centric</v>
      </c>
      <c r="AP195" s="2"/>
      <c r="AQ195" s="3"/>
      <c r="AR195" s="3"/>
      <c r="AS195" s="3"/>
      <c r="AT195" s="3"/>
    </row>
    <row r="196" spans="1:46" ht="15">
      <c r="A196" s="64" t="s">
        <v>389</v>
      </c>
      <c r="B196" s="65"/>
      <c r="C196" s="65"/>
      <c r="D196" s="66">
        <v>150</v>
      </c>
      <c r="E196" s="102">
        <v>97.85714285714286</v>
      </c>
      <c r="F196" s="98" t="str">
        <f>HYPERLINK("https://i.ytimg.com/vi/izqEfjx9pFU/default.jpg")</f>
        <v>https://i.ytimg.com/vi/izqEfjx9pFU/default.jpg</v>
      </c>
      <c r="G196" s="100"/>
      <c r="H196" s="69" t="s">
        <v>799</v>
      </c>
      <c r="I196" s="70"/>
      <c r="J196" s="104" t="s">
        <v>159</v>
      </c>
      <c r="K196" s="69" t="s">
        <v>799</v>
      </c>
      <c r="L196" s="105">
        <v>1</v>
      </c>
      <c r="M196" s="74">
        <v>1859.8720703125</v>
      </c>
      <c r="N196" s="74">
        <v>8946.5537109375</v>
      </c>
      <c r="O196" s="75"/>
      <c r="P196" s="76"/>
      <c r="Q196" s="76"/>
      <c r="R196" s="106"/>
      <c r="S196" s="48">
        <v>1</v>
      </c>
      <c r="T196" s="48">
        <v>0</v>
      </c>
      <c r="U196" s="49">
        <v>0</v>
      </c>
      <c r="V196" s="49">
        <v>0.18495</v>
      </c>
      <c r="W196" s="107"/>
      <c r="X196" s="50"/>
      <c r="Y196" s="50"/>
      <c r="Z196" s="49">
        <v>0</v>
      </c>
      <c r="AA196" s="71">
        <v>196</v>
      </c>
      <c r="AB196" s="71"/>
      <c r="AC196" s="72"/>
      <c r="AD196" s="79" t="s">
        <v>799</v>
      </c>
      <c r="AE196" s="79" t="s">
        <v>3130</v>
      </c>
      <c r="AF196" s="79" t="s">
        <v>1383</v>
      </c>
      <c r="AG196" s="79" t="s">
        <v>1512</v>
      </c>
      <c r="AH196" s="79" t="s">
        <v>1854</v>
      </c>
      <c r="AI196" s="79">
        <v>2127</v>
      </c>
      <c r="AJ196" s="79">
        <v>3</v>
      </c>
      <c r="AK196" s="79">
        <v>50</v>
      </c>
      <c r="AL196" s="79">
        <v>0</v>
      </c>
      <c r="AM196" s="79" t="s">
        <v>2092</v>
      </c>
      <c r="AN196" s="114" t="str">
        <f>HYPERLINK("https://www.youtube.com/watch?v=izqEfjx9pFU")</f>
        <v>https://www.youtube.com/watch?v=izqEfjx9pFU</v>
      </c>
      <c r="AO196" s="78" t="str">
        <f>REPLACE(INDEX(GroupVertices[Group],MATCH(Vertices[[#This Row],[Vertex]],GroupVertices[Vertex],0)),1,1,"")</f>
        <v>edical Centric</v>
      </c>
      <c r="AP196" s="2"/>
      <c r="AQ196" s="3"/>
      <c r="AR196" s="3"/>
      <c r="AS196" s="3"/>
      <c r="AT196" s="3"/>
    </row>
    <row r="197" spans="1:46" ht="15">
      <c r="A197" s="64" t="s">
        <v>391</v>
      </c>
      <c r="B197" s="65"/>
      <c r="C197" s="65"/>
      <c r="D197" s="66">
        <v>150</v>
      </c>
      <c r="E197" s="102">
        <v>97.85714285714286</v>
      </c>
      <c r="F197" s="98" t="str">
        <f>HYPERLINK("https://i.ytimg.com/vi/Oc38zgAFrzY/default.jpg")</f>
        <v>https://i.ytimg.com/vi/Oc38zgAFrzY/default.jpg</v>
      </c>
      <c r="G197" s="100"/>
      <c r="H197" s="69" t="s">
        <v>801</v>
      </c>
      <c r="I197" s="70"/>
      <c r="J197" s="104" t="s">
        <v>159</v>
      </c>
      <c r="K197" s="69" t="s">
        <v>801</v>
      </c>
      <c r="L197" s="105">
        <v>1</v>
      </c>
      <c r="M197" s="74">
        <v>2153.07861328125</v>
      </c>
      <c r="N197" s="74">
        <v>9411.203125</v>
      </c>
      <c r="O197" s="75"/>
      <c r="P197" s="76"/>
      <c r="Q197" s="76"/>
      <c r="R197" s="106"/>
      <c r="S197" s="48">
        <v>1</v>
      </c>
      <c r="T197" s="48">
        <v>0</v>
      </c>
      <c r="U197" s="49">
        <v>0</v>
      </c>
      <c r="V197" s="49">
        <v>0.18495</v>
      </c>
      <c r="W197" s="107"/>
      <c r="X197" s="50"/>
      <c r="Y197" s="50"/>
      <c r="Z197" s="49">
        <v>0</v>
      </c>
      <c r="AA197" s="71">
        <v>197</v>
      </c>
      <c r="AB197" s="71"/>
      <c r="AC197" s="72"/>
      <c r="AD197" s="79" t="s">
        <v>801</v>
      </c>
      <c r="AE197" s="79" t="s">
        <v>3131</v>
      </c>
      <c r="AF197" s="79" t="s">
        <v>1385</v>
      </c>
      <c r="AG197" s="79" t="s">
        <v>1512</v>
      </c>
      <c r="AH197" s="79" t="s">
        <v>1856</v>
      </c>
      <c r="AI197" s="79">
        <v>602</v>
      </c>
      <c r="AJ197" s="79">
        <v>3</v>
      </c>
      <c r="AK197" s="79">
        <v>31</v>
      </c>
      <c r="AL197" s="79">
        <v>0</v>
      </c>
      <c r="AM197" s="79" t="s">
        <v>2092</v>
      </c>
      <c r="AN197" s="114" t="str">
        <f>HYPERLINK("https://www.youtube.com/watch?v=Oc38zgAFrzY")</f>
        <v>https://www.youtube.com/watch?v=Oc38zgAFrzY</v>
      </c>
      <c r="AO197" s="78" t="str">
        <f>REPLACE(INDEX(GroupVertices[Group],MATCH(Vertices[[#This Row],[Vertex]],GroupVertices[Vertex],0)),1,1,"")</f>
        <v>edical Centric</v>
      </c>
      <c r="AP197" s="2"/>
      <c r="AQ197" s="3"/>
      <c r="AR197" s="3"/>
      <c r="AS197" s="3"/>
      <c r="AT197" s="3"/>
    </row>
    <row r="198" spans="1:46" ht="15">
      <c r="A198" s="64" t="s">
        <v>390</v>
      </c>
      <c r="B198" s="65"/>
      <c r="C198" s="65"/>
      <c r="D198" s="66">
        <v>150</v>
      </c>
      <c r="E198" s="102">
        <v>97.85714285714286</v>
      </c>
      <c r="F198" s="98" t="str">
        <f>HYPERLINK("https://i.ytimg.com/vi/4bTa-0worBg/default.jpg")</f>
        <v>https://i.ytimg.com/vi/4bTa-0worBg/default.jpg</v>
      </c>
      <c r="G198" s="100"/>
      <c r="H198" s="69" t="s">
        <v>800</v>
      </c>
      <c r="I198" s="70"/>
      <c r="J198" s="104" t="s">
        <v>159</v>
      </c>
      <c r="K198" s="69" t="s">
        <v>800</v>
      </c>
      <c r="L198" s="105">
        <v>1</v>
      </c>
      <c r="M198" s="74">
        <v>2265.19384765625</v>
      </c>
      <c r="N198" s="74">
        <v>7956.30126953125</v>
      </c>
      <c r="O198" s="75"/>
      <c r="P198" s="76"/>
      <c r="Q198" s="76"/>
      <c r="R198" s="106"/>
      <c r="S198" s="48">
        <v>1</v>
      </c>
      <c r="T198" s="48">
        <v>0</v>
      </c>
      <c r="U198" s="49">
        <v>0</v>
      </c>
      <c r="V198" s="49">
        <v>0.18495</v>
      </c>
      <c r="W198" s="107"/>
      <c r="X198" s="50"/>
      <c r="Y198" s="50"/>
      <c r="Z198" s="49">
        <v>0</v>
      </c>
      <c r="AA198" s="71">
        <v>198</v>
      </c>
      <c r="AB198" s="71"/>
      <c r="AC198" s="72"/>
      <c r="AD198" s="79" t="s">
        <v>800</v>
      </c>
      <c r="AE198" s="79" t="s">
        <v>3132</v>
      </c>
      <c r="AF198" s="79" t="s">
        <v>1384</v>
      </c>
      <c r="AG198" s="79" t="s">
        <v>1512</v>
      </c>
      <c r="AH198" s="79" t="s">
        <v>1855</v>
      </c>
      <c r="AI198" s="79">
        <v>1008</v>
      </c>
      <c r="AJ198" s="79">
        <v>10</v>
      </c>
      <c r="AK198" s="79">
        <v>43</v>
      </c>
      <c r="AL198" s="79">
        <v>0</v>
      </c>
      <c r="AM198" s="79" t="s">
        <v>2092</v>
      </c>
      <c r="AN198" s="114" t="str">
        <f>HYPERLINK("https://www.youtube.com/watch?v=4bTa-0worBg")</f>
        <v>https://www.youtube.com/watch?v=4bTa-0worBg</v>
      </c>
      <c r="AO198" s="78" t="str">
        <f>REPLACE(INDEX(GroupVertices[Group],MATCH(Vertices[[#This Row],[Vertex]],GroupVertices[Vertex],0)),1,1,"")</f>
        <v>edical Centric</v>
      </c>
      <c r="AP198" s="2"/>
      <c r="AQ198" s="3"/>
      <c r="AR198" s="3"/>
      <c r="AS198" s="3"/>
      <c r="AT198" s="3"/>
    </row>
    <row r="199" spans="1:46" ht="15">
      <c r="A199" s="64" t="s">
        <v>2190</v>
      </c>
      <c r="B199" s="65"/>
      <c r="C199" s="65"/>
      <c r="D199" s="66">
        <v>150</v>
      </c>
      <c r="E199" s="102">
        <v>97.85714285714286</v>
      </c>
      <c r="F199" s="98" t="str">
        <f>HYPERLINK("https://i.ytimg.com/vi/zr7ug_e8NSc/default.jpg")</f>
        <v>https://i.ytimg.com/vi/zr7ug_e8NSc/default.jpg</v>
      </c>
      <c r="G199" s="100"/>
      <c r="H199" s="69" t="s">
        <v>2667</v>
      </c>
      <c r="I199" s="70"/>
      <c r="J199" s="104" t="s">
        <v>159</v>
      </c>
      <c r="K199" s="69" t="s">
        <v>2667</v>
      </c>
      <c r="L199" s="105">
        <v>1</v>
      </c>
      <c r="M199" s="74">
        <v>2331.255615234375</v>
      </c>
      <c r="N199" s="74">
        <v>7167.478515625</v>
      </c>
      <c r="O199" s="75"/>
      <c r="P199" s="76"/>
      <c r="Q199" s="76"/>
      <c r="R199" s="106"/>
      <c r="S199" s="48">
        <v>1</v>
      </c>
      <c r="T199" s="48">
        <v>0</v>
      </c>
      <c r="U199" s="49">
        <v>0</v>
      </c>
      <c r="V199" s="49">
        <v>0.18495</v>
      </c>
      <c r="W199" s="107"/>
      <c r="X199" s="50"/>
      <c r="Y199" s="50"/>
      <c r="Z199" s="49">
        <v>0</v>
      </c>
      <c r="AA199" s="71">
        <v>199</v>
      </c>
      <c r="AB199" s="71"/>
      <c r="AC199" s="72"/>
      <c r="AD199" s="79" t="s">
        <v>2667</v>
      </c>
      <c r="AE199" s="79" t="s">
        <v>3133</v>
      </c>
      <c r="AF199" s="79" t="s">
        <v>3522</v>
      </c>
      <c r="AG199" s="79" t="s">
        <v>1512</v>
      </c>
      <c r="AH199" s="79" t="s">
        <v>4033</v>
      </c>
      <c r="AI199" s="79">
        <v>394</v>
      </c>
      <c r="AJ199" s="79">
        <v>11</v>
      </c>
      <c r="AK199" s="79">
        <v>18</v>
      </c>
      <c r="AL199" s="79">
        <v>0</v>
      </c>
      <c r="AM199" s="79" t="s">
        <v>2092</v>
      </c>
      <c r="AN199" s="114" t="str">
        <f>HYPERLINK("https://www.youtube.com/watch?v=zr7ug_e8NSc")</f>
        <v>https://www.youtube.com/watch?v=zr7ug_e8NSc</v>
      </c>
      <c r="AO199" s="78" t="str">
        <f>REPLACE(INDEX(GroupVertices[Group],MATCH(Vertices[[#This Row],[Vertex]],GroupVertices[Vertex],0)),1,1,"")</f>
        <v>edical Centric</v>
      </c>
      <c r="AP199" s="2"/>
      <c r="AQ199" s="3"/>
      <c r="AR199" s="3"/>
      <c r="AS199" s="3"/>
      <c r="AT199" s="3"/>
    </row>
    <row r="200" spans="1:46" ht="15">
      <c r="A200" s="64" t="s">
        <v>2191</v>
      </c>
      <c r="B200" s="65"/>
      <c r="C200" s="65"/>
      <c r="D200" s="66">
        <v>150</v>
      </c>
      <c r="E200" s="102">
        <v>97.85714285714286</v>
      </c>
      <c r="F200" s="98" t="str">
        <f>HYPERLINK("https://i.ytimg.com/vi/_M4b8-k6lzU/default.jpg")</f>
        <v>https://i.ytimg.com/vi/_M4b8-k6lzU/default.jpg</v>
      </c>
      <c r="G200" s="100"/>
      <c r="H200" s="69" t="s">
        <v>2668</v>
      </c>
      <c r="I200" s="70"/>
      <c r="J200" s="104" t="s">
        <v>159</v>
      </c>
      <c r="K200" s="69" t="s">
        <v>2668</v>
      </c>
      <c r="L200" s="105">
        <v>1</v>
      </c>
      <c r="M200" s="74">
        <v>1607.16748046875</v>
      </c>
      <c r="N200" s="74">
        <v>6690.111328125</v>
      </c>
      <c r="O200" s="75"/>
      <c r="P200" s="76"/>
      <c r="Q200" s="76"/>
      <c r="R200" s="106"/>
      <c r="S200" s="48">
        <v>1</v>
      </c>
      <c r="T200" s="48">
        <v>0</v>
      </c>
      <c r="U200" s="49">
        <v>0</v>
      </c>
      <c r="V200" s="49">
        <v>0.18495</v>
      </c>
      <c r="W200" s="107"/>
      <c r="X200" s="50"/>
      <c r="Y200" s="50"/>
      <c r="Z200" s="49">
        <v>0</v>
      </c>
      <c r="AA200" s="71">
        <v>200</v>
      </c>
      <c r="AB200" s="71"/>
      <c r="AC200" s="72"/>
      <c r="AD200" s="79" t="s">
        <v>2668</v>
      </c>
      <c r="AE200" s="79" t="s">
        <v>3134</v>
      </c>
      <c r="AF200" s="79" t="s">
        <v>3523</v>
      </c>
      <c r="AG200" s="79" t="s">
        <v>1512</v>
      </c>
      <c r="AH200" s="79" t="s">
        <v>4034</v>
      </c>
      <c r="AI200" s="79">
        <v>513</v>
      </c>
      <c r="AJ200" s="79">
        <v>4</v>
      </c>
      <c r="AK200" s="79">
        <v>22</v>
      </c>
      <c r="AL200" s="79">
        <v>0</v>
      </c>
      <c r="AM200" s="79" t="s">
        <v>2092</v>
      </c>
      <c r="AN200" s="114" t="str">
        <f>HYPERLINK("https://www.youtube.com/watch?v=_M4b8-k6lzU")</f>
        <v>https://www.youtube.com/watch?v=_M4b8-k6lzU</v>
      </c>
      <c r="AO200" s="78" t="str">
        <f>REPLACE(INDEX(GroupVertices[Group],MATCH(Vertices[[#This Row],[Vertex]],GroupVertices[Vertex],0)),1,1,"")</f>
        <v>edical Centric</v>
      </c>
      <c r="AP200" s="2"/>
      <c r="AQ200" s="3"/>
      <c r="AR200" s="3"/>
      <c r="AS200" s="3"/>
      <c r="AT200" s="3"/>
    </row>
    <row r="201" spans="1:46" ht="15">
      <c r="A201" s="64" t="s">
        <v>2192</v>
      </c>
      <c r="B201" s="65"/>
      <c r="C201" s="65"/>
      <c r="D201" s="66">
        <v>150</v>
      </c>
      <c r="E201" s="102">
        <v>97.85714285714286</v>
      </c>
      <c r="F201" s="98" t="str">
        <f>HYPERLINK("https://i.ytimg.com/vi/Tx1yDLmo3rE/default.jpg")</f>
        <v>https://i.ytimg.com/vi/Tx1yDLmo3rE/default.jpg</v>
      </c>
      <c r="G201" s="100"/>
      <c r="H201" s="69" t="s">
        <v>2669</v>
      </c>
      <c r="I201" s="70"/>
      <c r="J201" s="104" t="s">
        <v>159</v>
      </c>
      <c r="K201" s="69" t="s">
        <v>2669</v>
      </c>
      <c r="L201" s="105">
        <v>1</v>
      </c>
      <c r="M201" s="74">
        <v>2426.661376953125</v>
      </c>
      <c r="N201" s="74">
        <v>7366.2626953125</v>
      </c>
      <c r="O201" s="75"/>
      <c r="P201" s="76"/>
      <c r="Q201" s="76"/>
      <c r="R201" s="106"/>
      <c r="S201" s="48">
        <v>1</v>
      </c>
      <c r="T201" s="48">
        <v>0</v>
      </c>
      <c r="U201" s="49">
        <v>0</v>
      </c>
      <c r="V201" s="49">
        <v>0.18495</v>
      </c>
      <c r="W201" s="107"/>
      <c r="X201" s="50"/>
      <c r="Y201" s="50"/>
      <c r="Z201" s="49">
        <v>0</v>
      </c>
      <c r="AA201" s="71">
        <v>201</v>
      </c>
      <c r="AB201" s="71"/>
      <c r="AC201" s="72"/>
      <c r="AD201" s="79" t="s">
        <v>2669</v>
      </c>
      <c r="AE201" s="79" t="s">
        <v>3135</v>
      </c>
      <c r="AF201" s="79" t="s">
        <v>3524</v>
      </c>
      <c r="AG201" s="79" t="s">
        <v>1512</v>
      </c>
      <c r="AH201" s="79" t="s">
        <v>4035</v>
      </c>
      <c r="AI201" s="79">
        <v>667</v>
      </c>
      <c r="AJ201" s="79">
        <v>6</v>
      </c>
      <c r="AK201" s="79">
        <v>46</v>
      </c>
      <c r="AL201" s="79">
        <v>0</v>
      </c>
      <c r="AM201" s="79" t="s">
        <v>2092</v>
      </c>
      <c r="AN201" s="114" t="str">
        <f>HYPERLINK("https://www.youtube.com/watch?v=Tx1yDLmo3rE")</f>
        <v>https://www.youtube.com/watch?v=Tx1yDLmo3rE</v>
      </c>
      <c r="AO201" s="78" t="str">
        <f>REPLACE(INDEX(GroupVertices[Group],MATCH(Vertices[[#This Row],[Vertex]],GroupVertices[Vertex],0)),1,1,"")</f>
        <v>edical Centric</v>
      </c>
      <c r="AP201" s="2"/>
      <c r="AQ201" s="3"/>
      <c r="AR201" s="3"/>
      <c r="AS201" s="3"/>
      <c r="AT201" s="3"/>
    </row>
    <row r="202" spans="1:46" ht="15">
      <c r="A202" s="64" t="s">
        <v>288</v>
      </c>
      <c r="B202" s="65"/>
      <c r="C202" s="65"/>
      <c r="D202" s="66">
        <v>150</v>
      </c>
      <c r="E202" s="102">
        <v>97.85714285714286</v>
      </c>
      <c r="F202" s="98" t="str">
        <f>HYPERLINK("https://i.ytimg.com/vi/iA_PhwvAhsY/default.jpg")</f>
        <v>https://i.ytimg.com/vi/iA_PhwvAhsY/default.jpg</v>
      </c>
      <c r="G202" s="100"/>
      <c r="H202" s="69" t="s">
        <v>680</v>
      </c>
      <c r="I202" s="70"/>
      <c r="J202" s="104" t="s">
        <v>159</v>
      </c>
      <c r="K202" s="69" t="s">
        <v>680</v>
      </c>
      <c r="L202" s="105">
        <v>1</v>
      </c>
      <c r="M202" s="74">
        <v>2003.8482666015625</v>
      </c>
      <c r="N202" s="74">
        <v>7857.005859375</v>
      </c>
      <c r="O202" s="75"/>
      <c r="P202" s="76"/>
      <c r="Q202" s="76"/>
      <c r="R202" s="106"/>
      <c r="S202" s="48">
        <v>1</v>
      </c>
      <c r="T202" s="48">
        <v>0</v>
      </c>
      <c r="U202" s="49">
        <v>0</v>
      </c>
      <c r="V202" s="49">
        <v>0.18495</v>
      </c>
      <c r="W202" s="107"/>
      <c r="X202" s="50"/>
      <c r="Y202" s="50"/>
      <c r="Z202" s="49">
        <v>0</v>
      </c>
      <c r="AA202" s="71">
        <v>202</v>
      </c>
      <c r="AB202" s="71"/>
      <c r="AC202" s="72"/>
      <c r="AD202" s="79" t="s">
        <v>680</v>
      </c>
      <c r="AE202" s="79" t="s">
        <v>3136</v>
      </c>
      <c r="AF202" s="79" t="s">
        <v>1335</v>
      </c>
      <c r="AG202" s="79" t="s">
        <v>1542</v>
      </c>
      <c r="AH202" s="79" t="s">
        <v>1735</v>
      </c>
      <c r="AI202" s="79">
        <v>69106</v>
      </c>
      <c r="AJ202" s="79">
        <v>539</v>
      </c>
      <c r="AK202" s="79">
        <v>2478</v>
      </c>
      <c r="AL202" s="79">
        <v>0</v>
      </c>
      <c r="AM202" s="79" t="s">
        <v>2092</v>
      </c>
      <c r="AN202" s="114" t="str">
        <f>HYPERLINK("https://www.youtube.com/watch?v=iA_PhwvAhsY")</f>
        <v>https://www.youtube.com/watch?v=iA_PhwvAhsY</v>
      </c>
      <c r="AO202" s="78" t="str">
        <f>REPLACE(INDEX(GroupVertices[Group],MATCH(Vertices[[#This Row],[Vertex]],GroupVertices[Vertex],0)),1,1,"")</f>
        <v>r. Tracey Marks</v>
      </c>
      <c r="AP202" s="2"/>
      <c r="AQ202" s="3"/>
      <c r="AR202" s="3"/>
      <c r="AS202" s="3"/>
      <c r="AT202" s="3"/>
    </row>
    <row r="203" spans="1:46" ht="15">
      <c r="A203" s="64" t="s">
        <v>2193</v>
      </c>
      <c r="B203" s="65"/>
      <c r="C203" s="65"/>
      <c r="D203" s="66">
        <v>150</v>
      </c>
      <c r="E203" s="102">
        <v>97.85714285714286</v>
      </c>
      <c r="F203" s="98" t="str">
        <f>HYPERLINK("https://i.ytimg.com/vi/1qDKB4DG7T4/default.jpg")</f>
        <v>https://i.ytimg.com/vi/1qDKB4DG7T4/default.jpg</v>
      </c>
      <c r="G203" s="100"/>
      <c r="H203" s="69" t="s">
        <v>2670</v>
      </c>
      <c r="I203" s="70"/>
      <c r="J203" s="104" t="s">
        <v>159</v>
      </c>
      <c r="K203" s="69" t="s">
        <v>2670</v>
      </c>
      <c r="L203" s="105">
        <v>1</v>
      </c>
      <c r="M203" s="74">
        <v>2326.142822265625</v>
      </c>
      <c r="N203" s="74">
        <v>8998.181640625</v>
      </c>
      <c r="O203" s="75"/>
      <c r="P203" s="76"/>
      <c r="Q203" s="76"/>
      <c r="R203" s="106"/>
      <c r="S203" s="48">
        <v>1</v>
      </c>
      <c r="T203" s="48">
        <v>0</v>
      </c>
      <c r="U203" s="49">
        <v>0</v>
      </c>
      <c r="V203" s="49">
        <v>0.18495</v>
      </c>
      <c r="W203" s="107"/>
      <c r="X203" s="50"/>
      <c r="Y203" s="50"/>
      <c r="Z203" s="49">
        <v>0</v>
      </c>
      <c r="AA203" s="71">
        <v>203</v>
      </c>
      <c r="AB203" s="71"/>
      <c r="AC203" s="72"/>
      <c r="AD203" s="79" t="s">
        <v>2670</v>
      </c>
      <c r="AE203" s="79" t="s">
        <v>3137</v>
      </c>
      <c r="AF203" s="79" t="s">
        <v>3525</v>
      </c>
      <c r="AG203" s="79" t="s">
        <v>1512</v>
      </c>
      <c r="AH203" s="79" t="s">
        <v>4036</v>
      </c>
      <c r="AI203" s="79">
        <v>486</v>
      </c>
      <c r="AJ203" s="79">
        <v>4</v>
      </c>
      <c r="AK203" s="79">
        <v>33</v>
      </c>
      <c r="AL203" s="79">
        <v>0</v>
      </c>
      <c r="AM203" s="79" t="s">
        <v>2092</v>
      </c>
      <c r="AN203" s="114" t="str">
        <f>HYPERLINK("https://www.youtube.com/watch?v=1qDKB4DG7T4")</f>
        <v>https://www.youtube.com/watch?v=1qDKB4DG7T4</v>
      </c>
      <c r="AO203" s="78" t="str">
        <f>REPLACE(INDEX(GroupVertices[Group],MATCH(Vertices[[#This Row],[Vertex]],GroupVertices[Vertex],0)),1,1,"")</f>
        <v>edical Centric</v>
      </c>
      <c r="AP203" s="2"/>
      <c r="AQ203" s="3"/>
      <c r="AR203" s="3"/>
      <c r="AS203" s="3"/>
      <c r="AT203" s="3"/>
    </row>
    <row r="204" spans="1:46" ht="15">
      <c r="A204" s="64" t="s">
        <v>2194</v>
      </c>
      <c r="B204" s="65"/>
      <c r="C204" s="65"/>
      <c r="D204" s="66">
        <v>150</v>
      </c>
      <c r="E204" s="102">
        <v>97.85714285714286</v>
      </c>
      <c r="F204" s="98" t="str">
        <f>HYPERLINK("https://i.ytimg.com/vi/2BUVjnydGXs/default.jpg")</f>
        <v>https://i.ytimg.com/vi/2BUVjnydGXs/default.jpg</v>
      </c>
      <c r="G204" s="100"/>
      <c r="H204" s="69" t="s">
        <v>2671</v>
      </c>
      <c r="I204" s="70"/>
      <c r="J204" s="104" t="s">
        <v>159</v>
      </c>
      <c r="K204" s="69" t="s">
        <v>2671</v>
      </c>
      <c r="L204" s="105">
        <v>1</v>
      </c>
      <c r="M204" s="74">
        <v>1763.0306396484375</v>
      </c>
      <c r="N204" s="74">
        <v>6169.44287109375</v>
      </c>
      <c r="O204" s="75"/>
      <c r="P204" s="76"/>
      <c r="Q204" s="76"/>
      <c r="R204" s="106"/>
      <c r="S204" s="48">
        <v>1</v>
      </c>
      <c r="T204" s="48">
        <v>0</v>
      </c>
      <c r="U204" s="49">
        <v>0</v>
      </c>
      <c r="V204" s="49">
        <v>0.118287</v>
      </c>
      <c r="W204" s="107"/>
      <c r="X204" s="50"/>
      <c r="Y204" s="50"/>
      <c r="Z204" s="49">
        <v>0</v>
      </c>
      <c r="AA204" s="71">
        <v>204</v>
      </c>
      <c r="AB204" s="71"/>
      <c r="AC204" s="72"/>
      <c r="AD204" s="79" t="s">
        <v>2671</v>
      </c>
      <c r="AE204" s="79" t="s">
        <v>3138</v>
      </c>
      <c r="AF204" s="79"/>
      <c r="AG204" s="79" t="s">
        <v>1607</v>
      </c>
      <c r="AH204" s="79" t="s">
        <v>4037</v>
      </c>
      <c r="AI204" s="79">
        <v>6</v>
      </c>
      <c r="AJ204" s="79">
        <v>0</v>
      </c>
      <c r="AK204" s="79">
        <v>0</v>
      </c>
      <c r="AL204" s="79">
        <v>0</v>
      </c>
      <c r="AM204" s="79" t="s">
        <v>2092</v>
      </c>
      <c r="AN204" s="114" t="str">
        <f>HYPERLINK("https://www.youtube.com/watch?v=2BUVjnydGXs")</f>
        <v>https://www.youtube.com/watch?v=2BUVjnydGXs</v>
      </c>
      <c r="AO204" s="78" t="str">
        <f>REPLACE(INDEX(GroupVertices[Group],MATCH(Vertices[[#This Row],[Vertex]],GroupVertices[Vertex],0)),1,1,"")</f>
        <v xml:space="preserve"> moment in the Word  Galveston Texas</v>
      </c>
      <c r="AP204" s="2"/>
      <c r="AQ204" s="3"/>
      <c r="AR204" s="3"/>
      <c r="AS204" s="3"/>
      <c r="AT204" s="3"/>
    </row>
    <row r="205" spans="1:46" ht="15">
      <c r="A205" s="64" t="s">
        <v>412</v>
      </c>
      <c r="B205" s="65"/>
      <c r="C205" s="65"/>
      <c r="D205" s="66">
        <v>150</v>
      </c>
      <c r="E205" s="102">
        <v>97.85714285714286</v>
      </c>
      <c r="F205" s="98" t="str">
        <f>HYPERLINK("https://i.ytimg.com/vi/s4o0Mt3WUTs/default.jpg")</f>
        <v>https://i.ytimg.com/vi/s4o0Mt3WUTs/default.jpg</v>
      </c>
      <c r="G205" s="100"/>
      <c r="H205" s="69" t="s">
        <v>828</v>
      </c>
      <c r="I205" s="70"/>
      <c r="J205" s="104" t="s">
        <v>159</v>
      </c>
      <c r="K205" s="69" t="s">
        <v>828</v>
      </c>
      <c r="L205" s="105">
        <v>1</v>
      </c>
      <c r="M205" s="74">
        <v>1847.0679931640625</v>
      </c>
      <c r="N205" s="74">
        <v>6019.228515625</v>
      </c>
      <c r="O205" s="75"/>
      <c r="P205" s="76"/>
      <c r="Q205" s="76"/>
      <c r="R205" s="106"/>
      <c r="S205" s="48">
        <v>1</v>
      </c>
      <c r="T205" s="48">
        <v>0</v>
      </c>
      <c r="U205" s="49">
        <v>0</v>
      </c>
      <c r="V205" s="49">
        <v>0.118287</v>
      </c>
      <c r="W205" s="107"/>
      <c r="X205" s="50"/>
      <c r="Y205" s="50"/>
      <c r="Z205" s="49">
        <v>0</v>
      </c>
      <c r="AA205" s="71">
        <v>205</v>
      </c>
      <c r="AB205" s="71"/>
      <c r="AC205" s="72"/>
      <c r="AD205" s="79" t="s">
        <v>828</v>
      </c>
      <c r="AE205" s="79"/>
      <c r="AF205" s="79"/>
      <c r="AG205" s="79" t="s">
        <v>1608</v>
      </c>
      <c r="AH205" s="79" t="s">
        <v>1884</v>
      </c>
      <c r="AI205" s="79">
        <v>2</v>
      </c>
      <c r="AJ205" s="79">
        <v>0</v>
      </c>
      <c r="AK205" s="79">
        <v>0</v>
      </c>
      <c r="AL205" s="79">
        <v>0</v>
      </c>
      <c r="AM205" s="79" t="s">
        <v>2092</v>
      </c>
      <c r="AN205" s="114" t="str">
        <f>HYPERLINK("https://www.youtube.com/watch?v=s4o0Mt3WUTs")</f>
        <v>https://www.youtube.com/watch?v=s4o0Mt3WUTs</v>
      </c>
      <c r="AO205" s="78" t="str">
        <f>REPLACE(INDEX(GroupVertices[Group],MATCH(Vertices[[#This Row],[Vertex]],GroupVertices[Vertex],0)),1,1,"")</f>
        <v>ark Barney</v>
      </c>
      <c r="AP205" s="2"/>
      <c r="AQ205" s="3"/>
      <c r="AR205" s="3"/>
      <c r="AS205" s="3"/>
      <c r="AT205" s="3"/>
    </row>
    <row r="206" spans="1:46" ht="15">
      <c r="A206" s="64" t="s">
        <v>413</v>
      </c>
      <c r="B206" s="65"/>
      <c r="C206" s="65"/>
      <c r="D206" s="66">
        <v>150</v>
      </c>
      <c r="E206" s="102">
        <v>97.85714285714286</v>
      </c>
      <c r="F206" s="98" t="str">
        <f>HYPERLINK("https://i.ytimg.com/vi/rsA5cr9aeps/default.jpg")</f>
        <v>https://i.ytimg.com/vi/rsA5cr9aeps/default.jpg</v>
      </c>
      <c r="G206" s="100"/>
      <c r="H206" s="69" t="s">
        <v>829</v>
      </c>
      <c r="I206" s="70"/>
      <c r="J206" s="104" t="s">
        <v>159</v>
      </c>
      <c r="K206" s="69" t="s">
        <v>829</v>
      </c>
      <c r="L206" s="105">
        <v>1</v>
      </c>
      <c r="M206" s="74">
        <v>1645.223388671875</v>
      </c>
      <c r="N206" s="74">
        <v>6071.8818359375</v>
      </c>
      <c r="O206" s="75"/>
      <c r="P206" s="76"/>
      <c r="Q206" s="76"/>
      <c r="R206" s="106"/>
      <c r="S206" s="48">
        <v>1</v>
      </c>
      <c r="T206" s="48">
        <v>0</v>
      </c>
      <c r="U206" s="49">
        <v>0</v>
      </c>
      <c r="V206" s="49">
        <v>0.118287</v>
      </c>
      <c r="W206" s="107"/>
      <c r="X206" s="50"/>
      <c r="Y206" s="50"/>
      <c r="Z206" s="49">
        <v>0</v>
      </c>
      <c r="AA206" s="71">
        <v>206</v>
      </c>
      <c r="AB206" s="71"/>
      <c r="AC206" s="72"/>
      <c r="AD206" s="79" t="s">
        <v>829</v>
      </c>
      <c r="AE206" s="79" t="s">
        <v>1156</v>
      </c>
      <c r="AF206" s="79"/>
      <c r="AG206" s="79" t="s">
        <v>1609</v>
      </c>
      <c r="AH206" s="79" t="s">
        <v>1885</v>
      </c>
      <c r="AI206" s="79">
        <v>13</v>
      </c>
      <c r="AJ206" s="79">
        <v>0</v>
      </c>
      <c r="AK206" s="79">
        <v>1</v>
      </c>
      <c r="AL206" s="79">
        <v>0</v>
      </c>
      <c r="AM206" s="79" t="s">
        <v>2092</v>
      </c>
      <c r="AN206" s="114" t="str">
        <f>HYPERLINK("https://www.youtube.com/watch?v=rsA5cr9aeps")</f>
        <v>https://www.youtube.com/watch?v=rsA5cr9aeps</v>
      </c>
      <c r="AO206" s="78" t="str">
        <f>REPLACE(INDEX(GroupVertices[Group],MATCH(Vertices[[#This Row],[Vertex]],GroupVertices[Vertex],0)),1,1,"")</f>
        <v>entral Schwenkfelder Church</v>
      </c>
      <c r="AP206" s="2"/>
      <c r="AQ206" s="3"/>
      <c r="AR206" s="3"/>
      <c r="AS206" s="3"/>
      <c r="AT206" s="3"/>
    </row>
    <row r="207" spans="1:46" ht="15">
      <c r="A207" s="64" t="s">
        <v>414</v>
      </c>
      <c r="B207" s="65"/>
      <c r="C207" s="65"/>
      <c r="D207" s="66">
        <v>150</v>
      </c>
      <c r="E207" s="102">
        <v>97.85714285714286</v>
      </c>
      <c r="F207" s="98" t="str">
        <f>HYPERLINK("https://i.ytimg.com/vi/42QT8GkpRnk/default.jpg")</f>
        <v>https://i.ytimg.com/vi/42QT8GkpRnk/default.jpg</v>
      </c>
      <c r="G207" s="100"/>
      <c r="H207" s="69" t="s">
        <v>830</v>
      </c>
      <c r="I207" s="70"/>
      <c r="J207" s="104" t="s">
        <v>159</v>
      </c>
      <c r="K207" s="69" t="s">
        <v>830</v>
      </c>
      <c r="L207" s="105">
        <v>1</v>
      </c>
      <c r="M207" s="74">
        <v>1554.4791259765625</v>
      </c>
      <c r="N207" s="74">
        <v>6213.03662109375</v>
      </c>
      <c r="O207" s="75"/>
      <c r="P207" s="76"/>
      <c r="Q207" s="76"/>
      <c r="R207" s="106"/>
      <c r="S207" s="48">
        <v>1</v>
      </c>
      <c r="T207" s="48">
        <v>0</v>
      </c>
      <c r="U207" s="49">
        <v>0</v>
      </c>
      <c r="V207" s="49">
        <v>0.118287</v>
      </c>
      <c r="W207" s="107"/>
      <c r="X207" s="50"/>
      <c r="Y207" s="50"/>
      <c r="Z207" s="49">
        <v>0</v>
      </c>
      <c r="AA207" s="71">
        <v>207</v>
      </c>
      <c r="AB207" s="71"/>
      <c r="AC207" s="72"/>
      <c r="AD207" s="79" t="s">
        <v>830</v>
      </c>
      <c r="AE207" s="79" t="s">
        <v>1157</v>
      </c>
      <c r="AF207" s="79"/>
      <c r="AG207" s="79" t="s">
        <v>1606</v>
      </c>
      <c r="AH207" s="79" t="s">
        <v>1886</v>
      </c>
      <c r="AI207" s="79">
        <v>93</v>
      </c>
      <c r="AJ207" s="79">
        <v>0</v>
      </c>
      <c r="AK207" s="79">
        <v>2</v>
      </c>
      <c r="AL207" s="79">
        <v>0</v>
      </c>
      <c r="AM207" s="79" t="s">
        <v>2092</v>
      </c>
      <c r="AN207" s="114" t="str">
        <f>HYPERLINK("https://www.youtube.com/watch?v=42QT8GkpRnk")</f>
        <v>https://www.youtube.com/watch?v=42QT8GkpRnk</v>
      </c>
      <c r="AO207" s="78" t="str">
        <f>REPLACE(INDEX(GroupVertices[Group],MATCH(Vertices[[#This Row],[Vertex]],GroupVertices[Vertex],0)),1,1,"")</f>
        <v>amily Trauma Solutions with Dr. Scott Sells</v>
      </c>
      <c r="AP207" s="2"/>
      <c r="AQ207" s="3"/>
      <c r="AR207" s="3"/>
      <c r="AS207" s="3"/>
      <c r="AT207" s="3"/>
    </row>
    <row r="208" spans="1:46" ht="15">
      <c r="A208" s="64" t="s">
        <v>398</v>
      </c>
      <c r="B208" s="65"/>
      <c r="C208" s="65"/>
      <c r="D208" s="66">
        <v>150</v>
      </c>
      <c r="E208" s="102">
        <v>97.85714285714286</v>
      </c>
      <c r="F208" s="98" t="str">
        <f>HYPERLINK("https://i.ytimg.com/vi/u40d8uH2DV8/default.jpg")</f>
        <v>https://i.ytimg.com/vi/u40d8uH2DV8/default.jpg</v>
      </c>
      <c r="G208" s="100"/>
      <c r="H208" s="69" t="s">
        <v>810</v>
      </c>
      <c r="I208" s="70"/>
      <c r="J208" s="104" t="s">
        <v>159</v>
      </c>
      <c r="K208" s="69" t="s">
        <v>810</v>
      </c>
      <c r="L208" s="105">
        <v>1</v>
      </c>
      <c r="M208" s="74">
        <v>272.690673828125</v>
      </c>
      <c r="N208" s="74">
        <v>3918.27001953125</v>
      </c>
      <c r="O208" s="75"/>
      <c r="P208" s="76"/>
      <c r="Q208" s="76"/>
      <c r="R208" s="106"/>
      <c r="S208" s="48">
        <v>1</v>
      </c>
      <c r="T208" s="48">
        <v>0</v>
      </c>
      <c r="U208" s="49">
        <v>0</v>
      </c>
      <c r="V208" s="49">
        <v>0.118132</v>
      </c>
      <c r="W208" s="107"/>
      <c r="X208" s="50"/>
      <c r="Y208" s="50"/>
      <c r="Z208" s="49">
        <v>0</v>
      </c>
      <c r="AA208" s="71">
        <v>208</v>
      </c>
      <c r="AB208" s="71"/>
      <c r="AC208" s="72"/>
      <c r="AD208" s="79" t="s">
        <v>810</v>
      </c>
      <c r="AE208" s="79" t="s">
        <v>1142</v>
      </c>
      <c r="AF208" s="79"/>
      <c r="AG208" s="79" t="s">
        <v>1591</v>
      </c>
      <c r="AH208" s="79" t="s">
        <v>1865</v>
      </c>
      <c r="AI208" s="79">
        <v>599</v>
      </c>
      <c r="AJ208" s="79">
        <v>0</v>
      </c>
      <c r="AK208" s="79">
        <v>6</v>
      </c>
      <c r="AL208" s="79">
        <v>0</v>
      </c>
      <c r="AM208" s="79" t="s">
        <v>2092</v>
      </c>
      <c r="AN208" s="114" t="str">
        <f>HYPERLINK("https://www.youtube.com/watch?v=u40d8uH2DV8")</f>
        <v>https://www.youtube.com/watch?v=u40d8uH2DV8</v>
      </c>
      <c r="AO208" s="78" t="str">
        <f>REPLACE(INDEX(GroupVertices[Group],MATCH(Vertices[[#This Row],[Vertex]],GroupVertices[Vertex],0)),1,1,"")</f>
        <v>éminaires CESP Villejuif</v>
      </c>
      <c r="AP208" s="2"/>
      <c r="AQ208" s="3"/>
      <c r="AR208" s="3"/>
      <c r="AS208" s="3"/>
      <c r="AT208" s="3"/>
    </row>
    <row r="209" spans="1:46" ht="15">
      <c r="A209" s="64" t="s">
        <v>249</v>
      </c>
      <c r="B209" s="65"/>
      <c r="C209" s="65"/>
      <c r="D209" s="66">
        <v>150</v>
      </c>
      <c r="E209" s="102">
        <v>93.57142857142857</v>
      </c>
      <c r="F209" s="98" t="str">
        <f>HYPERLINK("https://i.ytimg.com/vi/hZcVzJxbVRE/default.jpg")</f>
        <v>https://i.ytimg.com/vi/hZcVzJxbVRE/default.jpg</v>
      </c>
      <c r="G209" s="100"/>
      <c r="H209" s="69" t="s">
        <v>622</v>
      </c>
      <c r="I209" s="70"/>
      <c r="J209" s="104" t="s">
        <v>75</v>
      </c>
      <c r="K209" s="69" t="s">
        <v>622</v>
      </c>
      <c r="L209" s="105">
        <v>1.3818076842927542</v>
      </c>
      <c r="M209" s="74">
        <v>288.8835144042969</v>
      </c>
      <c r="N209" s="74">
        <v>4402.4501953125</v>
      </c>
      <c r="O209" s="75"/>
      <c r="P209" s="76"/>
      <c r="Q209" s="76"/>
      <c r="R209" s="106"/>
      <c r="S209" s="48">
        <v>3</v>
      </c>
      <c r="T209" s="48">
        <v>0</v>
      </c>
      <c r="U209" s="49">
        <v>5.333333</v>
      </c>
      <c r="V209" s="49">
        <v>0.118598</v>
      </c>
      <c r="W209" s="107"/>
      <c r="X209" s="50"/>
      <c r="Y209" s="50"/>
      <c r="Z209" s="49">
        <v>0</v>
      </c>
      <c r="AA209" s="71">
        <v>209</v>
      </c>
      <c r="AB209" s="71"/>
      <c r="AC209" s="72"/>
      <c r="AD209" s="79" t="s">
        <v>622</v>
      </c>
      <c r="AE209" s="79" t="s">
        <v>1035</v>
      </c>
      <c r="AF209" s="79"/>
      <c r="AG209" s="79" t="s">
        <v>1485</v>
      </c>
      <c r="AH209" s="79" t="s">
        <v>1679</v>
      </c>
      <c r="AI209" s="79">
        <v>286639</v>
      </c>
      <c r="AJ209" s="79">
        <v>1054</v>
      </c>
      <c r="AK209" s="79">
        <v>3194</v>
      </c>
      <c r="AL209" s="79">
        <v>0</v>
      </c>
      <c r="AM209" s="79" t="s">
        <v>2092</v>
      </c>
      <c r="AN209" s="114" t="str">
        <f>HYPERLINK("https://www.youtube.com/watch?v=hZcVzJxbVRE")</f>
        <v>https://www.youtube.com/watch?v=hZcVzJxbVRE</v>
      </c>
      <c r="AO209" s="78" t="str">
        <f>REPLACE(INDEX(GroupVertices[Group],MATCH(Vertices[[#This Row],[Vertex]],GroupVertices[Vertex],0)),1,1,"")</f>
        <v>alika Andrews - ESPN</v>
      </c>
      <c r="AP209" s="2"/>
      <c r="AQ209" s="3"/>
      <c r="AR209" s="3"/>
      <c r="AS209" s="3"/>
      <c r="AT209" s="3"/>
    </row>
    <row r="210" spans="1:46" ht="15">
      <c r="A210" s="64" t="s">
        <v>250</v>
      </c>
      <c r="B210" s="65"/>
      <c r="C210" s="65"/>
      <c r="D210" s="66">
        <v>150</v>
      </c>
      <c r="E210" s="102">
        <v>93.57142857142857</v>
      </c>
      <c r="F210" s="98" t="str">
        <f>HYPERLINK("https://i.ytimg.com/vi/D8UWsFMVj_Q/default.jpg")</f>
        <v>https://i.ytimg.com/vi/D8UWsFMVj_Q/default.jpg</v>
      </c>
      <c r="G210" s="100"/>
      <c r="H210" s="69" t="s">
        <v>623</v>
      </c>
      <c r="I210" s="70"/>
      <c r="J210" s="104" t="s">
        <v>75</v>
      </c>
      <c r="K210" s="69" t="s">
        <v>623</v>
      </c>
      <c r="L210" s="105">
        <v>1.3818076842927542</v>
      </c>
      <c r="M210" s="74">
        <v>331.0073547363281</v>
      </c>
      <c r="N210" s="74">
        <v>4272.04931640625</v>
      </c>
      <c r="O210" s="75"/>
      <c r="P210" s="76"/>
      <c r="Q210" s="76"/>
      <c r="R210" s="106"/>
      <c r="S210" s="48">
        <v>3</v>
      </c>
      <c r="T210" s="48">
        <v>0</v>
      </c>
      <c r="U210" s="49">
        <v>5.333333</v>
      </c>
      <c r="V210" s="49">
        <v>0.118598</v>
      </c>
      <c r="W210" s="107"/>
      <c r="X210" s="50"/>
      <c r="Y210" s="50"/>
      <c r="Z210" s="49">
        <v>0</v>
      </c>
      <c r="AA210" s="71">
        <v>210</v>
      </c>
      <c r="AB210" s="71"/>
      <c r="AC210" s="72"/>
      <c r="AD210" s="79" t="s">
        <v>623</v>
      </c>
      <c r="AE210" s="79" t="s">
        <v>3139</v>
      </c>
      <c r="AF210" s="79" t="s">
        <v>1295</v>
      </c>
      <c r="AG210" s="79" t="s">
        <v>1486</v>
      </c>
      <c r="AH210" s="79" t="s">
        <v>1680</v>
      </c>
      <c r="AI210" s="79">
        <v>1057854</v>
      </c>
      <c r="AJ210" s="79">
        <v>4595</v>
      </c>
      <c r="AK210" s="79">
        <v>70012</v>
      </c>
      <c r="AL210" s="79">
        <v>0</v>
      </c>
      <c r="AM210" s="79" t="s">
        <v>2092</v>
      </c>
      <c r="AN210" s="114" t="str">
        <f>HYPERLINK("https://www.youtube.com/watch?v=D8UWsFMVj_Q")</f>
        <v>https://www.youtube.com/watch?v=D8UWsFMVj_Q</v>
      </c>
      <c r="AO210" s="78" t="str">
        <f>REPLACE(INDEX(GroupVertices[Group],MATCH(Vertices[[#This Row],[Vertex]],GroupVertices[Vertex],0)),1,1,"")</f>
        <v>PR Music</v>
      </c>
      <c r="AP210" s="2"/>
      <c r="AQ210" s="3"/>
      <c r="AR210" s="3"/>
      <c r="AS210" s="3"/>
      <c r="AT210" s="3"/>
    </row>
    <row r="211" spans="1:46" ht="15">
      <c r="A211" s="64" t="s">
        <v>251</v>
      </c>
      <c r="B211" s="65"/>
      <c r="C211" s="65"/>
      <c r="D211" s="66">
        <v>150</v>
      </c>
      <c r="E211" s="102">
        <v>93.57142857142857</v>
      </c>
      <c r="F211" s="98" t="str">
        <f>HYPERLINK("https://i.ytimg.com/vi/Wn-VdZ4LEKg/default.jpg")</f>
        <v>https://i.ytimg.com/vi/Wn-VdZ4LEKg/default.jpg</v>
      </c>
      <c r="G211" s="100"/>
      <c r="H211" s="69" t="s">
        <v>624</v>
      </c>
      <c r="I211" s="70"/>
      <c r="J211" s="104" t="s">
        <v>75</v>
      </c>
      <c r="K211" s="69" t="s">
        <v>624</v>
      </c>
      <c r="L211" s="105">
        <v>1.3818076842927542</v>
      </c>
      <c r="M211" s="74">
        <v>336.1418762207031</v>
      </c>
      <c r="N211" s="74">
        <v>4576.587890625</v>
      </c>
      <c r="O211" s="75"/>
      <c r="P211" s="76"/>
      <c r="Q211" s="76"/>
      <c r="R211" s="106"/>
      <c r="S211" s="48">
        <v>3</v>
      </c>
      <c r="T211" s="48">
        <v>0</v>
      </c>
      <c r="U211" s="49">
        <v>5.333333</v>
      </c>
      <c r="V211" s="49">
        <v>0.118598</v>
      </c>
      <c r="W211" s="107"/>
      <c r="X211" s="50"/>
      <c r="Y211" s="50"/>
      <c r="Z211" s="49">
        <v>0</v>
      </c>
      <c r="AA211" s="71">
        <v>211</v>
      </c>
      <c r="AB211" s="71"/>
      <c r="AC211" s="72"/>
      <c r="AD211" s="79" t="s">
        <v>624</v>
      </c>
      <c r="AE211" s="79" t="s">
        <v>1036</v>
      </c>
      <c r="AF211" s="79"/>
      <c r="AG211" s="79" t="s">
        <v>1487</v>
      </c>
      <c r="AH211" s="79" t="s">
        <v>1681</v>
      </c>
      <c r="AI211" s="79">
        <v>608562</v>
      </c>
      <c r="AJ211" s="79">
        <v>3984</v>
      </c>
      <c r="AK211" s="79">
        <v>64096</v>
      </c>
      <c r="AL211" s="79">
        <v>0</v>
      </c>
      <c r="AM211" s="79" t="s">
        <v>2092</v>
      </c>
      <c r="AN211" s="114" t="str">
        <f>HYPERLINK("https://www.youtube.com/watch?v=Wn-VdZ4LEKg")</f>
        <v>https://www.youtube.com/watch?v=Wn-VdZ4LEKg</v>
      </c>
      <c r="AO211" s="78" t="str">
        <f>REPLACE(INDEX(GroupVertices[Group],MATCH(Vertices[[#This Row],[Vertex]],GroupVertices[Vertex],0)),1,1,"")</f>
        <v>host</v>
      </c>
      <c r="AP211" s="2"/>
      <c r="AQ211" s="3"/>
      <c r="AR211" s="3"/>
      <c r="AS211" s="3"/>
      <c r="AT211" s="3"/>
    </row>
    <row r="212" spans="1:46" ht="15">
      <c r="A212" s="64" t="s">
        <v>2195</v>
      </c>
      <c r="B212" s="65"/>
      <c r="C212" s="65"/>
      <c r="D212" s="66">
        <v>150</v>
      </c>
      <c r="E212" s="102">
        <v>97.85714285714286</v>
      </c>
      <c r="F212" s="98" t="str">
        <f>HYPERLINK("https://i.ytimg.com/vi/kqdMftYUFqw/default.jpg")</f>
        <v>https://i.ytimg.com/vi/kqdMftYUFqw/default.jpg</v>
      </c>
      <c r="G212" s="100"/>
      <c r="H212" s="69" t="s">
        <v>2672</v>
      </c>
      <c r="I212" s="70"/>
      <c r="J212" s="104" t="s">
        <v>159</v>
      </c>
      <c r="K212" s="69" t="s">
        <v>2672</v>
      </c>
      <c r="L212" s="105">
        <v>1</v>
      </c>
      <c r="M212" s="74">
        <v>4345.97265625</v>
      </c>
      <c r="N212" s="74">
        <v>5427.3828125</v>
      </c>
      <c r="O212" s="75"/>
      <c r="P212" s="76"/>
      <c r="Q212" s="76"/>
      <c r="R212" s="106"/>
      <c r="S212" s="48">
        <v>1</v>
      </c>
      <c r="T212" s="48">
        <v>0</v>
      </c>
      <c r="U212" s="49">
        <v>0</v>
      </c>
      <c r="V212" s="49">
        <v>0.15627</v>
      </c>
      <c r="W212" s="107"/>
      <c r="X212" s="50"/>
      <c r="Y212" s="50"/>
      <c r="Z212" s="49">
        <v>0</v>
      </c>
      <c r="AA212" s="71">
        <v>212</v>
      </c>
      <c r="AB212" s="71"/>
      <c r="AC212" s="72"/>
      <c r="AD212" s="79" t="s">
        <v>2672</v>
      </c>
      <c r="AE212" s="79"/>
      <c r="AF212" s="79"/>
      <c r="AG212" s="79" t="s">
        <v>3739</v>
      </c>
      <c r="AH212" s="79" t="s">
        <v>4038</v>
      </c>
      <c r="AI212" s="79">
        <v>6</v>
      </c>
      <c r="AJ212" s="79">
        <v>0</v>
      </c>
      <c r="AK212" s="79">
        <v>1</v>
      </c>
      <c r="AL212" s="79">
        <v>0</v>
      </c>
      <c r="AM212" s="79" t="s">
        <v>2092</v>
      </c>
      <c r="AN212" s="114" t="str">
        <f>HYPERLINK("https://www.youtube.com/watch?v=kqdMftYUFqw")</f>
        <v>https://www.youtube.com/watch?v=kqdMftYUFqw</v>
      </c>
      <c r="AO212" s="78" t="str">
        <f>REPLACE(INDEX(GroupVertices[Group],MATCH(Vertices[[#This Row],[Vertex]],GroupVertices[Vertex],0)),1,1,"")</f>
        <v>unx classes (GK)</v>
      </c>
      <c r="AP212" s="2"/>
      <c r="AQ212" s="3"/>
      <c r="AR212" s="3"/>
      <c r="AS212" s="3"/>
      <c r="AT212" s="3"/>
    </row>
    <row r="213" spans="1:46" ht="15">
      <c r="A213" s="64" t="s">
        <v>2196</v>
      </c>
      <c r="B213" s="65"/>
      <c r="C213" s="65"/>
      <c r="D213" s="66">
        <v>150</v>
      </c>
      <c r="E213" s="102">
        <v>97.85714285714286</v>
      </c>
      <c r="F213" s="98" t="str">
        <f>HYPERLINK("https://i.ytimg.com/vi/MHlh_-fmGyY/default.jpg")</f>
        <v>https://i.ytimg.com/vi/MHlh_-fmGyY/default.jpg</v>
      </c>
      <c r="G213" s="100"/>
      <c r="H213" s="69" t="s">
        <v>2673</v>
      </c>
      <c r="I213" s="70"/>
      <c r="J213" s="104" t="s">
        <v>159</v>
      </c>
      <c r="K213" s="69" t="s">
        <v>2673</v>
      </c>
      <c r="L213" s="105">
        <v>1</v>
      </c>
      <c r="M213" s="74">
        <v>3995.08837890625</v>
      </c>
      <c r="N213" s="74">
        <v>5975.7919921875</v>
      </c>
      <c r="O213" s="75"/>
      <c r="P213" s="76"/>
      <c r="Q213" s="76"/>
      <c r="R213" s="106"/>
      <c r="S213" s="48">
        <v>1</v>
      </c>
      <c r="T213" s="48">
        <v>0</v>
      </c>
      <c r="U213" s="49">
        <v>0</v>
      </c>
      <c r="V213" s="49">
        <v>0.15627</v>
      </c>
      <c r="W213" s="107"/>
      <c r="X213" s="50"/>
      <c r="Y213" s="50"/>
      <c r="Z213" s="49">
        <v>0</v>
      </c>
      <c r="AA213" s="71">
        <v>213</v>
      </c>
      <c r="AB213" s="71"/>
      <c r="AC213" s="72"/>
      <c r="AD213" s="79" t="s">
        <v>2673</v>
      </c>
      <c r="AE213" s="79" t="s">
        <v>3140</v>
      </c>
      <c r="AF213" s="79"/>
      <c r="AG213" s="79" t="s">
        <v>3740</v>
      </c>
      <c r="AH213" s="79" t="s">
        <v>4039</v>
      </c>
      <c r="AI213" s="79">
        <v>20</v>
      </c>
      <c r="AJ213" s="79">
        <v>1</v>
      </c>
      <c r="AK213" s="79">
        <v>4</v>
      </c>
      <c r="AL213" s="79">
        <v>0</v>
      </c>
      <c r="AM213" s="79" t="s">
        <v>2092</v>
      </c>
      <c r="AN213" s="114" t="str">
        <f>HYPERLINK("https://www.youtube.com/watch?v=MHlh_-fmGyY")</f>
        <v>https://www.youtube.com/watch?v=MHlh_-fmGyY</v>
      </c>
      <c r="AO213" s="78" t="str">
        <f>REPLACE(INDEX(GroupVertices[Group],MATCH(Vertices[[#This Row],[Vertex]],GroupVertices[Vertex],0)),1,1,"")</f>
        <v>Z LEARNING</v>
      </c>
      <c r="AP213" s="2"/>
      <c r="AQ213" s="3"/>
      <c r="AR213" s="3"/>
      <c r="AS213" s="3"/>
      <c r="AT213" s="3"/>
    </row>
    <row r="214" spans="1:46" ht="15">
      <c r="A214" s="64" t="s">
        <v>2197</v>
      </c>
      <c r="B214" s="65"/>
      <c r="C214" s="65"/>
      <c r="D214" s="66">
        <v>150</v>
      </c>
      <c r="E214" s="102">
        <v>97.85714285714286</v>
      </c>
      <c r="F214" s="98" t="str">
        <f>HYPERLINK("https://i.ytimg.com/vi/yIJfVRcQbmg/default.jpg")</f>
        <v>https://i.ytimg.com/vi/yIJfVRcQbmg/default.jpg</v>
      </c>
      <c r="G214" s="100"/>
      <c r="H214" s="69" t="s">
        <v>2674</v>
      </c>
      <c r="I214" s="70"/>
      <c r="J214" s="104" t="s">
        <v>159</v>
      </c>
      <c r="K214" s="69" t="s">
        <v>2674</v>
      </c>
      <c r="L214" s="105">
        <v>1</v>
      </c>
      <c r="M214" s="74">
        <v>4017.358642578125</v>
      </c>
      <c r="N214" s="74">
        <v>7252.26806640625</v>
      </c>
      <c r="O214" s="75"/>
      <c r="P214" s="76"/>
      <c r="Q214" s="76"/>
      <c r="R214" s="106"/>
      <c r="S214" s="48">
        <v>1</v>
      </c>
      <c r="T214" s="48">
        <v>0</v>
      </c>
      <c r="U214" s="49">
        <v>0</v>
      </c>
      <c r="V214" s="49">
        <v>0.15627</v>
      </c>
      <c r="W214" s="107"/>
      <c r="X214" s="50"/>
      <c r="Y214" s="50"/>
      <c r="Z214" s="49">
        <v>0</v>
      </c>
      <c r="AA214" s="71">
        <v>214</v>
      </c>
      <c r="AB214" s="71"/>
      <c r="AC214" s="72"/>
      <c r="AD214" s="79" t="s">
        <v>2674</v>
      </c>
      <c r="AE214" s="79" t="s">
        <v>3141</v>
      </c>
      <c r="AF214" s="79" t="s">
        <v>3526</v>
      </c>
      <c r="AG214" s="79" t="s">
        <v>3741</v>
      </c>
      <c r="AH214" s="79" t="s">
        <v>4040</v>
      </c>
      <c r="AI214" s="79">
        <v>4</v>
      </c>
      <c r="AJ214" s="79">
        <v>0</v>
      </c>
      <c r="AK214" s="79">
        <v>3</v>
      </c>
      <c r="AL214" s="79">
        <v>0</v>
      </c>
      <c r="AM214" s="79" t="s">
        <v>2092</v>
      </c>
      <c r="AN214" s="114" t="str">
        <f>HYPERLINK("https://www.youtube.com/watch?v=yIJfVRcQbmg")</f>
        <v>https://www.youtube.com/watch?v=yIJfVRcQbmg</v>
      </c>
      <c r="AO214" s="78" t="str">
        <f>REPLACE(INDEX(GroupVertices[Group],MATCH(Vertices[[#This Row],[Vertex]],GroupVertices[Vertex],0)),1,1,"")</f>
        <v>he Housewife will Banker</v>
      </c>
      <c r="AP214" s="2"/>
      <c r="AQ214" s="3"/>
      <c r="AR214" s="3"/>
      <c r="AS214" s="3"/>
      <c r="AT214" s="3"/>
    </row>
    <row r="215" spans="1:46" ht="15">
      <c r="A215" s="64" t="s">
        <v>2198</v>
      </c>
      <c r="B215" s="65"/>
      <c r="C215" s="65"/>
      <c r="D215" s="66">
        <v>150</v>
      </c>
      <c r="E215" s="102">
        <v>97.85714285714286</v>
      </c>
      <c r="F215" s="98" t="str">
        <f>HYPERLINK("https://i.ytimg.com/vi/6cnSHN94FdI/default.jpg")</f>
        <v>https://i.ytimg.com/vi/6cnSHN94FdI/default.jpg</v>
      </c>
      <c r="G215" s="100"/>
      <c r="H215" s="69" t="s">
        <v>2675</v>
      </c>
      <c r="I215" s="70"/>
      <c r="J215" s="104" t="s">
        <v>159</v>
      </c>
      <c r="K215" s="69" t="s">
        <v>2675</v>
      </c>
      <c r="L215" s="105">
        <v>1</v>
      </c>
      <c r="M215" s="74">
        <v>3924.059814453125</v>
      </c>
      <c r="N215" s="74">
        <v>6390.0302734375</v>
      </c>
      <c r="O215" s="75"/>
      <c r="P215" s="76"/>
      <c r="Q215" s="76"/>
      <c r="R215" s="106"/>
      <c r="S215" s="48">
        <v>1</v>
      </c>
      <c r="T215" s="48">
        <v>0</v>
      </c>
      <c r="U215" s="49">
        <v>0</v>
      </c>
      <c r="V215" s="49">
        <v>0.15627</v>
      </c>
      <c r="W215" s="107"/>
      <c r="X215" s="50"/>
      <c r="Y215" s="50"/>
      <c r="Z215" s="49">
        <v>0</v>
      </c>
      <c r="AA215" s="71">
        <v>215</v>
      </c>
      <c r="AB215" s="71"/>
      <c r="AC215" s="72"/>
      <c r="AD215" s="79" t="s">
        <v>2675</v>
      </c>
      <c r="AE215" s="79" t="s">
        <v>3142</v>
      </c>
      <c r="AF215" s="79"/>
      <c r="AG215" s="79" t="s">
        <v>3742</v>
      </c>
      <c r="AH215" s="79" t="s">
        <v>4041</v>
      </c>
      <c r="AI215" s="79">
        <v>147</v>
      </c>
      <c r="AJ215" s="79">
        <v>2</v>
      </c>
      <c r="AK215" s="79">
        <v>0</v>
      </c>
      <c r="AL215" s="79">
        <v>0</v>
      </c>
      <c r="AM215" s="79" t="s">
        <v>2092</v>
      </c>
      <c r="AN215" s="114" t="str">
        <f>HYPERLINK("https://www.youtube.com/watch?v=6cnSHN94FdI")</f>
        <v>https://www.youtube.com/watch?v=6cnSHN94FdI</v>
      </c>
      <c r="AO215" s="78" t="str">
        <f>REPLACE(INDEX(GroupVertices[Group],MATCH(Vertices[[#This Row],[Vertex]],GroupVertices[Vertex],0)),1,1,"")</f>
        <v>earner's location</v>
      </c>
      <c r="AP215" s="2"/>
      <c r="AQ215" s="3"/>
      <c r="AR215" s="3"/>
      <c r="AS215" s="3"/>
      <c r="AT215" s="3"/>
    </row>
    <row r="216" spans="1:46" ht="15">
      <c r="A216" s="64" t="s">
        <v>2199</v>
      </c>
      <c r="B216" s="65"/>
      <c r="C216" s="65"/>
      <c r="D216" s="66">
        <v>150</v>
      </c>
      <c r="E216" s="102">
        <v>97.85714285714286</v>
      </c>
      <c r="F216" s="98" t="str">
        <f>HYPERLINK("https://i.ytimg.com/vi/jOyqOvbhCi4/default.jpg")</f>
        <v>https://i.ytimg.com/vi/jOyqOvbhCi4/default.jpg</v>
      </c>
      <c r="G216" s="100"/>
      <c r="H216" s="69" t="s">
        <v>2676</v>
      </c>
      <c r="I216" s="70"/>
      <c r="J216" s="104" t="s">
        <v>159</v>
      </c>
      <c r="K216" s="69" t="s">
        <v>2676</v>
      </c>
      <c r="L216" s="105">
        <v>1</v>
      </c>
      <c r="M216" s="74">
        <v>3038.879150390625</v>
      </c>
      <c r="N216" s="74">
        <v>5094.36181640625</v>
      </c>
      <c r="O216" s="75"/>
      <c r="P216" s="76"/>
      <c r="Q216" s="76"/>
      <c r="R216" s="106"/>
      <c r="S216" s="48">
        <v>1</v>
      </c>
      <c r="T216" s="48">
        <v>0</v>
      </c>
      <c r="U216" s="49">
        <v>0</v>
      </c>
      <c r="V216" s="49">
        <v>0.15627</v>
      </c>
      <c r="W216" s="107"/>
      <c r="X216" s="50"/>
      <c r="Y216" s="50"/>
      <c r="Z216" s="49">
        <v>0</v>
      </c>
      <c r="AA216" s="71">
        <v>216</v>
      </c>
      <c r="AB216" s="71"/>
      <c r="AC216" s="72"/>
      <c r="AD216" s="79" t="s">
        <v>2676</v>
      </c>
      <c r="AE216" s="79"/>
      <c r="AF216" s="79"/>
      <c r="AG216" s="79" t="s">
        <v>3743</v>
      </c>
      <c r="AH216" s="79" t="s">
        <v>4042</v>
      </c>
      <c r="AI216" s="79">
        <v>76</v>
      </c>
      <c r="AJ216" s="79">
        <v>0</v>
      </c>
      <c r="AK216" s="79">
        <v>4</v>
      </c>
      <c r="AL216" s="79">
        <v>0</v>
      </c>
      <c r="AM216" s="79" t="s">
        <v>2092</v>
      </c>
      <c r="AN216" s="114" t="str">
        <f>HYPERLINK("https://www.youtube.com/watch?v=jOyqOvbhCi4")</f>
        <v>https://www.youtube.com/watch?v=jOyqOvbhCi4</v>
      </c>
      <c r="AO216" s="78" t="str">
        <f>REPLACE(INDEX(GroupVertices[Group],MATCH(Vertices[[#This Row],[Vertex]],GroupVertices[Vertex],0)),1,1,"")</f>
        <v>each with Maida</v>
      </c>
      <c r="AP216" s="2"/>
      <c r="AQ216" s="3"/>
      <c r="AR216" s="3"/>
      <c r="AS216" s="3"/>
      <c r="AT216" s="3"/>
    </row>
    <row r="217" spans="1:46" ht="15">
      <c r="A217" s="64" t="s">
        <v>2200</v>
      </c>
      <c r="B217" s="65"/>
      <c r="C217" s="65"/>
      <c r="D217" s="66">
        <v>150</v>
      </c>
      <c r="E217" s="102">
        <v>97.85714285714286</v>
      </c>
      <c r="F217" s="98" t="str">
        <f>HYPERLINK("https://i.ytimg.com/vi/QrRKz8vZlzE/default.jpg")</f>
        <v>https://i.ytimg.com/vi/QrRKz8vZlzE/default.jpg</v>
      </c>
      <c r="G217" s="100"/>
      <c r="H217" s="69" t="s">
        <v>2677</v>
      </c>
      <c r="I217" s="70"/>
      <c r="J217" s="104" t="s">
        <v>159</v>
      </c>
      <c r="K217" s="69" t="s">
        <v>2677</v>
      </c>
      <c r="L217" s="105">
        <v>1</v>
      </c>
      <c r="M217" s="74">
        <v>3172.259033203125</v>
      </c>
      <c r="N217" s="74">
        <v>7034.46826171875</v>
      </c>
      <c r="O217" s="75"/>
      <c r="P217" s="76"/>
      <c r="Q217" s="76"/>
      <c r="R217" s="106"/>
      <c r="S217" s="48">
        <v>1</v>
      </c>
      <c r="T217" s="48">
        <v>0</v>
      </c>
      <c r="U217" s="49">
        <v>0</v>
      </c>
      <c r="V217" s="49">
        <v>0.15627</v>
      </c>
      <c r="W217" s="107"/>
      <c r="X217" s="50"/>
      <c r="Y217" s="50"/>
      <c r="Z217" s="49">
        <v>0</v>
      </c>
      <c r="AA217" s="71">
        <v>217</v>
      </c>
      <c r="AB217" s="71"/>
      <c r="AC217" s="72"/>
      <c r="AD217" s="79" t="s">
        <v>2677</v>
      </c>
      <c r="AE217" s="79" t="s">
        <v>3143</v>
      </c>
      <c r="AF217" s="79"/>
      <c r="AG217" s="79" t="s">
        <v>3744</v>
      </c>
      <c r="AH217" s="79" t="s">
        <v>4043</v>
      </c>
      <c r="AI217" s="79">
        <v>30</v>
      </c>
      <c r="AJ217" s="79">
        <v>2</v>
      </c>
      <c r="AK217" s="79">
        <v>10</v>
      </c>
      <c r="AL217" s="79">
        <v>0</v>
      </c>
      <c r="AM217" s="79" t="s">
        <v>2092</v>
      </c>
      <c r="AN217" s="114" t="str">
        <f>HYPERLINK("https://www.youtube.com/watch?v=QrRKz8vZlzE")</f>
        <v>https://www.youtube.com/watch?v=QrRKz8vZlzE</v>
      </c>
      <c r="AO217" s="78" t="str">
        <f>REPLACE(INDEX(GroupVertices[Group],MATCH(Vertices[[#This Row],[Vertex]],GroupVertices[Vertex],0)),1,1,"")</f>
        <v>iterature vidya</v>
      </c>
      <c r="AP217" s="2"/>
      <c r="AQ217" s="3"/>
      <c r="AR217" s="3"/>
      <c r="AS217" s="3"/>
      <c r="AT217" s="3"/>
    </row>
    <row r="218" spans="1:46" ht="15">
      <c r="A218" s="64" t="s">
        <v>2201</v>
      </c>
      <c r="B218" s="65"/>
      <c r="C218" s="65"/>
      <c r="D218" s="66">
        <v>150</v>
      </c>
      <c r="E218" s="102">
        <v>97.85714285714286</v>
      </c>
      <c r="F218" s="98" t="str">
        <f>HYPERLINK("https://i.ytimg.com/vi/UTLf9BkKIaY/default.jpg")</f>
        <v>https://i.ytimg.com/vi/UTLf9BkKIaY/default.jpg</v>
      </c>
      <c r="G218" s="100"/>
      <c r="H218" s="69" t="s">
        <v>2678</v>
      </c>
      <c r="I218" s="70"/>
      <c r="J218" s="104" t="s">
        <v>159</v>
      </c>
      <c r="K218" s="69" t="s">
        <v>2678</v>
      </c>
      <c r="L218" s="105">
        <v>1</v>
      </c>
      <c r="M218" s="74">
        <v>2759.766357421875</v>
      </c>
      <c r="N218" s="74">
        <v>5543.0029296875</v>
      </c>
      <c r="O218" s="75"/>
      <c r="P218" s="76"/>
      <c r="Q218" s="76"/>
      <c r="R218" s="106"/>
      <c r="S218" s="48">
        <v>1</v>
      </c>
      <c r="T218" s="48">
        <v>0</v>
      </c>
      <c r="U218" s="49">
        <v>0</v>
      </c>
      <c r="V218" s="49">
        <v>0.15627</v>
      </c>
      <c r="W218" s="107"/>
      <c r="X218" s="50"/>
      <c r="Y218" s="50"/>
      <c r="Z218" s="49">
        <v>0</v>
      </c>
      <c r="AA218" s="71">
        <v>218</v>
      </c>
      <c r="AB218" s="71"/>
      <c r="AC218" s="72"/>
      <c r="AD218" s="79" t="s">
        <v>2678</v>
      </c>
      <c r="AE218" s="79" t="s">
        <v>3144</v>
      </c>
      <c r="AF218" s="79" t="s">
        <v>3527</v>
      </c>
      <c r="AG218" s="79" t="s">
        <v>3745</v>
      </c>
      <c r="AH218" s="79" t="s">
        <v>4044</v>
      </c>
      <c r="AI218" s="79">
        <v>2796</v>
      </c>
      <c r="AJ218" s="79">
        <v>0</v>
      </c>
      <c r="AK218" s="79">
        <v>0</v>
      </c>
      <c r="AL218" s="79">
        <v>0</v>
      </c>
      <c r="AM218" s="79" t="s">
        <v>2092</v>
      </c>
      <c r="AN218" s="114" t="str">
        <f>HYPERLINK("https://www.youtube.com/watch?v=UTLf9BkKIaY")</f>
        <v>https://www.youtube.com/watch?v=UTLf9BkKIaY</v>
      </c>
      <c r="AO218" s="78" t="str">
        <f>REPLACE(INDEX(GroupVertices[Group],MATCH(Vertices[[#This Row],[Vertex]],GroupVertices[Vertex],0)),1,1,"")</f>
        <v>PSC Studies With Pradeep</v>
      </c>
      <c r="AP218" s="2"/>
      <c r="AQ218" s="3"/>
      <c r="AR218" s="3"/>
      <c r="AS218" s="3"/>
      <c r="AT218" s="3"/>
    </row>
    <row r="219" spans="1:46" ht="15">
      <c r="A219" s="64" t="s">
        <v>2202</v>
      </c>
      <c r="B219" s="65"/>
      <c r="C219" s="65"/>
      <c r="D219" s="66">
        <v>150</v>
      </c>
      <c r="E219" s="102">
        <v>97.85714285714286</v>
      </c>
      <c r="F219" s="98" t="str">
        <f>HYPERLINK("https://i.ytimg.com/vi/el9oO3tSGi4/default.jpg")</f>
        <v>https://i.ytimg.com/vi/el9oO3tSGi4/default.jpg</v>
      </c>
      <c r="G219" s="100"/>
      <c r="H219" s="69" t="s">
        <v>2679</v>
      </c>
      <c r="I219" s="70"/>
      <c r="J219" s="104" t="s">
        <v>159</v>
      </c>
      <c r="K219" s="69" t="s">
        <v>2679</v>
      </c>
      <c r="L219" s="105">
        <v>1</v>
      </c>
      <c r="M219" s="74">
        <v>3048.490234375</v>
      </c>
      <c r="N219" s="74">
        <v>6360.2998046875</v>
      </c>
      <c r="O219" s="75"/>
      <c r="P219" s="76"/>
      <c r="Q219" s="76"/>
      <c r="R219" s="106"/>
      <c r="S219" s="48">
        <v>1</v>
      </c>
      <c r="T219" s="48">
        <v>0</v>
      </c>
      <c r="U219" s="49">
        <v>0</v>
      </c>
      <c r="V219" s="49">
        <v>0.15627</v>
      </c>
      <c r="W219" s="107"/>
      <c r="X219" s="50"/>
      <c r="Y219" s="50"/>
      <c r="Z219" s="49">
        <v>0</v>
      </c>
      <c r="AA219" s="71">
        <v>219</v>
      </c>
      <c r="AB219" s="71"/>
      <c r="AC219" s="72"/>
      <c r="AD219" s="79" t="s">
        <v>2679</v>
      </c>
      <c r="AE219" s="79"/>
      <c r="AF219" s="79"/>
      <c r="AG219" s="79" t="s">
        <v>3746</v>
      </c>
      <c r="AH219" s="79" t="s">
        <v>4045</v>
      </c>
      <c r="AI219" s="79">
        <v>43</v>
      </c>
      <c r="AJ219" s="79">
        <v>8</v>
      </c>
      <c r="AK219" s="79">
        <v>15</v>
      </c>
      <c r="AL219" s="79">
        <v>0</v>
      </c>
      <c r="AM219" s="79" t="s">
        <v>2092</v>
      </c>
      <c r="AN219" s="114" t="str">
        <f>HYPERLINK("https://www.youtube.com/watch?v=el9oO3tSGi4")</f>
        <v>https://www.youtube.com/watch?v=el9oO3tSGi4</v>
      </c>
      <c r="AO219" s="78" t="str">
        <f>REPLACE(INDEX(GroupVertices[Group],MATCH(Vertices[[#This Row],[Vertex]],GroupVertices[Vertex],0)),1,1,"")</f>
        <v>riya's Teaching Dream</v>
      </c>
      <c r="AP219" s="2"/>
      <c r="AQ219" s="3"/>
      <c r="AR219" s="3"/>
      <c r="AS219" s="3"/>
      <c r="AT219" s="3"/>
    </row>
    <row r="220" spans="1:46" ht="15">
      <c r="A220" s="64" t="s">
        <v>2203</v>
      </c>
      <c r="B220" s="65"/>
      <c r="C220" s="65"/>
      <c r="D220" s="66">
        <v>150</v>
      </c>
      <c r="E220" s="102">
        <v>97.85714285714286</v>
      </c>
      <c r="F220" s="98" t="str">
        <f>HYPERLINK("https://i.ytimg.com/vi/iZw_zGpxmNM/default.jpg")</f>
        <v>https://i.ytimg.com/vi/iZw_zGpxmNM/default.jpg</v>
      </c>
      <c r="G220" s="100"/>
      <c r="H220" s="69" t="s">
        <v>2680</v>
      </c>
      <c r="I220" s="70"/>
      <c r="J220" s="104" t="s">
        <v>159</v>
      </c>
      <c r="K220" s="69" t="s">
        <v>2680</v>
      </c>
      <c r="L220" s="105">
        <v>1</v>
      </c>
      <c r="M220" s="74">
        <v>2636.951904296875</v>
      </c>
      <c r="N220" s="74">
        <v>6102</v>
      </c>
      <c r="O220" s="75"/>
      <c r="P220" s="76"/>
      <c r="Q220" s="76"/>
      <c r="R220" s="106"/>
      <c r="S220" s="48">
        <v>1</v>
      </c>
      <c r="T220" s="48">
        <v>0</v>
      </c>
      <c r="U220" s="49">
        <v>0</v>
      </c>
      <c r="V220" s="49">
        <v>0.15627</v>
      </c>
      <c r="W220" s="107"/>
      <c r="X220" s="50"/>
      <c r="Y220" s="50"/>
      <c r="Z220" s="49">
        <v>0</v>
      </c>
      <c r="AA220" s="71">
        <v>220</v>
      </c>
      <c r="AB220" s="71"/>
      <c r="AC220" s="72"/>
      <c r="AD220" s="79" t="s">
        <v>2680</v>
      </c>
      <c r="AE220" s="79"/>
      <c r="AF220" s="79"/>
      <c r="AG220" s="79" t="s">
        <v>3746</v>
      </c>
      <c r="AH220" s="79" t="s">
        <v>4046</v>
      </c>
      <c r="AI220" s="79">
        <v>30</v>
      </c>
      <c r="AJ220" s="79">
        <v>2</v>
      </c>
      <c r="AK220" s="79">
        <v>9</v>
      </c>
      <c r="AL220" s="79">
        <v>0</v>
      </c>
      <c r="AM220" s="79" t="s">
        <v>2092</v>
      </c>
      <c r="AN220" s="114" t="str">
        <f>HYPERLINK("https://www.youtube.com/watch?v=iZw_zGpxmNM")</f>
        <v>https://www.youtube.com/watch?v=iZw_zGpxmNM</v>
      </c>
      <c r="AO220" s="78" t="str">
        <f>REPLACE(INDEX(GroupVertices[Group],MATCH(Vertices[[#This Row],[Vertex]],GroupVertices[Vertex],0)),1,1,"")</f>
        <v>riya's Teaching Dream</v>
      </c>
      <c r="AP220" s="2"/>
      <c r="AQ220" s="3"/>
      <c r="AR220" s="3"/>
      <c r="AS220" s="3"/>
      <c r="AT220" s="3"/>
    </row>
    <row r="221" spans="1:46" ht="15">
      <c r="A221" s="64" t="s">
        <v>2204</v>
      </c>
      <c r="B221" s="65"/>
      <c r="C221" s="65"/>
      <c r="D221" s="66">
        <v>150</v>
      </c>
      <c r="E221" s="102">
        <v>97.85714285714286</v>
      </c>
      <c r="F221" s="98" t="str">
        <f>HYPERLINK("https://i.ytimg.com/vi/oDEQDVHMHDs/default_live.jpg")</f>
        <v>https://i.ytimg.com/vi/oDEQDVHMHDs/default_live.jpg</v>
      </c>
      <c r="G221" s="100"/>
      <c r="H221" s="69" t="s">
        <v>2681</v>
      </c>
      <c r="I221" s="70"/>
      <c r="J221" s="104" t="s">
        <v>159</v>
      </c>
      <c r="K221" s="69" t="s">
        <v>2681</v>
      </c>
      <c r="L221" s="105">
        <v>1</v>
      </c>
      <c r="M221" s="74">
        <v>3781.479736328125</v>
      </c>
      <c r="N221" s="74">
        <v>5634.53466796875</v>
      </c>
      <c r="O221" s="75"/>
      <c r="P221" s="76"/>
      <c r="Q221" s="76"/>
      <c r="R221" s="106"/>
      <c r="S221" s="48">
        <v>1</v>
      </c>
      <c r="T221" s="48">
        <v>0</v>
      </c>
      <c r="U221" s="49">
        <v>0</v>
      </c>
      <c r="V221" s="49">
        <v>0.15627</v>
      </c>
      <c r="W221" s="107"/>
      <c r="X221" s="50"/>
      <c r="Y221" s="50"/>
      <c r="Z221" s="49">
        <v>0</v>
      </c>
      <c r="AA221" s="71">
        <v>221</v>
      </c>
      <c r="AB221" s="71"/>
      <c r="AC221" s="72"/>
      <c r="AD221" s="79" t="s">
        <v>2681</v>
      </c>
      <c r="AE221" s="79" t="s">
        <v>3145</v>
      </c>
      <c r="AF221" s="79" t="s">
        <v>3528</v>
      </c>
      <c r="AG221" s="79" t="s">
        <v>3747</v>
      </c>
      <c r="AH221" s="79" t="s">
        <v>4047</v>
      </c>
      <c r="AI221" s="79">
        <v>57</v>
      </c>
      <c r="AJ221" s="79">
        <v>0</v>
      </c>
      <c r="AK221" s="79">
        <v>20</v>
      </c>
      <c r="AL221" s="79">
        <v>0</v>
      </c>
      <c r="AM221" s="79" t="s">
        <v>2092</v>
      </c>
      <c r="AN221" s="114" t="str">
        <f>HYPERLINK("https://www.youtube.com/watch?v=oDEQDVHMHDs")</f>
        <v>https://www.youtube.com/watch?v=oDEQDVHMHDs</v>
      </c>
      <c r="AO221" s="78" t="str">
        <f>REPLACE(INDEX(GroupVertices[Group],MATCH(Vertices[[#This Row],[Vertex]],GroupVertices[Vertex],0)),1,1,"")</f>
        <v>et's Crack NTA-UGC NET</v>
      </c>
      <c r="AP221" s="2"/>
      <c r="AQ221" s="3"/>
      <c r="AR221" s="3"/>
      <c r="AS221" s="3"/>
      <c r="AT221" s="3"/>
    </row>
    <row r="222" spans="1:46" ht="15">
      <c r="A222" s="64" t="s">
        <v>2205</v>
      </c>
      <c r="B222" s="65"/>
      <c r="C222" s="65"/>
      <c r="D222" s="66">
        <v>150</v>
      </c>
      <c r="E222" s="102">
        <v>97.85714285714286</v>
      </c>
      <c r="F222" s="98" t="str">
        <f>HYPERLINK("https://i.ytimg.com/vi/ltKFLH6ow78/default_live.jpg")</f>
        <v>https://i.ytimg.com/vi/ltKFLH6ow78/default_live.jpg</v>
      </c>
      <c r="G222" s="100"/>
      <c r="H222" s="69" t="s">
        <v>2682</v>
      </c>
      <c r="I222" s="70"/>
      <c r="J222" s="104" t="s">
        <v>159</v>
      </c>
      <c r="K222" s="69" t="s">
        <v>2682</v>
      </c>
      <c r="L222" s="105">
        <v>1</v>
      </c>
      <c r="M222" s="74">
        <v>3185.689697265625</v>
      </c>
      <c r="N222" s="74">
        <v>7310.697265625</v>
      </c>
      <c r="O222" s="75"/>
      <c r="P222" s="76"/>
      <c r="Q222" s="76"/>
      <c r="R222" s="106"/>
      <c r="S222" s="48">
        <v>1</v>
      </c>
      <c r="T222" s="48">
        <v>0</v>
      </c>
      <c r="U222" s="49">
        <v>0</v>
      </c>
      <c r="V222" s="49">
        <v>0.15627</v>
      </c>
      <c r="W222" s="107"/>
      <c r="X222" s="50"/>
      <c r="Y222" s="50"/>
      <c r="Z222" s="49">
        <v>0</v>
      </c>
      <c r="AA222" s="71">
        <v>222</v>
      </c>
      <c r="AB222" s="71"/>
      <c r="AC222" s="72"/>
      <c r="AD222" s="79" t="s">
        <v>2682</v>
      </c>
      <c r="AE222" s="79" t="s">
        <v>3146</v>
      </c>
      <c r="AF222" s="79" t="s">
        <v>3529</v>
      </c>
      <c r="AG222" s="79" t="s">
        <v>3748</v>
      </c>
      <c r="AH222" s="79" t="s">
        <v>4048</v>
      </c>
      <c r="AI222" s="79">
        <v>324</v>
      </c>
      <c r="AJ222" s="79">
        <v>0</v>
      </c>
      <c r="AK222" s="79">
        <v>208</v>
      </c>
      <c r="AL222" s="79">
        <v>0</v>
      </c>
      <c r="AM222" s="79" t="s">
        <v>2092</v>
      </c>
      <c r="AN222" s="114" t="str">
        <f>HYPERLINK("https://www.youtube.com/watch?v=ltKFLH6ow78")</f>
        <v>https://www.youtube.com/watch?v=ltKFLH6ow78</v>
      </c>
      <c r="AO222" s="78" t="str">
        <f>REPLACE(INDEX(GroupVertices[Group],MATCH(Vertices[[#This Row],[Vertex]],GroupVertices[Vertex],0)),1,1,"")</f>
        <v>ducators Plus</v>
      </c>
      <c r="AP222" s="2"/>
      <c r="AQ222" s="3"/>
      <c r="AR222" s="3"/>
      <c r="AS222" s="3"/>
      <c r="AT222" s="3"/>
    </row>
    <row r="223" spans="1:46" ht="15">
      <c r="A223" s="64" t="s">
        <v>2206</v>
      </c>
      <c r="B223" s="65"/>
      <c r="C223" s="65"/>
      <c r="D223" s="66">
        <v>150</v>
      </c>
      <c r="E223" s="102">
        <v>97.85714285714286</v>
      </c>
      <c r="F223" s="98" t="str">
        <f>HYPERLINK("https://i.ytimg.com/vi/-2aGjVdH2WY/default.jpg")</f>
        <v>https://i.ytimg.com/vi/-2aGjVdH2WY/default.jpg</v>
      </c>
      <c r="G223" s="100"/>
      <c r="H223" s="69" t="s">
        <v>2683</v>
      </c>
      <c r="I223" s="70"/>
      <c r="J223" s="104" t="s">
        <v>159</v>
      </c>
      <c r="K223" s="69" t="s">
        <v>2683</v>
      </c>
      <c r="L223" s="105">
        <v>1</v>
      </c>
      <c r="M223" s="74">
        <v>3935.978515625</v>
      </c>
      <c r="N223" s="74">
        <v>5280.58203125</v>
      </c>
      <c r="O223" s="75"/>
      <c r="P223" s="76"/>
      <c r="Q223" s="76"/>
      <c r="R223" s="106"/>
      <c r="S223" s="48">
        <v>1</v>
      </c>
      <c r="T223" s="48">
        <v>0</v>
      </c>
      <c r="U223" s="49">
        <v>0</v>
      </c>
      <c r="V223" s="49">
        <v>0.15627</v>
      </c>
      <c r="W223" s="107"/>
      <c r="X223" s="50"/>
      <c r="Y223" s="50"/>
      <c r="Z223" s="49">
        <v>0</v>
      </c>
      <c r="AA223" s="71">
        <v>223</v>
      </c>
      <c r="AB223" s="71"/>
      <c r="AC223" s="72"/>
      <c r="AD223" s="79" t="s">
        <v>2683</v>
      </c>
      <c r="AE223" s="79" t="s">
        <v>3147</v>
      </c>
      <c r="AF223" s="79" t="s">
        <v>3530</v>
      </c>
      <c r="AG223" s="79" t="s">
        <v>1504</v>
      </c>
      <c r="AH223" s="79" t="s">
        <v>4049</v>
      </c>
      <c r="AI223" s="79">
        <v>76</v>
      </c>
      <c r="AJ223" s="79">
        <v>0</v>
      </c>
      <c r="AK223" s="79">
        <v>24</v>
      </c>
      <c r="AL223" s="79">
        <v>0</v>
      </c>
      <c r="AM223" s="79" t="s">
        <v>2092</v>
      </c>
      <c r="AN223" s="114" t="str">
        <f>HYPERLINK("https://www.youtube.com/watch?v=-2aGjVdH2WY")</f>
        <v>https://www.youtube.com/watch?v=-2aGjVdH2WY</v>
      </c>
      <c r="AO223" s="78" t="str">
        <f>REPLACE(INDEX(GroupVertices[Group],MATCH(Vertices[[#This Row],[Vertex]],GroupVertices[Vertex],0)),1,1,"")</f>
        <v>ursing Notes</v>
      </c>
      <c r="AP223" s="2"/>
      <c r="AQ223" s="3"/>
      <c r="AR223" s="3"/>
      <c r="AS223" s="3"/>
      <c r="AT223" s="3"/>
    </row>
    <row r="224" spans="1:46" ht="15">
      <c r="A224" s="64" t="s">
        <v>2207</v>
      </c>
      <c r="B224" s="65"/>
      <c r="C224" s="65"/>
      <c r="D224" s="66">
        <v>150</v>
      </c>
      <c r="E224" s="102">
        <v>97.85714285714286</v>
      </c>
      <c r="F224" s="98" t="str">
        <f>HYPERLINK("https://i.ytimg.com/vi/McmVnu9WYTM/default.jpg")</f>
        <v>https://i.ytimg.com/vi/McmVnu9WYTM/default.jpg</v>
      </c>
      <c r="G224" s="100"/>
      <c r="H224" s="69" t="s">
        <v>2684</v>
      </c>
      <c r="I224" s="70"/>
      <c r="J224" s="104" t="s">
        <v>159</v>
      </c>
      <c r="K224" s="69" t="s">
        <v>2684</v>
      </c>
      <c r="L224" s="105">
        <v>1</v>
      </c>
      <c r="M224" s="74">
        <v>4206.0322265625</v>
      </c>
      <c r="N224" s="74">
        <v>6603.4208984375</v>
      </c>
      <c r="O224" s="75"/>
      <c r="P224" s="76"/>
      <c r="Q224" s="76"/>
      <c r="R224" s="106"/>
      <c r="S224" s="48">
        <v>1</v>
      </c>
      <c r="T224" s="48">
        <v>0</v>
      </c>
      <c r="U224" s="49">
        <v>0</v>
      </c>
      <c r="V224" s="49">
        <v>0.15627</v>
      </c>
      <c r="W224" s="107"/>
      <c r="X224" s="50"/>
      <c r="Y224" s="50"/>
      <c r="Z224" s="49">
        <v>0</v>
      </c>
      <c r="AA224" s="71">
        <v>224</v>
      </c>
      <c r="AB224" s="71"/>
      <c r="AC224" s="72"/>
      <c r="AD224" s="79" t="s">
        <v>2684</v>
      </c>
      <c r="AE224" s="79" t="s">
        <v>3148</v>
      </c>
      <c r="AF224" s="79" t="s">
        <v>3531</v>
      </c>
      <c r="AG224" s="79" t="s">
        <v>3749</v>
      </c>
      <c r="AH224" s="79" t="s">
        <v>4050</v>
      </c>
      <c r="AI224" s="79">
        <v>266</v>
      </c>
      <c r="AJ224" s="79">
        <v>6</v>
      </c>
      <c r="AK224" s="79">
        <v>26</v>
      </c>
      <c r="AL224" s="79">
        <v>0</v>
      </c>
      <c r="AM224" s="79" t="s">
        <v>2092</v>
      </c>
      <c r="AN224" s="114" t="str">
        <f>HYPERLINK("https://www.youtube.com/watch?v=McmVnu9WYTM")</f>
        <v>https://www.youtube.com/watch?v=McmVnu9WYTM</v>
      </c>
      <c r="AO224" s="78" t="str">
        <f>REPLACE(INDEX(GroupVertices[Group],MATCH(Vertices[[#This Row],[Vertex]],GroupVertices[Vertex],0)),1,1,"")</f>
        <v>ursing home education</v>
      </c>
      <c r="AP224" s="2"/>
      <c r="AQ224" s="3"/>
      <c r="AR224" s="3"/>
      <c r="AS224" s="3"/>
      <c r="AT224" s="3"/>
    </row>
    <row r="225" spans="1:46" ht="15">
      <c r="A225" s="64" t="s">
        <v>2208</v>
      </c>
      <c r="B225" s="65"/>
      <c r="C225" s="65"/>
      <c r="D225" s="66">
        <v>150</v>
      </c>
      <c r="E225" s="102">
        <v>97.85714285714286</v>
      </c>
      <c r="F225" s="98" t="str">
        <f>HYPERLINK("https://i.ytimg.com/vi/v5l47H7KajQ/default.jpg")</f>
        <v>https://i.ytimg.com/vi/v5l47H7KajQ/default.jpg</v>
      </c>
      <c r="G225" s="100"/>
      <c r="H225" s="69" t="s">
        <v>2685</v>
      </c>
      <c r="I225" s="70"/>
      <c r="J225" s="104" t="s">
        <v>159</v>
      </c>
      <c r="K225" s="69" t="s">
        <v>2685</v>
      </c>
      <c r="L225" s="105">
        <v>1</v>
      </c>
      <c r="M225" s="74">
        <v>3819.8818359375</v>
      </c>
      <c r="N225" s="74">
        <v>4923.4443359375</v>
      </c>
      <c r="O225" s="75"/>
      <c r="P225" s="76"/>
      <c r="Q225" s="76"/>
      <c r="R225" s="106"/>
      <c r="S225" s="48">
        <v>1</v>
      </c>
      <c r="T225" s="48">
        <v>0</v>
      </c>
      <c r="U225" s="49">
        <v>0</v>
      </c>
      <c r="V225" s="49">
        <v>0.15627</v>
      </c>
      <c r="W225" s="107"/>
      <c r="X225" s="50"/>
      <c r="Y225" s="50"/>
      <c r="Z225" s="49">
        <v>0</v>
      </c>
      <c r="AA225" s="71">
        <v>225</v>
      </c>
      <c r="AB225" s="71"/>
      <c r="AC225" s="72"/>
      <c r="AD225" s="79" t="s">
        <v>2685</v>
      </c>
      <c r="AE225" s="79" t="s">
        <v>3149</v>
      </c>
      <c r="AF225" s="79"/>
      <c r="AG225" s="79" t="s">
        <v>3749</v>
      </c>
      <c r="AH225" s="79" t="s">
        <v>4051</v>
      </c>
      <c r="AI225" s="79">
        <v>287</v>
      </c>
      <c r="AJ225" s="79">
        <v>5</v>
      </c>
      <c r="AK225" s="79">
        <v>29</v>
      </c>
      <c r="AL225" s="79">
        <v>0</v>
      </c>
      <c r="AM225" s="79" t="s">
        <v>2092</v>
      </c>
      <c r="AN225" s="114" t="str">
        <f>HYPERLINK("https://www.youtube.com/watch?v=v5l47H7KajQ")</f>
        <v>https://www.youtube.com/watch?v=v5l47H7KajQ</v>
      </c>
      <c r="AO225" s="78" t="str">
        <f>REPLACE(INDEX(GroupVertices[Group],MATCH(Vertices[[#This Row],[Vertex]],GroupVertices[Vertex],0)),1,1,"")</f>
        <v>ursing home education</v>
      </c>
      <c r="AP225" s="2"/>
      <c r="AQ225" s="3"/>
      <c r="AR225" s="3"/>
      <c r="AS225" s="3"/>
      <c r="AT225" s="3"/>
    </row>
    <row r="226" spans="1:46" ht="15">
      <c r="A226" s="64" t="s">
        <v>2209</v>
      </c>
      <c r="B226" s="65"/>
      <c r="C226" s="65"/>
      <c r="D226" s="66">
        <v>150</v>
      </c>
      <c r="E226" s="102">
        <v>97.85714285714286</v>
      </c>
      <c r="F226" s="98" t="str">
        <f>HYPERLINK("https://i.ytimg.com/vi/7sequnU320o/default.jpg")</f>
        <v>https://i.ytimg.com/vi/7sequnU320o/default.jpg</v>
      </c>
      <c r="G226" s="100"/>
      <c r="H226" s="69" t="s">
        <v>2686</v>
      </c>
      <c r="I226" s="70"/>
      <c r="J226" s="104" t="s">
        <v>159</v>
      </c>
      <c r="K226" s="69" t="s">
        <v>2686</v>
      </c>
      <c r="L226" s="105">
        <v>1</v>
      </c>
      <c r="M226" s="74">
        <v>4448.23876953125</v>
      </c>
      <c r="N226" s="74">
        <v>6525.11669921875</v>
      </c>
      <c r="O226" s="75"/>
      <c r="P226" s="76"/>
      <c r="Q226" s="76"/>
      <c r="R226" s="106"/>
      <c r="S226" s="48">
        <v>1</v>
      </c>
      <c r="T226" s="48">
        <v>0</v>
      </c>
      <c r="U226" s="49">
        <v>0</v>
      </c>
      <c r="V226" s="49">
        <v>0.15627</v>
      </c>
      <c r="W226" s="107"/>
      <c r="X226" s="50"/>
      <c r="Y226" s="50"/>
      <c r="Z226" s="49">
        <v>0</v>
      </c>
      <c r="AA226" s="71">
        <v>226</v>
      </c>
      <c r="AB226" s="71"/>
      <c r="AC226" s="72"/>
      <c r="AD226" s="79" t="s">
        <v>2686</v>
      </c>
      <c r="AE226" s="79" t="s">
        <v>3150</v>
      </c>
      <c r="AF226" s="79" t="s">
        <v>3532</v>
      </c>
      <c r="AG226" s="79" t="s">
        <v>3750</v>
      </c>
      <c r="AH226" s="79" t="s">
        <v>4052</v>
      </c>
      <c r="AI226" s="79">
        <v>485</v>
      </c>
      <c r="AJ226" s="79">
        <v>0</v>
      </c>
      <c r="AK226" s="79">
        <v>17</v>
      </c>
      <c r="AL226" s="79">
        <v>0</v>
      </c>
      <c r="AM226" s="79" t="s">
        <v>2092</v>
      </c>
      <c r="AN226" s="114" t="str">
        <f>HYPERLINK("https://www.youtube.com/watch?v=7sequnU320o")</f>
        <v>https://www.youtube.com/watch?v=7sequnU320o</v>
      </c>
      <c r="AO226" s="78" t="str">
        <f>REPLACE(INDEX(GroupVertices[Group],MATCH(Vertices[[#This Row],[Vertex]],GroupVertices[Vertex],0)),1,1,"")</f>
        <v>tudy With Sharma Ji Ki Ladki_xD83E__xDD37_‍♀️</v>
      </c>
      <c r="AP226" s="2"/>
      <c r="AQ226" s="3"/>
      <c r="AR226" s="3"/>
      <c r="AS226" s="3"/>
      <c r="AT226" s="3"/>
    </row>
    <row r="227" spans="1:46" ht="15">
      <c r="A227" s="64" t="s">
        <v>2210</v>
      </c>
      <c r="B227" s="65"/>
      <c r="C227" s="65"/>
      <c r="D227" s="66">
        <v>150</v>
      </c>
      <c r="E227" s="102">
        <v>97.85714285714286</v>
      </c>
      <c r="F227" s="98" t="str">
        <f>HYPERLINK("https://i.ytimg.com/vi/S4AxNiK2kec/default.jpg")</f>
        <v>https://i.ytimg.com/vi/S4AxNiK2kec/default.jpg</v>
      </c>
      <c r="G227" s="100"/>
      <c r="H227" s="69" t="s">
        <v>2687</v>
      </c>
      <c r="I227" s="70"/>
      <c r="J227" s="104" t="s">
        <v>159</v>
      </c>
      <c r="K227" s="69" t="s">
        <v>2687</v>
      </c>
      <c r="L227" s="105">
        <v>1</v>
      </c>
      <c r="M227" s="74">
        <v>3329.044921875</v>
      </c>
      <c r="N227" s="74">
        <v>6523.27978515625</v>
      </c>
      <c r="O227" s="75"/>
      <c r="P227" s="76"/>
      <c r="Q227" s="76"/>
      <c r="R227" s="106"/>
      <c r="S227" s="48">
        <v>1</v>
      </c>
      <c r="T227" s="48">
        <v>0</v>
      </c>
      <c r="U227" s="49">
        <v>0</v>
      </c>
      <c r="V227" s="49">
        <v>0.15627</v>
      </c>
      <c r="W227" s="107"/>
      <c r="X227" s="50"/>
      <c r="Y227" s="50"/>
      <c r="Z227" s="49">
        <v>0</v>
      </c>
      <c r="AA227" s="71">
        <v>227</v>
      </c>
      <c r="AB227" s="71"/>
      <c r="AC227" s="72"/>
      <c r="AD227" s="79" t="s">
        <v>2687</v>
      </c>
      <c r="AE227" s="79" t="s">
        <v>3151</v>
      </c>
      <c r="AF227" s="79" t="s">
        <v>3533</v>
      </c>
      <c r="AG227" s="79" t="s">
        <v>3751</v>
      </c>
      <c r="AH227" s="79" t="s">
        <v>4053</v>
      </c>
      <c r="AI227" s="79">
        <v>1020</v>
      </c>
      <c r="AJ227" s="79">
        <v>0</v>
      </c>
      <c r="AK227" s="79">
        <v>14</v>
      </c>
      <c r="AL227" s="79">
        <v>0</v>
      </c>
      <c r="AM227" s="79" t="s">
        <v>2092</v>
      </c>
      <c r="AN227" s="114" t="str">
        <f>HYPERLINK("https://www.youtube.com/watch?v=S4AxNiK2kec")</f>
        <v>https://www.youtube.com/watch?v=S4AxNiK2kec</v>
      </c>
      <c r="AO227" s="78" t="str">
        <f>REPLACE(INDEX(GroupVertices[Group],MATCH(Vertices[[#This Row],[Vertex]],GroupVertices[Vertex],0)),1,1,"")</f>
        <v>ishwas social welfare society</v>
      </c>
      <c r="AP227" s="2"/>
      <c r="AQ227" s="3"/>
      <c r="AR227" s="3"/>
      <c r="AS227" s="3"/>
      <c r="AT227" s="3"/>
    </row>
    <row r="228" spans="1:46" ht="15">
      <c r="A228" s="64" t="s">
        <v>2211</v>
      </c>
      <c r="B228" s="65"/>
      <c r="C228" s="65"/>
      <c r="D228" s="66">
        <v>150</v>
      </c>
      <c r="E228" s="102">
        <v>97.85714285714286</v>
      </c>
      <c r="F228" s="98" t="str">
        <f>HYPERLINK("https://i.ytimg.com/vi/ISRXpVHwMTI/default.jpg")</f>
        <v>https://i.ytimg.com/vi/ISRXpVHwMTI/default.jpg</v>
      </c>
      <c r="G228" s="100"/>
      <c r="H228" s="69" t="s">
        <v>2688</v>
      </c>
      <c r="I228" s="70"/>
      <c r="J228" s="104" t="s">
        <v>159</v>
      </c>
      <c r="K228" s="69" t="s">
        <v>2688</v>
      </c>
      <c r="L228" s="105">
        <v>1</v>
      </c>
      <c r="M228" s="74">
        <v>2756.114013671875</v>
      </c>
      <c r="N228" s="74">
        <v>6307.482421875</v>
      </c>
      <c r="O228" s="75"/>
      <c r="P228" s="76"/>
      <c r="Q228" s="76"/>
      <c r="R228" s="106"/>
      <c r="S228" s="48">
        <v>1</v>
      </c>
      <c r="T228" s="48">
        <v>0</v>
      </c>
      <c r="U228" s="49">
        <v>0</v>
      </c>
      <c r="V228" s="49">
        <v>0.15627</v>
      </c>
      <c r="W228" s="107"/>
      <c r="X228" s="50"/>
      <c r="Y228" s="50"/>
      <c r="Z228" s="49">
        <v>0</v>
      </c>
      <c r="AA228" s="71">
        <v>228</v>
      </c>
      <c r="AB228" s="71"/>
      <c r="AC228" s="72"/>
      <c r="AD228" s="79" t="s">
        <v>2688</v>
      </c>
      <c r="AE228" s="79" t="s">
        <v>3152</v>
      </c>
      <c r="AF228" s="79"/>
      <c r="AG228" s="79" t="s">
        <v>3752</v>
      </c>
      <c r="AH228" s="79" t="s">
        <v>4054</v>
      </c>
      <c r="AI228" s="79">
        <v>3956</v>
      </c>
      <c r="AJ228" s="79">
        <v>11</v>
      </c>
      <c r="AK228" s="79">
        <v>76</v>
      </c>
      <c r="AL228" s="79">
        <v>0</v>
      </c>
      <c r="AM228" s="79" t="s">
        <v>2092</v>
      </c>
      <c r="AN228" s="114" t="str">
        <f>HYPERLINK("https://www.youtube.com/watch?v=ISRXpVHwMTI")</f>
        <v>https://www.youtube.com/watch?v=ISRXpVHwMTI</v>
      </c>
      <c r="AO228" s="78" t="str">
        <f>REPLACE(INDEX(GroupVertices[Group],MATCH(Vertices[[#This Row],[Vertex]],GroupVertices[Vertex],0)),1,1,"")</f>
        <v>ll about Nursing !</v>
      </c>
      <c r="AP228" s="2"/>
      <c r="AQ228" s="3"/>
      <c r="AR228" s="3"/>
      <c r="AS228" s="3"/>
      <c r="AT228" s="3"/>
    </row>
    <row r="229" spans="1:46" ht="15">
      <c r="A229" s="64" t="s">
        <v>2212</v>
      </c>
      <c r="B229" s="65"/>
      <c r="C229" s="65"/>
      <c r="D229" s="66">
        <v>150</v>
      </c>
      <c r="E229" s="102">
        <v>97.85714285714286</v>
      </c>
      <c r="F229" s="98" t="str">
        <f>HYPERLINK("https://i.ytimg.com/vi/3Eki-tqDooQ/default.jpg")</f>
        <v>https://i.ytimg.com/vi/3Eki-tqDooQ/default.jpg</v>
      </c>
      <c r="G229" s="100"/>
      <c r="H229" s="69" t="s">
        <v>2689</v>
      </c>
      <c r="I229" s="70"/>
      <c r="J229" s="104" t="s">
        <v>159</v>
      </c>
      <c r="K229" s="69" t="s">
        <v>2689</v>
      </c>
      <c r="L229" s="105">
        <v>1</v>
      </c>
      <c r="M229" s="74">
        <v>3446.097412109375</v>
      </c>
      <c r="N229" s="74">
        <v>7002.4736328125</v>
      </c>
      <c r="O229" s="75"/>
      <c r="P229" s="76"/>
      <c r="Q229" s="76"/>
      <c r="R229" s="106"/>
      <c r="S229" s="48">
        <v>1</v>
      </c>
      <c r="T229" s="48">
        <v>0</v>
      </c>
      <c r="U229" s="49">
        <v>0</v>
      </c>
      <c r="V229" s="49">
        <v>0.15627</v>
      </c>
      <c r="W229" s="107"/>
      <c r="X229" s="50"/>
      <c r="Y229" s="50"/>
      <c r="Z229" s="49">
        <v>0</v>
      </c>
      <c r="AA229" s="71">
        <v>229</v>
      </c>
      <c r="AB229" s="71"/>
      <c r="AC229" s="72"/>
      <c r="AD229" s="79" t="s">
        <v>2689</v>
      </c>
      <c r="AE229" s="79" t="s">
        <v>3153</v>
      </c>
      <c r="AF229" s="79" t="s">
        <v>3534</v>
      </c>
      <c r="AG229" s="79" t="s">
        <v>1561</v>
      </c>
      <c r="AH229" s="79" t="s">
        <v>4055</v>
      </c>
      <c r="AI229" s="79">
        <v>91102</v>
      </c>
      <c r="AJ229" s="79">
        <v>169</v>
      </c>
      <c r="AK229" s="79">
        <v>2240</v>
      </c>
      <c r="AL229" s="79">
        <v>0</v>
      </c>
      <c r="AM229" s="79" t="s">
        <v>2092</v>
      </c>
      <c r="AN229" s="114" t="str">
        <f>HYPERLINK("https://www.youtube.com/watch?v=3Eki-tqDooQ")</f>
        <v>https://www.youtube.com/watch?v=3Eki-tqDooQ</v>
      </c>
      <c r="AO229" s="78" t="str">
        <f>REPLACE(INDEX(GroupVertices[Group],MATCH(Vertices[[#This Row],[Vertex]],GroupVertices[Vertex],0)),1,1,"")</f>
        <v>ayank Study Hub</v>
      </c>
      <c r="AP229" s="2"/>
      <c r="AQ229" s="3"/>
      <c r="AR229" s="3"/>
      <c r="AS229" s="3"/>
      <c r="AT229" s="3"/>
    </row>
    <row r="230" spans="1:46" ht="15">
      <c r="A230" s="64" t="s">
        <v>318</v>
      </c>
      <c r="B230" s="65"/>
      <c r="C230" s="65"/>
      <c r="D230" s="66">
        <v>150</v>
      </c>
      <c r="E230" s="102">
        <v>97.85714285714286</v>
      </c>
      <c r="F230" s="98" t="str">
        <f>HYPERLINK("https://i.ytimg.com/vi/dh4jW19jPqg/default.jpg")</f>
        <v>https://i.ytimg.com/vi/dh4jW19jPqg/default.jpg</v>
      </c>
      <c r="G230" s="100"/>
      <c r="H230" s="69" t="s">
        <v>714</v>
      </c>
      <c r="I230" s="70"/>
      <c r="J230" s="104" t="s">
        <v>159</v>
      </c>
      <c r="K230" s="69" t="s">
        <v>714</v>
      </c>
      <c r="L230" s="105">
        <v>1</v>
      </c>
      <c r="M230" s="74">
        <v>3600.836181640625</v>
      </c>
      <c r="N230" s="74">
        <v>7398.685546875</v>
      </c>
      <c r="O230" s="75"/>
      <c r="P230" s="76"/>
      <c r="Q230" s="76"/>
      <c r="R230" s="106"/>
      <c r="S230" s="48">
        <v>1</v>
      </c>
      <c r="T230" s="48">
        <v>0</v>
      </c>
      <c r="U230" s="49">
        <v>0</v>
      </c>
      <c r="V230" s="49">
        <v>0.15627</v>
      </c>
      <c r="W230" s="107"/>
      <c r="X230" s="50"/>
      <c r="Y230" s="50"/>
      <c r="Z230" s="49">
        <v>0</v>
      </c>
      <c r="AA230" s="71">
        <v>230</v>
      </c>
      <c r="AB230" s="71"/>
      <c r="AC230" s="72"/>
      <c r="AD230" s="79" t="s">
        <v>714</v>
      </c>
      <c r="AE230" s="79" t="s">
        <v>1078</v>
      </c>
      <c r="AF230" s="79"/>
      <c r="AG230" s="79" t="s">
        <v>1507</v>
      </c>
      <c r="AH230" s="79" t="s">
        <v>1769</v>
      </c>
      <c r="AI230" s="79">
        <v>4701</v>
      </c>
      <c r="AJ230" s="79">
        <v>9</v>
      </c>
      <c r="AK230" s="79">
        <v>118</v>
      </c>
      <c r="AL230" s="79">
        <v>0</v>
      </c>
      <c r="AM230" s="79" t="s">
        <v>2092</v>
      </c>
      <c r="AN230" s="114" t="str">
        <f>HYPERLINK("https://www.youtube.com/watch?v=dh4jW19jPqg")</f>
        <v>https://www.youtube.com/watch?v=dh4jW19jPqg</v>
      </c>
      <c r="AO230" s="78" t="str">
        <f>REPLACE(INDEX(GroupVertices[Group],MATCH(Vertices[[#This Row],[Vertex]],GroupVertices[Vertex],0)),1,1,"")</f>
        <v>edico Tannu</v>
      </c>
      <c r="AP230" s="2"/>
      <c r="AQ230" s="3"/>
      <c r="AR230" s="3"/>
      <c r="AS230" s="3"/>
      <c r="AT230" s="3"/>
    </row>
    <row r="231" spans="1:46" ht="15">
      <c r="A231" s="64" t="s">
        <v>2213</v>
      </c>
      <c r="B231" s="65"/>
      <c r="C231" s="65"/>
      <c r="D231" s="66">
        <v>150</v>
      </c>
      <c r="E231" s="102">
        <v>97.85714285714286</v>
      </c>
      <c r="F231" s="98" t="str">
        <f>HYPERLINK("https://i.ytimg.com/vi/EXrD7RmGeS0/default.jpg")</f>
        <v>https://i.ytimg.com/vi/EXrD7RmGeS0/default.jpg</v>
      </c>
      <c r="G231" s="100"/>
      <c r="H231" s="69" t="s">
        <v>2690</v>
      </c>
      <c r="I231" s="70"/>
      <c r="J231" s="104" t="s">
        <v>159</v>
      </c>
      <c r="K231" s="69" t="s">
        <v>2690</v>
      </c>
      <c r="L231" s="105">
        <v>1</v>
      </c>
      <c r="M231" s="74">
        <v>3214.8671875</v>
      </c>
      <c r="N231" s="74">
        <v>5948.15576171875</v>
      </c>
      <c r="O231" s="75"/>
      <c r="P231" s="76"/>
      <c r="Q231" s="76"/>
      <c r="R231" s="106"/>
      <c r="S231" s="48">
        <v>1</v>
      </c>
      <c r="T231" s="48">
        <v>0</v>
      </c>
      <c r="U231" s="49">
        <v>0</v>
      </c>
      <c r="V231" s="49">
        <v>0.15627</v>
      </c>
      <c r="W231" s="107"/>
      <c r="X231" s="50"/>
      <c r="Y231" s="50"/>
      <c r="Z231" s="49">
        <v>0</v>
      </c>
      <c r="AA231" s="71">
        <v>231</v>
      </c>
      <c r="AB231" s="71"/>
      <c r="AC231" s="72"/>
      <c r="AD231" s="79" t="s">
        <v>2690</v>
      </c>
      <c r="AE231" s="79" t="s">
        <v>3154</v>
      </c>
      <c r="AF231" s="79" t="s">
        <v>2690</v>
      </c>
      <c r="AG231" s="79" t="s">
        <v>1507</v>
      </c>
      <c r="AH231" s="79" t="s">
        <v>4056</v>
      </c>
      <c r="AI231" s="79">
        <v>154</v>
      </c>
      <c r="AJ231" s="79">
        <v>0</v>
      </c>
      <c r="AK231" s="79">
        <v>4</v>
      </c>
      <c r="AL231" s="79">
        <v>0</v>
      </c>
      <c r="AM231" s="79" t="s">
        <v>2092</v>
      </c>
      <c r="AN231" s="114" t="str">
        <f>HYPERLINK("https://www.youtube.com/watch?v=EXrD7RmGeS0")</f>
        <v>https://www.youtube.com/watch?v=EXrD7RmGeS0</v>
      </c>
      <c r="AO231" s="78" t="str">
        <f>REPLACE(INDEX(GroupVertices[Group],MATCH(Vertices[[#This Row],[Vertex]],GroupVertices[Vertex],0)),1,1,"")</f>
        <v>edico Tannu</v>
      </c>
      <c r="AP231" s="2"/>
      <c r="AQ231" s="3"/>
      <c r="AR231" s="3"/>
      <c r="AS231" s="3"/>
      <c r="AT231" s="3"/>
    </row>
    <row r="232" spans="1:46" ht="15">
      <c r="A232" s="64" t="s">
        <v>319</v>
      </c>
      <c r="B232" s="65"/>
      <c r="C232" s="65"/>
      <c r="D232" s="66">
        <v>150</v>
      </c>
      <c r="E232" s="102">
        <v>97.85714285714286</v>
      </c>
      <c r="F232" s="98" t="str">
        <f>HYPERLINK("https://i.ytimg.com/vi/vKm_JYZt75E/default.jpg")</f>
        <v>https://i.ytimg.com/vi/vKm_JYZt75E/default.jpg</v>
      </c>
      <c r="G232" s="100"/>
      <c r="H232" s="69" t="s">
        <v>715</v>
      </c>
      <c r="I232" s="70"/>
      <c r="J232" s="104" t="s">
        <v>159</v>
      </c>
      <c r="K232" s="69" t="s">
        <v>715</v>
      </c>
      <c r="L232" s="105">
        <v>1</v>
      </c>
      <c r="M232" s="74">
        <v>4497.5419921875</v>
      </c>
      <c r="N232" s="74">
        <v>6232.580078125</v>
      </c>
      <c r="O232" s="75"/>
      <c r="P232" s="76"/>
      <c r="Q232" s="76"/>
      <c r="R232" s="106"/>
      <c r="S232" s="48">
        <v>1</v>
      </c>
      <c r="T232" s="48">
        <v>0</v>
      </c>
      <c r="U232" s="49">
        <v>0</v>
      </c>
      <c r="V232" s="49">
        <v>0.15627</v>
      </c>
      <c r="W232" s="107"/>
      <c r="X232" s="50"/>
      <c r="Y232" s="50"/>
      <c r="Z232" s="49">
        <v>0</v>
      </c>
      <c r="AA232" s="71">
        <v>232</v>
      </c>
      <c r="AB232" s="71"/>
      <c r="AC232" s="72"/>
      <c r="AD232" s="79" t="s">
        <v>715</v>
      </c>
      <c r="AE232" s="79" t="s">
        <v>1079</v>
      </c>
      <c r="AF232" s="79"/>
      <c r="AG232" s="79" t="s">
        <v>1503</v>
      </c>
      <c r="AH232" s="79" t="s">
        <v>1770</v>
      </c>
      <c r="AI232" s="79">
        <v>65521</v>
      </c>
      <c r="AJ232" s="79">
        <v>176</v>
      </c>
      <c r="AK232" s="79">
        <v>1608</v>
      </c>
      <c r="AL232" s="79">
        <v>0</v>
      </c>
      <c r="AM232" s="79" t="s">
        <v>2092</v>
      </c>
      <c r="AN232" s="114" t="str">
        <f>HYPERLINK("https://www.youtube.com/watch?v=vKm_JYZt75E")</f>
        <v>https://www.youtube.com/watch?v=vKm_JYZt75E</v>
      </c>
      <c r="AO232" s="78" t="str">
        <f>REPLACE(INDEX(GroupVertices[Group],MATCH(Vertices[[#This Row],[Vertex]],GroupVertices[Vertex],0)),1,1,"")</f>
        <v>nline Nursing Classes</v>
      </c>
      <c r="AP232" s="2"/>
      <c r="AQ232" s="3"/>
      <c r="AR232" s="3"/>
      <c r="AS232" s="3"/>
      <c r="AT232" s="3"/>
    </row>
    <row r="233" spans="1:46" ht="15">
      <c r="A233" s="64" t="s">
        <v>424</v>
      </c>
      <c r="B233" s="65"/>
      <c r="C233" s="65"/>
      <c r="D233" s="66">
        <v>150</v>
      </c>
      <c r="E233" s="102">
        <v>97.85714285714286</v>
      </c>
      <c r="F233" s="98" t="str">
        <f>HYPERLINK("https://i.ytimg.com/vi/omDF5k8YVBk/default.jpg")</f>
        <v>https://i.ytimg.com/vi/omDF5k8YVBk/default.jpg</v>
      </c>
      <c r="G233" s="100"/>
      <c r="H233" s="69" t="s">
        <v>841</v>
      </c>
      <c r="I233" s="70"/>
      <c r="J233" s="104" t="s">
        <v>159</v>
      </c>
      <c r="K233" s="69" t="s">
        <v>841</v>
      </c>
      <c r="L233" s="105">
        <v>1</v>
      </c>
      <c r="M233" s="74">
        <v>4150.3046875</v>
      </c>
      <c r="N233" s="74">
        <v>5626.87744140625</v>
      </c>
      <c r="O233" s="75"/>
      <c r="P233" s="76"/>
      <c r="Q233" s="76"/>
      <c r="R233" s="106"/>
      <c r="S233" s="48">
        <v>1</v>
      </c>
      <c r="T233" s="48">
        <v>0</v>
      </c>
      <c r="U233" s="49">
        <v>0</v>
      </c>
      <c r="V233" s="49">
        <v>0.15627</v>
      </c>
      <c r="W233" s="107"/>
      <c r="X233" s="50"/>
      <c r="Y233" s="50"/>
      <c r="Z233" s="49">
        <v>0</v>
      </c>
      <c r="AA233" s="71">
        <v>233</v>
      </c>
      <c r="AB233" s="71"/>
      <c r="AC233" s="72"/>
      <c r="AD233" s="79" t="s">
        <v>841</v>
      </c>
      <c r="AE233" s="79" t="s">
        <v>1164</v>
      </c>
      <c r="AF233" s="79"/>
      <c r="AG233" s="79" t="s">
        <v>1507</v>
      </c>
      <c r="AH233" s="79" t="s">
        <v>1897</v>
      </c>
      <c r="AI233" s="79">
        <v>4838</v>
      </c>
      <c r="AJ233" s="79">
        <v>12</v>
      </c>
      <c r="AK233" s="79">
        <v>97</v>
      </c>
      <c r="AL233" s="79">
        <v>0</v>
      </c>
      <c r="AM233" s="79" t="s">
        <v>2092</v>
      </c>
      <c r="AN233" s="114" t="str">
        <f>HYPERLINK("https://www.youtube.com/watch?v=omDF5k8YVBk")</f>
        <v>https://www.youtube.com/watch?v=omDF5k8YVBk</v>
      </c>
      <c r="AO233" s="78" t="str">
        <f>REPLACE(INDEX(GroupVertices[Group],MATCH(Vertices[[#This Row],[Vertex]],GroupVertices[Vertex],0)),1,1,"")</f>
        <v>edico Tannu</v>
      </c>
      <c r="AP233" s="2"/>
      <c r="AQ233" s="3"/>
      <c r="AR233" s="3"/>
      <c r="AS233" s="3"/>
      <c r="AT233" s="3"/>
    </row>
    <row r="234" spans="1:46" ht="15">
      <c r="A234" s="64" t="s">
        <v>421</v>
      </c>
      <c r="B234" s="65"/>
      <c r="C234" s="65"/>
      <c r="D234" s="66">
        <v>150</v>
      </c>
      <c r="E234" s="102">
        <v>97.85714285714286</v>
      </c>
      <c r="F234" s="98" t="str">
        <f>HYPERLINK("https://i.ytimg.com/vi/WE3aarT0fP8/default.jpg")</f>
        <v>https://i.ytimg.com/vi/WE3aarT0fP8/default.jpg</v>
      </c>
      <c r="G234" s="100"/>
      <c r="H234" s="69" t="s">
        <v>838</v>
      </c>
      <c r="I234" s="70"/>
      <c r="J234" s="104" t="s">
        <v>159</v>
      </c>
      <c r="K234" s="69" t="s">
        <v>838</v>
      </c>
      <c r="L234" s="105">
        <v>1</v>
      </c>
      <c r="M234" s="74">
        <v>3815.966552734375</v>
      </c>
      <c r="N234" s="74">
        <v>7367.51513671875</v>
      </c>
      <c r="O234" s="75"/>
      <c r="P234" s="76"/>
      <c r="Q234" s="76"/>
      <c r="R234" s="106"/>
      <c r="S234" s="48">
        <v>1</v>
      </c>
      <c r="T234" s="48">
        <v>0</v>
      </c>
      <c r="U234" s="49">
        <v>0</v>
      </c>
      <c r="V234" s="49">
        <v>0.15627</v>
      </c>
      <c r="W234" s="107"/>
      <c r="X234" s="50"/>
      <c r="Y234" s="50"/>
      <c r="Z234" s="49">
        <v>0</v>
      </c>
      <c r="AA234" s="71">
        <v>234</v>
      </c>
      <c r="AB234" s="71"/>
      <c r="AC234" s="72"/>
      <c r="AD234" s="79" t="s">
        <v>838</v>
      </c>
      <c r="AE234" s="79" t="s">
        <v>1161</v>
      </c>
      <c r="AF234" s="79"/>
      <c r="AG234" s="79" t="s">
        <v>1503</v>
      </c>
      <c r="AH234" s="79" t="s">
        <v>1894</v>
      </c>
      <c r="AI234" s="79">
        <v>83877</v>
      </c>
      <c r="AJ234" s="79">
        <v>178</v>
      </c>
      <c r="AK234" s="79">
        <v>1962</v>
      </c>
      <c r="AL234" s="79">
        <v>0</v>
      </c>
      <c r="AM234" s="79" t="s">
        <v>2092</v>
      </c>
      <c r="AN234" s="114" t="str">
        <f>HYPERLINK("https://www.youtube.com/watch?v=WE3aarT0fP8")</f>
        <v>https://www.youtube.com/watch?v=WE3aarT0fP8</v>
      </c>
      <c r="AO234" s="78" t="str">
        <f>REPLACE(INDEX(GroupVertices[Group],MATCH(Vertices[[#This Row],[Vertex]],GroupVertices[Vertex],0)),1,1,"")</f>
        <v>nline Nursing Classes</v>
      </c>
      <c r="AP234" s="2"/>
      <c r="AQ234" s="3"/>
      <c r="AR234" s="3"/>
      <c r="AS234" s="3"/>
      <c r="AT234" s="3"/>
    </row>
    <row r="235" spans="1:46" ht="15">
      <c r="A235" s="64" t="s">
        <v>425</v>
      </c>
      <c r="B235" s="65"/>
      <c r="C235" s="65"/>
      <c r="D235" s="66">
        <v>150</v>
      </c>
      <c r="E235" s="102">
        <v>97.85714285714286</v>
      </c>
      <c r="F235" s="98" t="str">
        <f>HYPERLINK("https://i.ytimg.com/vi/wHrg7sJE26s/default.jpg")</f>
        <v>https://i.ytimg.com/vi/wHrg7sJE26s/default.jpg</v>
      </c>
      <c r="G235" s="100"/>
      <c r="H235" s="69" t="s">
        <v>842</v>
      </c>
      <c r="I235" s="70"/>
      <c r="J235" s="104" t="s">
        <v>159</v>
      </c>
      <c r="K235" s="69" t="s">
        <v>842</v>
      </c>
      <c r="L235" s="105">
        <v>1</v>
      </c>
      <c r="M235" s="74">
        <v>2873.8046875</v>
      </c>
      <c r="N235" s="74">
        <v>5288.1728515625</v>
      </c>
      <c r="O235" s="75"/>
      <c r="P235" s="76"/>
      <c r="Q235" s="76"/>
      <c r="R235" s="106"/>
      <c r="S235" s="48">
        <v>1</v>
      </c>
      <c r="T235" s="48">
        <v>0</v>
      </c>
      <c r="U235" s="49">
        <v>0</v>
      </c>
      <c r="V235" s="49">
        <v>0.15627</v>
      </c>
      <c r="W235" s="107"/>
      <c r="X235" s="50"/>
      <c r="Y235" s="50"/>
      <c r="Z235" s="49">
        <v>0</v>
      </c>
      <c r="AA235" s="71">
        <v>235</v>
      </c>
      <c r="AB235" s="71"/>
      <c r="AC235" s="72"/>
      <c r="AD235" s="79" t="s">
        <v>842</v>
      </c>
      <c r="AE235" s="79" t="s">
        <v>1165</v>
      </c>
      <c r="AF235" s="79" t="s">
        <v>842</v>
      </c>
      <c r="AG235" s="79" t="s">
        <v>1507</v>
      </c>
      <c r="AH235" s="79" t="s">
        <v>1898</v>
      </c>
      <c r="AI235" s="79">
        <v>1848</v>
      </c>
      <c r="AJ235" s="79">
        <v>5</v>
      </c>
      <c r="AK235" s="79">
        <v>38</v>
      </c>
      <c r="AL235" s="79">
        <v>0</v>
      </c>
      <c r="AM235" s="79" t="s">
        <v>2092</v>
      </c>
      <c r="AN235" s="114" t="str">
        <f>HYPERLINK("https://www.youtube.com/watch?v=wHrg7sJE26s")</f>
        <v>https://www.youtube.com/watch?v=wHrg7sJE26s</v>
      </c>
      <c r="AO235" s="78" t="str">
        <f>REPLACE(INDEX(GroupVertices[Group],MATCH(Vertices[[#This Row],[Vertex]],GroupVertices[Vertex],0)),1,1,"")</f>
        <v>edico Tannu</v>
      </c>
      <c r="AP235" s="2"/>
      <c r="AQ235" s="3"/>
      <c r="AR235" s="3"/>
      <c r="AS235" s="3"/>
      <c r="AT235" s="3"/>
    </row>
    <row r="236" spans="1:46" ht="15">
      <c r="A236" s="64" t="s">
        <v>2214</v>
      </c>
      <c r="B236" s="65"/>
      <c r="C236" s="65"/>
      <c r="D236" s="66">
        <v>150</v>
      </c>
      <c r="E236" s="102">
        <v>97.85714285714286</v>
      </c>
      <c r="F236" s="98" t="str">
        <f>HYPERLINK("https://i.ytimg.com/vi/h3717qrDpWg/default.jpg")</f>
        <v>https://i.ytimg.com/vi/h3717qrDpWg/default.jpg</v>
      </c>
      <c r="G236" s="100"/>
      <c r="H236" s="69" t="s">
        <v>2691</v>
      </c>
      <c r="I236" s="70"/>
      <c r="J236" s="104" t="s">
        <v>159</v>
      </c>
      <c r="K236" s="69" t="s">
        <v>2691</v>
      </c>
      <c r="L236" s="105">
        <v>1</v>
      </c>
      <c r="M236" s="74">
        <v>2909.737060546875</v>
      </c>
      <c r="N236" s="74">
        <v>5915.3935546875</v>
      </c>
      <c r="O236" s="75"/>
      <c r="P236" s="76"/>
      <c r="Q236" s="76"/>
      <c r="R236" s="106"/>
      <c r="S236" s="48">
        <v>1</v>
      </c>
      <c r="T236" s="48">
        <v>0</v>
      </c>
      <c r="U236" s="49">
        <v>0</v>
      </c>
      <c r="V236" s="49">
        <v>0.15627</v>
      </c>
      <c r="W236" s="107"/>
      <c r="X236" s="50"/>
      <c r="Y236" s="50"/>
      <c r="Z236" s="49">
        <v>0</v>
      </c>
      <c r="AA236" s="71">
        <v>236</v>
      </c>
      <c r="AB236" s="71"/>
      <c r="AC236" s="72"/>
      <c r="AD236" s="79" t="s">
        <v>2691</v>
      </c>
      <c r="AE236" s="79" t="s">
        <v>3155</v>
      </c>
      <c r="AF236" s="79" t="s">
        <v>3535</v>
      </c>
      <c r="AG236" s="79" t="s">
        <v>1507</v>
      </c>
      <c r="AH236" s="79" t="s">
        <v>4057</v>
      </c>
      <c r="AI236" s="79">
        <v>79</v>
      </c>
      <c r="AJ236" s="79">
        <v>0</v>
      </c>
      <c r="AK236" s="79">
        <v>3</v>
      </c>
      <c r="AL236" s="79">
        <v>0</v>
      </c>
      <c r="AM236" s="79" t="s">
        <v>2092</v>
      </c>
      <c r="AN236" s="114" t="str">
        <f>HYPERLINK("https://www.youtube.com/watch?v=h3717qrDpWg")</f>
        <v>https://www.youtube.com/watch?v=h3717qrDpWg</v>
      </c>
      <c r="AO236" s="78" t="str">
        <f>REPLACE(INDEX(GroupVertices[Group],MATCH(Vertices[[#This Row],[Vertex]],GroupVertices[Vertex],0)),1,1,"")</f>
        <v>edico Tannu</v>
      </c>
      <c r="AP236" s="2"/>
      <c r="AQ236" s="3"/>
      <c r="AR236" s="3"/>
      <c r="AS236" s="3"/>
      <c r="AT236" s="3"/>
    </row>
    <row r="237" spans="1:46" ht="15">
      <c r="A237" s="64" t="s">
        <v>420</v>
      </c>
      <c r="B237" s="65"/>
      <c r="C237" s="65"/>
      <c r="D237" s="66">
        <v>150</v>
      </c>
      <c r="E237" s="102">
        <v>97.85714285714286</v>
      </c>
      <c r="F237" s="98" t="str">
        <f>HYPERLINK("https://i.ytimg.com/vi/7IhSxhLDUTQ/default.jpg")</f>
        <v>https://i.ytimg.com/vi/7IhSxhLDUTQ/default.jpg</v>
      </c>
      <c r="G237" s="100"/>
      <c r="H237" s="69" t="s">
        <v>837</v>
      </c>
      <c r="I237" s="70"/>
      <c r="J237" s="104" t="s">
        <v>159</v>
      </c>
      <c r="K237" s="69" t="s">
        <v>837</v>
      </c>
      <c r="L237" s="105">
        <v>1</v>
      </c>
      <c r="M237" s="74">
        <v>3659.5888671875</v>
      </c>
      <c r="N237" s="74">
        <v>6613.91650390625</v>
      </c>
      <c r="O237" s="75"/>
      <c r="P237" s="76"/>
      <c r="Q237" s="76"/>
      <c r="R237" s="106"/>
      <c r="S237" s="48">
        <v>1</v>
      </c>
      <c r="T237" s="48">
        <v>0</v>
      </c>
      <c r="U237" s="49">
        <v>0</v>
      </c>
      <c r="V237" s="49">
        <v>0.15627</v>
      </c>
      <c r="W237" s="107"/>
      <c r="X237" s="50"/>
      <c r="Y237" s="50"/>
      <c r="Z237" s="49">
        <v>0</v>
      </c>
      <c r="AA237" s="71">
        <v>237</v>
      </c>
      <c r="AB237" s="71"/>
      <c r="AC237" s="72"/>
      <c r="AD237" s="79" t="s">
        <v>837</v>
      </c>
      <c r="AE237" s="79" t="s">
        <v>1160</v>
      </c>
      <c r="AF237" s="79"/>
      <c r="AG237" s="79" t="s">
        <v>1503</v>
      </c>
      <c r="AH237" s="79" t="s">
        <v>1893</v>
      </c>
      <c r="AI237" s="79">
        <v>92275</v>
      </c>
      <c r="AJ237" s="79">
        <v>182</v>
      </c>
      <c r="AK237" s="79">
        <v>2163</v>
      </c>
      <c r="AL237" s="79">
        <v>0</v>
      </c>
      <c r="AM237" s="79" t="s">
        <v>2092</v>
      </c>
      <c r="AN237" s="114" t="str">
        <f>HYPERLINK("https://www.youtube.com/watch?v=7IhSxhLDUTQ")</f>
        <v>https://www.youtube.com/watch?v=7IhSxhLDUTQ</v>
      </c>
      <c r="AO237" s="78" t="str">
        <f>REPLACE(INDEX(GroupVertices[Group],MATCH(Vertices[[#This Row],[Vertex]],GroupVertices[Vertex],0)),1,1,"")</f>
        <v>nline Nursing Classes</v>
      </c>
      <c r="AP237" s="2"/>
      <c r="AQ237" s="3"/>
      <c r="AR237" s="3"/>
      <c r="AS237" s="3"/>
      <c r="AT237" s="3"/>
    </row>
    <row r="238" spans="1:46" ht="15">
      <c r="A238" s="64" t="s">
        <v>2215</v>
      </c>
      <c r="B238" s="65"/>
      <c r="C238" s="65"/>
      <c r="D238" s="66">
        <v>150</v>
      </c>
      <c r="E238" s="102">
        <v>97.85714285714286</v>
      </c>
      <c r="F238" s="98" t="str">
        <f>HYPERLINK("https://i.ytimg.com/vi/G7k0rueG9Qc/default.jpg")</f>
        <v>https://i.ytimg.com/vi/G7k0rueG9Qc/default.jpg</v>
      </c>
      <c r="G238" s="100"/>
      <c r="H238" s="69" t="s">
        <v>2692</v>
      </c>
      <c r="I238" s="70"/>
      <c r="J238" s="104" t="s">
        <v>159</v>
      </c>
      <c r="K238" s="69" t="s">
        <v>2692</v>
      </c>
      <c r="L238" s="105">
        <v>1</v>
      </c>
      <c r="M238" s="74">
        <v>2993.764404296875</v>
      </c>
      <c r="N238" s="74">
        <v>6753.2099609375</v>
      </c>
      <c r="O238" s="75"/>
      <c r="P238" s="76"/>
      <c r="Q238" s="76"/>
      <c r="R238" s="106"/>
      <c r="S238" s="48">
        <v>1</v>
      </c>
      <c r="T238" s="48">
        <v>0</v>
      </c>
      <c r="U238" s="49">
        <v>0</v>
      </c>
      <c r="V238" s="49">
        <v>0.15627</v>
      </c>
      <c r="W238" s="107"/>
      <c r="X238" s="50"/>
      <c r="Y238" s="50"/>
      <c r="Z238" s="49">
        <v>0</v>
      </c>
      <c r="AA238" s="71">
        <v>238</v>
      </c>
      <c r="AB238" s="71"/>
      <c r="AC238" s="72"/>
      <c r="AD238" s="79" t="s">
        <v>2692</v>
      </c>
      <c r="AE238" s="79" t="s">
        <v>3156</v>
      </c>
      <c r="AF238" s="79" t="s">
        <v>2692</v>
      </c>
      <c r="AG238" s="79" t="s">
        <v>1507</v>
      </c>
      <c r="AH238" s="79" t="s">
        <v>4058</v>
      </c>
      <c r="AI238" s="79">
        <v>154</v>
      </c>
      <c r="AJ238" s="79">
        <v>2</v>
      </c>
      <c r="AK238" s="79">
        <v>9</v>
      </c>
      <c r="AL238" s="79">
        <v>0</v>
      </c>
      <c r="AM238" s="79" t="s">
        <v>2092</v>
      </c>
      <c r="AN238" s="114" t="str">
        <f>HYPERLINK("https://www.youtube.com/watch?v=G7k0rueG9Qc")</f>
        <v>https://www.youtube.com/watch?v=G7k0rueG9Qc</v>
      </c>
      <c r="AO238" s="78" t="str">
        <f>REPLACE(INDEX(GroupVertices[Group],MATCH(Vertices[[#This Row],[Vertex]],GroupVertices[Vertex],0)),1,1,"")</f>
        <v>edico Tannu</v>
      </c>
      <c r="AP238" s="2"/>
      <c r="AQ238" s="3"/>
      <c r="AR238" s="3"/>
      <c r="AS238" s="3"/>
      <c r="AT238" s="3"/>
    </row>
    <row r="239" spans="1:46" ht="15">
      <c r="A239" s="64" t="s">
        <v>426</v>
      </c>
      <c r="B239" s="65"/>
      <c r="C239" s="65"/>
      <c r="D239" s="66">
        <v>150</v>
      </c>
      <c r="E239" s="102">
        <v>97.85714285714286</v>
      </c>
      <c r="F239" s="98" t="str">
        <f>HYPERLINK("https://i.ytimg.com/vi/UWSFAs_pvJE/default.jpg")</f>
        <v>https://i.ytimg.com/vi/UWSFAs_pvJE/default.jpg</v>
      </c>
      <c r="G239" s="100"/>
      <c r="H239" s="69" t="s">
        <v>843</v>
      </c>
      <c r="I239" s="70"/>
      <c r="J239" s="104" t="s">
        <v>159</v>
      </c>
      <c r="K239" s="69" t="s">
        <v>843</v>
      </c>
      <c r="L239" s="105">
        <v>1</v>
      </c>
      <c r="M239" s="74">
        <v>4207.61572265625</v>
      </c>
      <c r="N239" s="74">
        <v>7068.76953125</v>
      </c>
      <c r="O239" s="75"/>
      <c r="P239" s="76"/>
      <c r="Q239" s="76"/>
      <c r="R239" s="106"/>
      <c r="S239" s="48">
        <v>1</v>
      </c>
      <c r="T239" s="48">
        <v>0</v>
      </c>
      <c r="U239" s="49">
        <v>0</v>
      </c>
      <c r="V239" s="49">
        <v>0.15627</v>
      </c>
      <c r="W239" s="107"/>
      <c r="X239" s="50"/>
      <c r="Y239" s="50"/>
      <c r="Z239" s="49">
        <v>0</v>
      </c>
      <c r="AA239" s="71">
        <v>239</v>
      </c>
      <c r="AB239" s="71"/>
      <c r="AC239" s="72"/>
      <c r="AD239" s="79" t="s">
        <v>843</v>
      </c>
      <c r="AE239" s="79" t="s">
        <v>1166</v>
      </c>
      <c r="AF239" s="79" t="s">
        <v>1397</v>
      </c>
      <c r="AG239" s="79" t="s">
        <v>1507</v>
      </c>
      <c r="AH239" s="79" t="s">
        <v>1899</v>
      </c>
      <c r="AI239" s="79">
        <v>6764</v>
      </c>
      <c r="AJ239" s="79">
        <v>10</v>
      </c>
      <c r="AK239" s="79">
        <v>149</v>
      </c>
      <c r="AL239" s="79">
        <v>0</v>
      </c>
      <c r="AM239" s="79" t="s">
        <v>2092</v>
      </c>
      <c r="AN239" s="114" t="str">
        <f>HYPERLINK("https://www.youtube.com/watch?v=UWSFAs_pvJE")</f>
        <v>https://www.youtube.com/watch?v=UWSFAs_pvJE</v>
      </c>
      <c r="AO239" s="78" t="str">
        <f>REPLACE(INDEX(GroupVertices[Group],MATCH(Vertices[[#This Row],[Vertex]],GroupVertices[Vertex],0)),1,1,"")</f>
        <v>edico Tannu</v>
      </c>
      <c r="AP239" s="2"/>
      <c r="AQ239" s="3"/>
      <c r="AR239" s="3"/>
      <c r="AS239" s="3"/>
      <c r="AT239" s="3"/>
    </row>
    <row r="240" spans="1:46" ht="15">
      <c r="A240" s="64" t="s">
        <v>320</v>
      </c>
      <c r="B240" s="65"/>
      <c r="C240" s="65"/>
      <c r="D240" s="66">
        <v>150</v>
      </c>
      <c r="E240" s="102">
        <v>97.85714285714286</v>
      </c>
      <c r="F240" s="98" t="str">
        <f>HYPERLINK("https://i.ytimg.com/vi/UaxsmJ2aYnI/default.jpg")</f>
        <v>https://i.ytimg.com/vi/UaxsmJ2aYnI/default.jpg</v>
      </c>
      <c r="G240" s="100"/>
      <c r="H240" s="69" t="s">
        <v>716</v>
      </c>
      <c r="I240" s="70"/>
      <c r="J240" s="104" t="s">
        <v>159</v>
      </c>
      <c r="K240" s="69" t="s">
        <v>716</v>
      </c>
      <c r="L240" s="105">
        <v>1</v>
      </c>
      <c r="M240" s="74">
        <v>4420.07470703125</v>
      </c>
      <c r="N240" s="74">
        <v>5692.32080078125</v>
      </c>
      <c r="O240" s="75"/>
      <c r="P240" s="76"/>
      <c r="Q240" s="76"/>
      <c r="R240" s="106"/>
      <c r="S240" s="48">
        <v>1</v>
      </c>
      <c r="T240" s="48">
        <v>0</v>
      </c>
      <c r="U240" s="49">
        <v>0</v>
      </c>
      <c r="V240" s="49">
        <v>0.15627</v>
      </c>
      <c r="W240" s="107"/>
      <c r="X240" s="50"/>
      <c r="Y240" s="50"/>
      <c r="Z240" s="49">
        <v>0</v>
      </c>
      <c r="AA240" s="71">
        <v>240</v>
      </c>
      <c r="AB240" s="71"/>
      <c r="AC240" s="72"/>
      <c r="AD240" s="79" t="s">
        <v>716</v>
      </c>
      <c r="AE240" s="79" t="s">
        <v>1080</v>
      </c>
      <c r="AF240" s="79"/>
      <c r="AG240" s="79" t="s">
        <v>1503</v>
      </c>
      <c r="AH240" s="79" t="s">
        <v>1771</v>
      </c>
      <c r="AI240" s="79">
        <v>53652</v>
      </c>
      <c r="AJ240" s="79">
        <v>146</v>
      </c>
      <c r="AK240" s="79">
        <v>1578</v>
      </c>
      <c r="AL240" s="79">
        <v>0</v>
      </c>
      <c r="AM240" s="79" t="s">
        <v>2092</v>
      </c>
      <c r="AN240" s="114" t="str">
        <f>HYPERLINK("https://www.youtube.com/watch?v=UaxsmJ2aYnI")</f>
        <v>https://www.youtube.com/watch?v=UaxsmJ2aYnI</v>
      </c>
      <c r="AO240" s="78" t="str">
        <f>REPLACE(INDEX(GroupVertices[Group],MATCH(Vertices[[#This Row],[Vertex]],GroupVertices[Vertex],0)),1,1,"")</f>
        <v>nline Nursing Classes</v>
      </c>
      <c r="AP240" s="2"/>
      <c r="AQ240" s="3"/>
      <c r="AR240" s="3"/>
      <c r="AS240" s="3"/>
      <c r="AT240" s="3"/>
    </row>
    <row r="241" spans="1:46" ht="15">
      <c r="A241" s="64" t="s">
        <v>427</v>
      </c>
      <c r="B241" s="65"/>
      <c r="C241" s="65"/>
      <c r="D241" s="66">
        <v>150</v>
      </c>
      <c r="E241" s="102">
        <v>97.85714285714286</v>
      </c>
      <c r="F241" s="98" t="str">
        <f>HYPERLINK("https://i.ytimg.com/vi/GiCLYyMgdlM/default.jpg")</f>
        <v>https://i.ytimg.com/vi/GiCLYyMgdlM/default.jpg</v>
      </c>
      <c r="G241" s="100"/>
      <c r="H241" s="69" t="s">
        <v>844</v>
      </c>
      <c r="I241" s="70"/>
      <c r="J241" s="104" t="s">
        <v>159</v>
      </c>
      <c r="K241" s="69" t="s">
        <v>844</v>
      </c>
      <c r="L241" s="105">
        <v>1</v>
      </c>
      <c r="M241" s="74">
        <v>3046.25927734375</v>
      </c>
      <c r="N241" s="74">
        <v>5515.56396484375</v>
      </c>
      <c r="O241" s="75"/>
      <c r="P241" s="76"/>
      <c r="Q241" s="76"/>
      <c r="R241" s="106"/>
      <c r="S241" s="48">
        <v>1</v>
      </c>
      <c r="T241" s="48">
        <v>0</v>
      </c>
      <c r="U241" s="49">
        <v>0</v>
      </c>
      <c r="V241" s="49">
        <v>0.15627</v>
      </c>
      <c r="W241" s="107"/>
      <c r="X241" s="50"/>
      <c r="Y241" s="50"/>
      <c r="Z241" s="49">
        <v>0</v>
      </c>
      <c r="AA241" s="71">
        <v>241</v>
      </c>
      <c r="AB241" s="71"/>
      <c r="AC241" s="72"/>
      <c r="AD241" s="79" t="s">
        <v>844</v>
      </c>
      <c r="AE241" s="79" t="s">
        <v>1167</v>
      </c>
      <c r="AF241" s="79"/>
      <c r="AG241" s="79" t="s">
        <v>1507</v>
      </c>
      <c r="AH241" s="79" t="s">
        <v>1900</v>
      </c>
      <c r="AI241" s="79">
        <v>4259</v>
      </c>
      <c r="AJ241" s="79">
        <v>21</v>
      </c>
      <c r="AK241" s="79">
        <v>92</v>
      </c>
      <c r="AL241" s="79">
        <v>0</v>
      </c>
      <c r="AM241" s="79" t="s">
        <v>2092</v>
      </c>
      <c r="AN241" s="114" t="str">
        <f>HYPERLINK("https://www.youtube.com/watch?v=GiCLYyMgdlM")</f>
        <v>https://www.youtube.com/watch?v=GiCLYyMgdlM</v>
      </c>
      <c r="AO241" s="78" t="str">
        <f>REPLACE(INDEX(GroupVertices[Group],MATCH(Vertices[[#This Row],[Vertex]],GroupVertices[Vertex],0)),1,1,"")</f>
        <v>edico Tannu</v>
      </c>
      <c r="AP241" s="2"/>
      <c r="AQ241" s="3"/>
      <c r="AR241" s="3"/>
      <c r="AS241" s="3"/>
      <c r="AT241" s="3"/>
    </row>
    <row r="242" spans="1:46" ht="15">
      <c r="A242" s="64" t="s">
        <v>419</v>
      </c>
      <c r="B242" s="65"/>
      <c r="C242" s="65"/>
      <c r="D242" s="66">
        <v>150</v>
      </c>
      <c r="E242" s="102">
        <v>97.85714285714286</v>
      </c>
      <c r="F242" s="98" t="str">
        <f>HYPERLINK("https://i.ytimg.com/vi/eprqHTrsZfI/default.jpg")</f>
        <v>https://i.ytimg.com/vi/eprqHTrsZfI/default.jpg</v>
      </c>
      <c r="G242" s="100"/>
      <c r="H242" s="69" t="s">
        <v>836</v>
      </c>
      <c r="I242" s="70"/>
      <c r="J242" s="104" t="s">
        <v>159</v>
      </c>
      <c r="K242" s="69" t="s">
        <v>836</v>
      </c>
      <c r="L242" s="105">
        <v>1</v>
      </c>
      <c r="M242" s="74">
        <v>3291.4619140625</v>
      </c>
      <c r="N242" s="74">
        <v>5298.6728515625</v>
      </c>
      <c r="O242" s="75"/>
      <c r="P242" s="76"/>
      <c r="Q242" s="76"/>
      <c r="R242" s="106"/>
      <c r="S242" s="48">
        <v>1</v>
      </c>
      <c r="T242" s="48">
        <v>0</v>
      </c>
      <c r="U242" s="49">
        <v>0</v>
      </c>
      <c r="V242" s="49">
        <v>0.15627</v>
      </c>
      <c r="W242" s="107"/>
      <c r="X242" s="50"/>
      <c r="Y242" s="50"/>
      <c r="Z242" s="49">
        <v>0</v>
      </c>
      <c r="AA242" s="71">
        <v>242</v>
      </c>
      <c r="AB242" s="71"/>
      <c r="AC242" s="72"/>
      <c r="AD242" s="79" t="s">
        <v>836</v>
      </c>
      <c r="AE242" s="79" t="s">
        <v>1159</v>
      </c>
      <c r="AF242" s="79"/>
      <c r="AG242" s="79" t="s">
        <v>1507</v>
      </c>
      <c r="AH242" s="79" t="s">
        <v>1892</v>
      </c>
      <c r="AI242" s="79">
        <v>9732</v>
      </c>
      <c r="AJ242" s="79">
        <v>9</v>
      </c>
      <c r="AK242" s="79">
        <v>212</v>
      </c>
      <c r="AL242" s="79">
        <v>0</v>
      </c>
      <c r="AM242" s="79" t="s">
        <v>2092</v>
      </c>
      <c r="AN242" s="114" t="str">
        <f>HYPERLINK("https://www.youtube.com/watch?v=eprqHTrsZfI")</f>
        <v>https://www.youtube.com/watch?v=eprqHTrsZfI</v>
      </c>
      <c r="AO242" s="78" t="str">
        <f>REPLACE(INDEX(GroupVertices[Group],MATCH(Vertices[[#This Row],[Vertex]],GroupVertices[Vertex],0)),1,1,"")</f>
        <v>edico Tannu</v>
      </c>
      <c r="AP242" s="2"/>
      <c r="AQ242" s="3"/>
      <c r="AR242" s="3"/>
      <c r="AS242" s="3"/>
      <c r="AT242" s="3"/>
    </row>
    <row r="243" spans="1:46" ht="15">
      <c r="A243" s="64" t="s">
        <v>2216</v>
      </c>
      <c r="B243" s="65"/>
      <c r="C243" s="65"/>
      <c r="D243" s="66">
        <v>150</v>
      </c>
      <c r="E243" s="102">
        <v>97.85714285714286</v>
      </c>
      <c r="F243" s="98" t="str">
        <f>HYPERLINK("https://i.ytimg.com/vi/ja8kpt07z4U/default.jpg")</f>
        <v>https://i.ytimg.com/vi/ja8kpt07z4U/default.jpg</v>
      </c>
      <c r="G243" s="100"/>
      <c r="H243" s="69" t="s">
        <v>2693</v>
      </c>
      <c r="I243" s="70"/>
      <c r="J243" s="104" t="s">
        <v>159</v>
      </c>
      <c r="K243" s="69" t="s">
        <v>2693</v>
      </c>
      <c r="L243" s="105">
        <v>1</v>
      </c>
      <c r="M243" s="74">
        <v>4027.955078125</v>
      </c>
      <c r="N243" s="74">
        <v>5003.47021484375</v>
      </c>
      <c r="O243" s="75"/>
      <c r="P243" s="76"/>
      <c r="Q243" s="76"/>
      <c r="R243" s="106"/>
      <c r="S243" s="48">
        <v>1</v>
      </c>
      <c r="T243" s="48">
        <v>0</v>
      </c>
      <c r="U243" s="49">
        <v>0</v>
      </c>
      <c r="V243" s="49">
        <v>0.15627</v>
      </c>
      <c r="W243" s="107"/>
      <c r="X243" s="50"/>
      <c r="Y243" s="50"/>
      <c r="Z243" s="49">
        <v>0</v>
      </c>
      <c r="AA243" s="71">
        <v>243</v>
      </c>
      <c r="AB243" s="71"/>
      <c r="AC243" s="72"/>
      <c r="AD243" s="79" t="s">
        <v>2693</v>
      </c>
      <c r="AE243" s="79" t="s">
        <v>3157</v>
      </c>
      <c r="AF243" s="79" t="s">
        <v>3536</v>
      </c>
      <c r="AG243" s="79" t="s">
        <v>3753</v>
      </c>
      <c r="AH243" s="79" t="s">
        <v>4059</v>
      </c>
      <c r="AI243" s="79">
        <v>598</v>
      </c>
      <c r="AJ243" s="79">
        <v>3</v>
      </c>
      <c r="AK243" s="79">
        <v>13</v>
      </c>
      <c r="AL243" s="79">
        <v>0</v>
      </c>
      <c r="AM243" s="79" t="s">
        <v>2092</v>
      </c>
      <c r="AN243" s="114" t="str">
        <f>HYPERLINK("https://www.youtube.com/watch?v=ja8kpt07z4U")</f>
        <v>https://www.youtube.com/watch?v=ja8kpt07z4U</v>
      </c>
      <c r="AO243" s="78" t="str">
        <f>REPLACE(INDEX(GroupVertices[Group],MATCH(Vertices[[#This Row],[Vertex]],GroupVertices[Vertex],0)),1,1,"")</f>
        <v>доров ́я та розвиток</v>
      </c>
      <c r="AP243" s="2"/>
      <c r="AQ243" s="3"/>
      <c r="AR243" s="3"/>
      <c r="AS243" s="3"/>
      <c r="AT243" s="3"/>
    </row>
    <row r="244" spans="1:46" ht="15">
      <c r="A244" s="64" t="s">
        <v>2217</v>
      </c>
      <c r="B244" s="65"/>
      <c r="C244" s="65"/>
      <c r="D244" s="66">
        <v>150</v>
      </c>
      <c r="E244" s="102">
        <v>97.85714285714286</v>
      </c>
      <c r="F244" s="98" t="str">
        <f>HYPERLINK("https://i.ytimg.com/vi/DOaOO_st5nM/default.jpg")</f>
        <v>https://i.ytimg.com/vi/DOaOO_st5nM/default.jpg</v>
      </c>
      <c r="G244" s="100"/>
      <c r="H244" s="69" t="s">
        <v>2694</v>
      </c>
      <c r="I244" s="70"/>
      <c r="J244" s="104" t="s">
        <v>159</v>
      </c>
      <c r="K244" s="69" t="s">
        <v>2694</v>
      </c>
      <c r="L244" s="105">
        <v>1</v>
      </c>
      <c r="M244" s="74">
        <v>4473.7529296875</v>
      </c>
      <c r="N244" s="74">
        <v>5941.38330078125</v>
      </c>
      <c r="O244" s="75"/>
      <c r="P244" s="76"/>
      <c r="Q244" s="76"/>
      <c r="R244" s="106"/>
      <c r="S244" s="48">
        <v>1</v>
      </c>
      <c r="T244" s="48">
        <v>0</v>
      </c>
      <c r="U244" s="49">
        <v>0</v>
      </c>
      <c r="V244" s="49">
        <v>0.15627</v>
      </c>
      <c r="W244" s="107"/>
      <c r="X244" s="50"/>
      <c r="Y244" s="50"/>
      <c r="Z244" s="49">
        <v>0</v>
      </c>
      <c r="AA244" s="71">
        <v>244</v>
      </c>
      <c r="AB244" s="71"/>
      <c r="AC244" s="72"/>
      <c r="AD244" s="79" t="s">
        <v>2694</v>
      </c>
      <c r="AE244" s="79" t="s">
        <v>3158</v>
      </c>
      <c r="AF244" s="79" t="s">
        <v>3537</v>
      </c>
      <c r="AG244" s="79" t="s">
        <v>1561</v>
      </c>
      <c r="AH244" s="79" t="s">
        <v>4060</v>
      </c>
      <c r="AI244" s="79">
        <v>53250</v>
      </c>
      <c r="AJ244" s="79">
        <v>86</v>
      </c>
      <c r="AK244" s="79">
        <v>1345</v>
      </c>
      <c r="AL244" s="79">
        <v>0</v>
      </c>
      <c r="AM244" s="79" t="s">
        <v>2092</v>
      </c>
      <c r="AN244" s="114" t="str">
        <f>HYPERLINK("https://www.youtube.com/watch?v=DOaOO_st5nM")</f>
        <v>https://www.youtube.com/watch?v=DOaOO_st5nM</v>
      </c>
      <c r="AO244" s="78" t="str">
        <f>REPLACE(INDEX(GroupVertices[Group],MATCH(Vertices[[#This Row],[Vertex]],GroupVertices[Vertex],0)),1,1,"")</f>
        <v>ayank Study Hub</v>
      </c>
      <c r="AP244" s="2"/>
      <c r="AQ244" s="3"/>
      <c r="AR244" s="3"/>
      <c r="AS244" s="3"/>
      <c r="AT244" s="3"/>
    </row>
    <row r="245" spans="1:46" ht="15">
      <c r="A245" s="64" t="s">
        <v>422</v>
      </c>
      <c r="B245" s="65"/>
      <c r="C245" s="65"/>
      <c r="D245" s="66">
        <v>150</v>
      </c>
      <c r="E245" s="102">
        <v>97.85714285714286</v>
      </c>
      <c r="F245" s="98" t="str">
        <f>HYPERLINK("https://i.ytimg.com/vi/GufldX73YiA/default.jpg")</f>
        <v>https://i.ytimg.com/vi/GufldX73YiA/default.jpg</v>
      </c>
      <c r="G245" s="100"/>
      <c r="H245" s="69" t="s">
        <v>839</v>
      </c>
      <c r="I245" s="70"/>
      <c r="J245" s="104" t="s">
        <v>159</v>
      </c>
      <c r="K245" s="69" t="s">
        <v>839</v>
      </c>
      <c r="L245" s="105">
        <v>1</v>
      </c>
      <c r="M245" s="74">
        <v>2678.921875</v>
      </c>
      <c r="N245" s="74">
        <v>5805.9736328125</v>
      </c>
      <c r="O245" s="75"/>
      <c r="P245" s="76"/>
      <c r="Q245" s="76"/>
      <c r="R245" s="106"/>
      <c r="S245" s="48">
        <v>1</v>
      </c>
      <c r="T245" s="48">
        <v>0</v>
      </c>
      <c r="U245" s="49">
        <v>0</v>
      </c>
      <c r="V245" s="49">
        <v>0.15627</v>
      </c>
      <c r="W245" s="107"/>
      <c r="X245" s="50"/>
      <c r="Y245" s="50"/>
      <c r="Z245" s="49">
        <v>0</v>
      </c>
      <c r="AA245" s="71">
        <v>245</v>
      </c>
      <c r="AB245" s="71"/>
      <c r="AC245" s="72"/>
      <c r="AD245" s="79" t="s">
        <v>839</v>
      </c>
      <c r="AE245" s="79" t="s">
        <v>1162</v>
      </c>
      <c r="AF245" s="79"/>
      <c r="AG245" s="79" t="s">
        <v>1507</v>
      </c>
      <c r="AH245" s="79" t="s">
        <v>1895</v>
      </c>
      <c r="AI245" s="79">
        <v>6983</v>
      </c>
      <c r="AJ245" s="79">
        <v>22</v>
      </c>
      <c r="AK245" s="79">
        <v>162</v>
      </c>
      <c r="AL245" s="79">
        <v>0</v>
      </c>
      <c r="AM245" s="79" t="s">
        <v>2092</v>
      </c>
      <c r="AN245" s="114" t="str">
        <f>HYPERLINK("https://www.youtube.com/watch?v=GufldX73YiA")</f>
        <v>https://www.youtube.com/watch?v=GufldX73YiA</v>
      </c>
      <c r="AO245" s="78" t="str">
        <f>REPLACE(INDEX(GroupVertices[Group],MATCH(Vertices[[#This Row],[Vertex]],GroupVertices[Vertex],0)),1,1,"")</f>
        <v>edico Tannu</v>
      </c>
      <c r="AP245" s="2"/>
      <c r="AQ245" s="3"/>
      <c r="AR245" s="3"/>
      <c r="AS245" s="3"/>
      <c r="AT245" s="3"/>
    </row>
    <row r="246" spans="1:46" ht="15">
      <c r="A246" s="64" t="s">
        <v>2218</v>
      </c>
      <c r="B246" s="65"/>
      <c r="C246" s="65"/>
      <c r="D246" s="66">
        <v>150</v>
      </c>
      <c r="E246" s="102">
        <v>97.85714285714286</v>
      </c>
      <c r="F246" s="98" t="str">
        <f>HYPERLINK("https://i.ytimg.com/vi/cZIclwFSxzU/default.jpg")</f>
        <v>https://i.ytimg.com/vi/cZIclwFSxzU/default.jpg</v>
      </c>
      <c r="G246" s="100"/>
      <c r="H246" s="69" t="s">
        <v>2695</v>
      </c>
      <c r="I246" s="70"/>
      <c r="J246" s="104" t="s">
        <v>159</v>
      </c>
      <c r="K246" s="69" t="s">
        <v>2695</v>
      </c>
      <c r="L246" s="105">
        <v>1</v>
      </c>
      <c r="M246" s="74">
        <v>3461.37109375</v>
      </c>
      <c r="N246" s="74">
        <v>5663.67626953125</v>
      </c>
      <c r="O246" s="75"/>
      <c r="P246" s="76"/>
      <c r="Q246" s="76"/>
      <c r="R246" s="106"/>
      <c r="S246" s="48">
        <v>1</v>
      </c>
      <c r="T246" s="48">
        <v>0</v>
      </c>
      <c r="U246" s="49">
        <v>0</v>
      </c>
      <c r="V246" s="49">
        <v>0.15627</v>
      </c>
      <c r="W246" s="107"/>
      <c r="X246" s="50"/>
      <c r="Y246" s="50"/>
      <c r="Z246" s="49">
        <v>0</v>
      </c>
      <c r="AA246" s="71">
        <v>246</v>
      </c>
      <c r="AB246" s="71"/>
      <c r="AC246" s="72"/>
      <c r="AD246" s="79" t="s">
        <v>2695</v>
      </c>
      <c r="AE246" s="79" t="s">
        <v>3159</v>
      </c>
      <c r="AF246" s="79" t="s">
        <v>3538</v>
      </c>
      <c r="AG246" s="79" t="s">
        <v>1561</v>
      </c>
      <c r="AH246" s="79" t="s">
        <v>4061</v>
      </c>
      <c r="AI246" s="79">
        <v>25736</v>
      </c>
      <c r="AJ246" s="79">
        <v>57</v>
      </c>
      <c r="AK246" s="79">
        <v>666</v>
      </c>
      <c r="AL246" s="79">
        <v>0</v>
      </c>
      <c r="AM246" s="79" t="s">
        <v>2092</v>
      </c>
      <c r="AN246" s="114" t="str">
        <f>HYPERLINK("https://www.youtube.com/watch?v=cZIclwFSxzU")</f>
        <v>https://www.youtube.com/watch?v=cZIclwFSxzU</v>
      </c>
      <c r="AO246" s="78" t="str">
        <f>REPLACE(INDEX(GroupVertices[Group],MATCH(Vertices[[#This Row],[Vertex]],GroupVertices[Vertex],0)),1,1,"")</f>
        <v>ayank Study Hub</v>
      </c>
      <c r="AP246" s="2"/>
      <c r="AQ246" s="3"/>
      <c r="AR246" s="3"/>
      <c r="AS246" s="3"/>
      <c r="AT246" s="3"/>
    </row>
    <row r="247" spans="1:46" ht="15">
      <c r="A247" s="64" t="s">
        <v>428</v>
      </c>
      <c r="B247" s="65"/>
      <c r="C247" s="65"/>
      <c r="D247" s="66">
        <v>150</v>
      </c>
      <c r="E247" s="102">
        <v>97.85714285714286</v>
      </c>
      <c r="F247" s="98" t="str">
        <f>HYPERLINK("https://i.ytimg.com/vi/9eM1mg5NWUU/default.jpg")</f>
        <v>https://i.ytimg.com/vi/9eM1mg5NWUU/default.jpg</v>
      </c>
      <c r="G247" s="100"/>
      <c r="H247" s="69" t="s">
        <v>845</v>
      </c>
      <c r="I247" s="70"/>
      <c r="J247" s="104" t="s">
        <v>159</v>
      </c>
      <c r="K247" s="69" t="s">
        <v>845</v>
      </c>
      <c r="L247" s="105">
        <v>1</v>
      </c>
      <c r="M247" s="74">
        <v>4201.328125</v>
      </c>
      <c r="N247" s="74">
        <v>5211.06005859375</v>
      </c>
      <c r="O247" s="75"/>
      <c r="P247" s="76"/>
      <c r="Q247" s="76"/>
      <c r="R247" s="106"/>
      <c r="S247" s="48">
        <v>1</v>
      </c>
      <c r="T247" s="48">
        <v>0</v>
      </c>
      <c r="U247" s="49">
        <v>0</v>
      </c>
      <c r="V247" s="49">
        <v>0.15627</v>
      </c>
      <c r="W247" s="107"/>
      <c r="X247" s="50"/>
      <c r="Y247" s="50"/>
      <c r="Z247" s="49">
        <v>0</v>
      </c>
      <c r="AA247" s="71">
        <v>247</v>
      </c>
      <c r="AB247" s="71"/>
      <c r="AC247" s="72"/>
      <c r="AD247" s="79" t="s">
        <v>845</v>
      </c>
      <c r="AE247" s="79" t="s">
        <v>1168</v>
      </c>
      <c r="AF247" s="79" t="s">
        <v>845</v>
      </c>
      <c r="AG247" s="79" t="s">
        <v>1507</v>
      </c>
      <c r="AH247" s="79" t="s">
        <v>1901</v>
      </c>
      <c r="AI247" s="79">
        <v>6721</v>
      </c>
      <c r="AJ247" s="79">
        <v>12</v>
      </c>
      <c r="AK247" s="79">
        <v>184</v>
      </c>
      <c r="AL247" s="79">
        <v>0</v>
      </c>
      <c r="AM247" s="79" t="s">
        <v>2092</v>
      </c>
      <c r="AN247" s="114" t="str">
        <f>HYPERLINK("https://www.youtube.com/watch?v=9eM1mg5NWUU")</f>
        <v>https://www.youtube.com/watch?v=9eM1mg5NWUU</v>
      </c>
      <c r="AO247" s="78" t="str">
        <f>REPLACE(INDEX(GroupVertices[Group],MATCH(Vertices[[#This Row],[Vertex]],GroupVertices[Vertex],0)),1,1,"")</f>
        <v>edico Tannu</v>
      </c>
      <c r="AP247" s="2"/>
      <c r="AQ247" s="3"/>
      <c r="AR247" s="3"/>
      <c r="AS247" s="3"/>
      <c r="AT247" s="3"/>
    </row>
    <row r="248" spans="1:46" ht="15">
      <c r="A248" s="64" t="s">
        <v>2219</v>
      </c>
      <c r="B248" s="65"/>
      <c r="C248" s="65"/>
      <c r="D248" s="66">
        <v>150</v>
      </c>
      <c r="E248" s="102">
        <v>97.85714285714286</v>
      </c>
      <c r="F248" s="98" t="str">
        <f>HYPERLINK("https://i.ytimg.com/vi/zMSSTMXf_EY/default.jpg")</f>
        <v>https://i.ytimg.com/vi/zMSSTMXf_EY/default.jpg</v>
      </c>
      <c r="G248" s="100"/>
      <c r="H248" s="69" t="s">
        <v>2696</v>
      </c>
      <c r="I248" s="70"/>
      <c r="J248" s="104" t="s">
        <v>159</v>
      </c>
      <c r="K248" s="69" t="s">
        <v>2696</v>
      </c>
      <c r="L248" s="105">
        <v>1</v>
      </c>
      <c r="M248" s="74">
        <v>3739.41259765625</v>
      </c>
      <c r="N248" s="74">
        <v>7049.89892578125</v>
      </c>
      <c r="O248" s="75"/>
      <c r="P248" s="76"/>
      <c r="Q248" s="76"/>
      <c r="R248" s="106"/>
      <c r="S248" s="48">
        <v>1</v>
      </c>
      <c r="T248" s="48">
        <v>0</v>
      </c>
      <c r="U248" s="49">
        <v>0</v>
      </c>
      <c r="V248" s="49">
        <v>0.15627</v>
      </c>
      <c r="W248" s="107"/>
      <c r="X248" s="50"/>
      <c r="Y248" s="50"/>
      <c r="Z248" s="49">
        <v>0</v>
      </c>
      <c r="AA248" s="71">
        <v>248</v>
      </c>
      <c r="AB248" s="71"/>
      <c r="AC248" s="72"/>
      <c r="AD248" s="79" t="s">
        <v>2696</v>
      </c>
      <c r="AE248" s="79" t="s">
        <v>3160</v>
      </c>
      <c r="AF248" s="79"/>
      <c r="AG248" s="79" t="s">
        <v>1507</v>
      </c>
      <c r="AH248" s="79" t="s">
        <v>4062</v>
      </c>
      <c r="AI248" s="79">
        <v>11812</v>
      </c>
      <c r="AJ248" s="79">
        <v>25</v>
      </c>
      <c r="AK248" s="79">
        <v>247</v>
      </c>
      <c r="AL248" s="79">
        <v>0</v>
      </c>
      <c r="AM248" s="79" t="s">
        <v>2092</v>
      </c>
      <c r="AN248" s="114" t="str">
        <f>HYPERLINK("https://www.youtube.com/watch?v=zMSSTMXf_EY")</f>
        <v>https://www.youtube.com/watch?v=zMSSTMXf_EY</v>
      </c>
      <c r="AO248" s="78" t="str">
        <f>REPLACE(INDEX(GroupVertices[Group],MATCH(Vertices[[#This Row],[Vertex]],GroupVertices[Vertex],0)),1,1,"")</f>
        <v>edico Tannu</v>
      </c>
      <c r="AP248" s="2"/>
      <c r="AQ248" s="3"/>
      <c r="AR248" s="3"/>
      <c r="AS248" s="3"/>
      <c r="AT248" s="3"/>
    </row>
    <row r="249" spans="1:46" ht="15">
      <c r="A249" s="64" t="s">
        <v>530</v>
      </c>
      <c r="B249" s="65"/>
      <c r="C249" s="65"/>
      <c r="D249" s="66">
        <v>150</v>
      </c>
      <c r="E249" s="102">
        <v>97.85714285714286</v>
      </c>
      <c r="F249" s="98" t="str">
        <f>HYPERLINK("https://i.ytimg.com/vi/-Jhfx8tu1fk/default.jpg")</f>
        <v>https://i.ytimg.com/vi/-Jhfx8tu1fk/default.jpg</v>
      </c>
      <c r="G249" s="100"/>
      <c r="H249" s="69" t="s">
        <v>952</v>
      </c>
      <c r="I249" s="70"/>
      <c r="J249" s="104" t="s">
        <v>159</v>
      </c>
      <c r="K249" s="69" t="s">
        <v>952</v>
      </c>
      <c r="L249" s="105">
        <v>1</v>
      </c>
      <c r="M249" s="74">
        <v>3620.845458984375</v>
      </c>
      <c r="N249" s="74">
        <v>4855.83642578125</v>
      </c>
      <c r="O249" s="75"/>
      <c r="P249" s="76"/>
      <c r="Q249" s="76"/>
      <c r="R249" s="106"/>
      <c r="S249" s="48">
        <v>1</v>
      </c>
      <c r="T249" s="48">
        <v>0</v>
      </c>
      <c r="U249" s="49">
        <v>0</v>
      </c>
      <c r="V249" s="49">
        <v>0.15627</v>
      </c>
      <c r="W249" s="107"/>
      <c r="X249" s="50"/>
      <c r="Y249" s="50"/>
      <c r="Z249" s="49">
        <v>0</v>
      </c>
      <c r="AA249" s="71">
        <v>249</v>
      </c>
      <c r="AB249" s="71"/>
      <c r="AC249" s="72"/>
      <c r="AD249" s="79" t="s">
        <v>952</v>
      </c>
      <c r="AE249" s="79" t="s">
        <v>1242</v>
      </c>
      <c r="AF249" s="79"/>
      <c r="AG249" s="79" t="s">
        <v>1507</v>
      </c>
      <c r="AH249" s="79" t="s">
        <v>2009</v>
      </c>
      <c r="AI249" s="79">
        <v>5988</v>
      </c>
      <c r="AJ249" s="79">
        <v>6</v>
      </c>
      <c r="AK249" s="79">
        <v>142</v>
      </c>
      <c r="AL249" s="79">
        <v>0</v>
      </c>
      <c r="AM249" s="79" t="s">
        <v>2092</v>
      </c>
      <c r="AN249" s="114" t="str">
        <f>HYPERLINK("https://www.youtube.com/watch?v=-Jhfx8tu1fk")</f>
        <v>https://www.youtube.com/watch?v=-Jhfx8tu1fk</v>
      </c>
      <c r="AO249" s="78" t="str">
        <f>REPLACE(INDEX(GroupVertices[Group],MATCH(Vertices[[#This Row],[Vertex]],GroupVertices[Vertex],0)),1,1,"")</f>
        <v>edico Tannu</v>
      </c>
      <c r="AP249" s="2"/>
      <c r="AQ249" s="3"/>
      <c r="AR249" s="3"/>
      <c r="AS249" s="3"/>
      <c r="AT249" s="3"/>
    </row>
    <row r="250" spans="1:46" ht="15">
      <c r="A250" s="64" t="s">
        <v>2220</v>
      </c>
      <c r="B250" s="65"/>
      <c r="C250" s="65"/>
      <c r="D250" s="66">
        <v>150</v>
      </c>
      <c r="E250" s="102">
        <v>97.85714285714286</v>
      </c>
      <c r="F250" s="98" t="str">
        <f>HYPERLINK("https://i.ytimg.com/vi/2k9RQFn7TTE/default.jpg")</f>
        <v>https://i.ytimg.com/vi/2k9RQFn7TTE/default.jpg</v>
      </c>
      <c r="G250" s="100"/>
      <c r="H250" s="69" t="s">
        <v>2697</v>
      </c>
      <c r="I250" s="70"/>
      <c r="J250" s="104" t="s">
        <v>159</v>
      </c>
      <c r="K250" s="69" t="s">
        <v>2697</v>
      </c>
      <c r="L250" s="105">
        <v>1</v>
      </c>
      <c r="M250" s="74">
        <v>4264.806640625</v>
      </c>
      <c r="N250" s="74">
        <v>6167.94677734375</v>
      </c>
      <c r="O250" s="75"/>
      <c r="P250" s="76"/>
      <c r="Q250" s="76"/>
      <c r="R250" s="106"/>
      <c r="S250" s="48">
        <v>1</v>
      </c>
      <c r="T250" s="48">
        <v>0</v>
      </c>
      <c r="U250" s="49">
        <v>0</v>
      </c>
      <c r="V250" s="49">
        <v>0.15627</v>
      </c>
      <c r="W250" s="107"/>
      <c r="X250" s="50"/>
      <c r="Y250" s="50"/>
      <c r="Z250" s="49">
        <v>0</v>
      </c>
      <c r="AA250" s="71">
        <v>250</v>
      </c>
      <c r="AB250" s="71"/>
      <c r="AC250" s="72"/>
      <c r="AD250" s="79" t="s">
        <v>2697</v>
      </c>
      <c r="AE250" s="79" t="s">
        <v>3161</v>
      </c>
      <c r="AF250" s="79" t="s">
        <v>3539</v>
      </c>
      <c r="AG250" s="79" t="s">
        <v>1561</v>
      </c>
      <c r="AH250" s="79" t="s">
        <v>4063</v>
      </c>
      <c r="AI250" s="79">
        <v>123172</v>
      </c>
      <c r="AJ250" s="79">
        <v>210</v>
      </c>
      <c r="AK250" s="79">
        <v>3000</v>
      </c>
      <c r="AL250" s="79">
        <v>0</v>
      </c>
      <c r="AM250" s="79" t="s">
        <v>2092</v>
      </c>
      <c r="AN250" s="114" t="str">
        <f>HYPERLINK("https://www.youtube.com/watch?v=2k9RQFn7TTE")</f>
        <v>https://www.youtube.com/watch?v=2k9RQFn7TTE</v>
      </c>
      <c r="AO250" s="78" t="str">
        <f>REPLACE(INDEX(GroupVertices[Group],MATCH(Vertices[[#This Row],[Vertex]],GroupVertices[Vertex],0)),1,1,"")</f>
        <v>ayank Study Hub</v>
      </c>
      <c r="AP250" s="2"/>
      <c r="AQ250" s="3"/>
      <c r="AR250" s="3"/>
      <c r="AS250" s="3"/>
      <c r="AT250" s="3"/>
    </row>
    <row r="251" spans="1:46" ht="15">
      <c r="A251" s="64" t="s">
        <v>529</v>
      </c>
      <c r="B251" s="65"/>
      <c r="C251" s="65"/>
      <c r="D251" s="66">
        <v>150</v>
      </c>
      <c r="E251" s="102">
        <v>97.85714285714286</v>
      </c>
      <c r="F251" s="98" t="str">
        <f>HYPERLINK("https://i.ytimg.com/vi/nwFqAqeGRGU/default.jpg")</f>
        <v>https://i.ytimg.com/vi/nwFqAqeGRGU/default.jpg</v>
      </c>
      <c r="G251" s="100"/>
      <c r="H251" s="69" t="s">
        <v>951</v>
      </c>
      <c r="I251" s="70"/>
      <c r="J251" s="104" t="s">
        <v>159</v>
      </c>
      <c r="K251" s="69" t="s">
        <v>951</v>
      </c>
      <c r="L251" s="105">
        <v>1</v>
      </c>
      <c r="M251" s="74">
        <v>3418.96875</v>
      </c>
      <c r="N251" s="74">
        <v>4891.23828125</v>
      </c>
      <c r="O251" s="75"/>
      <c r="P251" s="76"/>
      <c r="Q251" s="76"/>
      <c r="R251" s="106"/>
      <c r="S251" s="48">
        <v>1</v>
      </c>
      <c r="T251" s="48">
        <v>0</v>
      </c>
      <c r="U251" s="49">
        <v>0</v>
      </c>
      <c r="V251" s="49">
        <v>0.15627</v>
      </c>
      <c r="W251" s="107"/>
      <c r="X251" s="50"/>
      <c r="Y251" s="50"/>
      <c r="Z251" s="49">
        <v>0</v>
      </c>
      <c r="AA251" s="71">
        <v>251</v>
      </c>
      <c r="AB251" s="71"/>
      <c r="AC251" s="72"/>
      <c r="AD251" s="79" t="s">
        <v>951</v>
      </c>
      <c r="AE251" s="79" t="s">
        <v>1241</v>
      </c>
      <c r="AF251" s="79" t="s">
        <v>1440</v>
      </c>
      <c r="AG251" s="79" t="s">
        <v>1507</v>
      </c>
      <c r="AH251" s="79" t="s">
        <v>2008</v>
      </c>
      <c r="AI251" s="79">
        <v>4680</v>
      </c>
      <c r="AJ251" s="79">
        <v>9</v>
      </c>
      <c r="AK251" s="79">
        <v>108</v>
      </c>
      <c r="AL251" s="79">
        <v>0</v>
      </c>
      <c r="AM251" s="79" t="s">
        <v>2092</v>
      </c>
      <c r="AN251" s="114" t="str">
        <f>HYPERLINK("https://www.youtube.com/watch?v=nwFqAqeGRGU")</f>
        <v>https://www.youtube.com/watch?v=nwFqAqeGRGU</v>
      </c>
      <c r="AO251" s="78" t="str">
        <f>REPLACE(INDEX(GroupVertices[Group],MATCH(Vertices[[#This Row],[Vertex]],GroupVertices[Vertex],0)),1,1,"")</f>
        <v>edico Tannu</v>
      </c>
      <c r="AP251" s="2"/>
      <c r="AQ251" s="3"/>
      <c r="AR251" s="3"/>
      <c r="AS251" s="3"/>
      <c r="AT251" s="3"/>
    </row>
    <row r="252" spans="1:46" ht="15">
      <c r="A252" s="64" t="s">
        <v>429</v>
      </c>
      <c r="B252" s="65"/>
      <c r="C252" s="65"/>
      <c r="D252" s="66">
        <v>150</v>
      </c>
      <c r="E252" s="102">
        <v>97.85714285714286</v>
      </c>
      <c r="F252" s="98" t="str">
        <f>HYPERLINK("https://i.ytimg.com/vi/J0ZsnhNGmxo/default.jpg")</f>
        <v>https://i.ytimg.com/vi/J0ZsnhNGmxo/default.jpg</v>
      </c>
      <c r="G252" s="100"/>
      <c r="H252" s="69" t="s">
        <v>846</v>
      </c>
      <c r="I252" s="70"/>
      <c r="J252" s="104" t="s">
        <v>159</v>
      </c>
      <c r="K252" s="69" t="s">
        <v>846</v>
      </c>
      <c r="L252" s="105">
        <v>1</v>
      </c>
      <c r="M252" s="74">
        <v>2690.234619140625</v>
      </c>
      <c r="N252" s="74">
        <v>6548.55322265625</v>
      </c>
      <c r="O252" s="75"/>
      <c r="P252" s="76"/>
      <c r="Q252" s="76"/>
      <c r="R252" s="106"/>
      <c r="S252" s="48">
        <v>1</v>
      </c>
      <c r="T252" s="48">
        <v>0</v>
      </c>
      <c r="U252" s="49">
        <v>0</v>
      </c>
      <c r="V252" s="49">
        <v>0.15627</v>
      </c>
      <c r="W252" s="107"/>
      <c r="X252" s="50"/>
      <c r="Y252" s="50"/>
      <c r="Z252" s="49">
        <v>0</v>
      </c>
      <c r="AA252" s="71">
        <v>252</v>
      </c>
      <c r="AB252" s="71"/>
      <c r="AC252" s="72"/>
      <c r="AD252" s="79" t="s">
        <v>846</v>
      </c>
      <c r="AE252" s="79" t="s">
        <v>1169</v>
      </c>
      <c r="AF252" s="79"/>
      <c r="AG252" s="79" t="s">
        <v>1507</v>
      </c>
      <c r="AH252" s="79" t="s">
        <v>1902</v>
      </c>
      <c r="AI252" s="79">
        <v>14747</v>
      </c>
      <c r="AJ252" s="79">
        <v>28</v>
      </c>
      <c r="AK252" s="79">
        <v>383</v>
      </c>
      <c r="AL252" s="79">
        <v>0</v>
      </c>
      <c r="AM252" s="79" t="s">
        <v>2092</v>
      </c>
      <c r="AN252" s="114" t="str">
        <f>HYPERLINK("https://www.youtube.com/watch?v=J0ZsnhNGmxo")</f>
        <v>https://www.youtube.com/watch?v=J0ZsnhNGmxo</v>
      </c>
      <c r="AO252" s="78" t="str">
        <f>REPLACE(INDEX(GroupVertices[Group],MATCH(Vertices[[#This Row],[Vertex]],GroupVertices[Vertex],0)),1,1,"")</f>
        <v>edico Tannu</v>
      </c>
      <c r="AP252" s="2"/>
      <c r="AQ252" s="3"/>
      <c r="AR252" s="3"/>
      <c r="AS252" s="3"/>
      <c r="AT252" s="3"/>
    </row>
    <row r="253" spans="1:46" ht="15">
      <c r="A253" s="64" t="s">
        <v>2221</v>
      </c>
      <c r="B253" s="65"/>
      <c r="C253" s="65"/>
      <c r="D253" s="66">
        <v>150</v>
      </c>
      <c r="E253" s="102">
        <v>97.85714285714286</v>
      </c>
      <c r="F253" s="98" t="str">
        <f>HYPERLINK("https://i.ytimg.com/vi/eJRb1URZeoM/default.jpg")</f>
        <v>https://i.ytimg.com/vi/eJRb1URZeoM/default.jpg</v>
      </c>
      <c r="G253" s="100"/>
      <c r="H253" s="69" t="s">
        <v>2698</v>
      </c>
      <c r="I253" s="70"/>
      <c r="J253" s="104" t="s">
        <v>159</v>
      </c>
      <c r="K253" s="69" t="s">
        <v>2698</v>
      </c>
      <c r="L253" s="105">
        <v>1</v>
      </c>
      <c r="M253" s="74">
        <v>3222.9208984375</v>
      </c>
      <c r="N253" s="74">
        <v>4956.8095703125</v>
      </c>
      <c r="O253" s="75"/>
      <c r="P253" s="76"/>
      <c r="Q253" s="76"/>
      <c r="R253" s="106"/>
      <c r="S253" s="48">
        <v>1</v>
      </c>
      <c r="T253" s="48">
        <v>0</v>
      </c>
      <c r="U253" s="49">
        <v>0</v>
      </c>
      <c r="V253" s="49">
        <v>0.15627</v>
      </c>
      <c r="W253" s="107"/>
      <c r="X253" s="50"/>
      <c r="Y253" s="50"/>
      <c r="Z253" s="49">
        <v>0</v>
      </c>
      <c r="AA253" s="71">
        <v>253</v>
      </c>
      <c r="AB253" s="71"/>
      <c r="AC253" s="72"/>
      <c r="AD253" s="79" t="s">
        <v>2698</v>
      </c>
      <c r="AE253" s="79" t="s">
        <v>3162</v>
      </c>
      <c r="AF253" s="79" t="s">
        <v>3540</v>
      </c>
      <c r="AG253" s="79" t="s">
        <v>1507</v>
      </c>
      <c r="AH253" s="79" t="s">
        <v>4064</v>
      </c>
      <c r="AI253" s="79">
        <v>819</v>
      </c>
      <c r="AJ253" s="79">
        <v>4</v>
      </c>
      <c r="AK253" s="79">
        <v>18</v>
      </c>
      <c r="AL253" s="79">
        <v>0</v>
      </c>
      <c r="AM253" s="79" t="s">
        <v>2092</v>
      </c>
      <c r="AN253" s="114" t="str">
        <f>HYPERLINK("https://www.youtube.com/watch?v=eJRb1URZeoM")</f>
        <v>https://www.youtube.com/watch?v=eJRb1URZeoM</v>
      </c>
      <c r="AO253" s="78" t="str">
        <f>REPLACE(INDEX(GroupVertices[Group],MATCH(Vertices[[#This Row],[Vertex]],GroupVertices[Vertex],0)),1,1,"")</f>
        <v>edico Tannu</v>
      </c>
      <c r="AP253" s="2"/>
      <c r="AQ253" s="3"/>
      <c r="AR253" s="3"/>
      <c r="AS253" s="3"/>
      <c r="AT253" s="3"/>
    </row>
    <row r="254" spans="1:46" ht="15">
      <c r="A254" s="64" t="s">
        <v>562</v>
      </c>
      <c r="B254" s="65"/>
      <c r="C254" s="65"/>
      <c r="D254" s="66">
        <v>150</v>
      </c>
      <c r="E254" s="102">
        <v>97.85714285714286</v>
      </c>
      <c r="F254" s="98" t="str">
        <f>HYPERLINK("https://i.ytimg.com/vi/HiI78c7kkaM/default.jpg")</f>
        <v>https://i.ytimg.com/vi/HiI78c7kkaM/default.jpg</v>
      </c>
      <c r="G254" s="100"/>
      <c r="H254" s="69" t="s">
        <v>986</v>
      </c>
      <c r="I254" s="70"/>
      <c r="J254" s="104" t="s">
        <v>159</v>
      </c>
      <c r="K254" s="69" t="s">
        <v>986</v>
      </c>
      <c r="L254" s="105">
        <v>1</v>
      </c>
      <c r="M254" s="74">
        <v>4006.058837890625</v>
      </c>
      <c r="N254" s="74">
        <v>6891.89453125</v>
      </c>
      <c r="O254" s="75"/>
      <c r="P254" s="76"/>
      <c r="Q254" s="76"/>
      <c r="R254" s="106"/>
      <c r="S254" s="48">
        <v>1</v>
      </c>
      <c r="T254" s="48">
        <v>0</v>
      </c>
      <c r="U254" s="49">
        <v>0</v>
      </c>
      <c r="V254" s="49">
        <v>0.15627</v>
      </c>
      <c r="W254" s="107"/>
      <c r="X254" s="50"/>
      <c r="Y254" s="50"/>
      <c r="Z254" s="49">
        <v>0</v>
      </c>
      <c r="AA254" s="71">
        <v>254</v>
      </c>
      <c r="AB254" s="71"/>
      <c r="AC254" s="72"/>
      <c r="AD254" s="79" t="s">
        <v>986</v>
      </c>
      <c r="AE254" s="79" t="s">
        <v>1263</v>
      </c>
      <c r="AF254" s="79"/>
      <c r="AG254" s="79" t="s">
        <v>1503</v>
      </c>
      <c r="AH254" s="79" t="s">
        <v>2042</v>
      </c>
      <c r="AI254" s="79">
        <v>20485</v>
      </c>
      <c r="AJ254" s="79">
        <v>98</v>
      </c>
      <c r="AK254" s="79">
        <v>578</v>
      </c>
      <c r="AL254" s="79">
        <v>0</v>
      </c>
      <c r="AM254" s="79" t="s">
        <v>2092</v>
      </c>
      <c r="AN254" s="114" t="str">
        <f>HYPERLINK("https://www.youtube.com/watch?v=HiI78c7kkaM")</f>
        <v>https://www.youtube.com/watch?v=HiI78c7kkaM</v>
      </c>
      <c r="AO254" s="78" t="str">
        <f>REPLACE(INDEX(GroupVertices[Group],MATCH(Vertices[[#This Row],[Vertex]],GroupVertices[Vertex],0)),1,1,"")</f>
        <v>nline Nursing Classes</v>
      </c>
      <c r="AP254" s="2"/>
      <c r="AQ254" s="3"/>
      <c r="AR254" s="3"/>
      <c r="AS254" s="3"/>
      <c r="AT254" s="3"/>
    </row>
    <row r="255" spans="1:46" ht="15">
      <c r="A255" s="64" t="s">
        <v>423</v>
      </c>
      <c r="B255" s="65"/>
      <c r="C255" s="65"/>
      <c r="D255" s="66">
        <v>150</v>
      </c>
      <c r="E255" s="102">
        <v>97.85714285714286</v>
      </c>
      <c r="F255" s="98" t="str">
        <f>HYPERLINK("https://i.ytimg.com/vi/MxUvEsCPhnU/default.jpg")</f>
        <v>https://i.ytimg.com/vi/MxUvEsCPhnU/default.jpg</v>
      </c>
      <c r="G255" s="100"/>
      <c r="H255" s="69" t="s">
        <v>840</v>
      </c>
      <c r="I255" s="70"/>
      <c r="J255" s="104" t="s">
        <v>159</v>
      </c>
      <c r="K255" s="69" t="s">
        <v>840</v>
      </c>
      <c r="L255" s="105">
        <v>1</v>
      </c>
      <c r="M255" s="74">
        <v>3599.53564453125</v>
      </c>
      <c r="N255" s="74">
        <v>5209.986328125</v>
      </c>
      <c r="O255" s="75"/>
      <c r="P255" s="76"/>
      <c r="Q255" s="76"/>
      <c r="R255" s="106"/>
      <c r="S255" s="48">
        <v>1</v>
      </c>
      <c r="T255" s="48">
        <v>0</v>
      </c>
      <c r="U255" s="49">
        <v>0</v>
      </c>
      <c r="V255" s="49">
        <v>0.15627</v>
      </c>
      <c r="W255" s="107"/>
      <c r="X255" s="50"/>
      <c r="Y255" s="50"/>
      <c r="Z255" s="49">
        <v>0</v>
      </c>
      <c r="AA255" s="71">
        <v>255</v>
      </c>
      <c r="AB255" s="71"/>
      <c r="AC255" s="72"/>
      <c r="AD255" s="79" t="s">
        <v>840</v>
      </c>
      <c r="AE255" s="79" t="s">
        <v>1163</v>
      </c>
      <c r="AF255" s="79" t="s">
        <v>1306</v>
      </c>
      <c r="AG255" s="79" t="s">
        <v>1503</v>
      </c>
      <c r="AH255" s="79" t="s">
        <v>1896</v>
      </c>
      <c r="AI255" s="79">
        <v>32767</v>
      </c>
      <c r="AJ255" s="79">
        <v>93</v>
      </c>
      <c r="AK255" s="79">
        <v>1130</v>
      </c>
      <c r="AL255" s="79">
        <v>0</v>
      </c>
      <c r="AM255" s="79" t="s">
        <v>2092</v>
      </c>
      <c r="AN255" s="114" t="str">
        <f>HYPERLINK("https://www.youtube.com/watch?v=MxUvEsCPhnU")</f>
        <v>https://www.youtube.com/watch?v=MxUvEsCPhnU</v>
      </c>
      <c r="AO255" s="78" t="str">
        <f>REPLACE(INDEX(GroupVertices[Group],MATCH(Vertices[[#This Row],[Vertex]],GroupVertices[Vertex],0)),1,1,"")</f>
        <v>nline Nursing Classes</v>
      </c>
      <c r="AP255" s="2"/>
      <c r="AQ255" s="3"/>
      <c r="AR255" s="3"/>
      <c r="AS255" s="3"/>
      <c r="AT255" s="3"/>
    </row>
    <row r="256" spans="1:46" ht="15">
      <c r="A256" s="64" t="s">
        <v>559</v>
      </c>
      <c r="B256" s="65"/>
      <c r="C256" s="65"/>
      <c r="D256" s="66">
        <v>150</v>
      </c>
      <c r="E256" s="102">
        <v>97.85714285714286</v>
      </c>
      <c r="F256" s="98" t="str">
        <f>HYPERLINK("https://i.ytimg.com/vi/1gVjLXkj4gs/default.jpg")</f>
        <v>https://i.ytimg.com/vi/1gVjLXkj4gs/default.jpg</v>
      </c>
      <c r="G256" s="100"/>
      <c r="H256" s="69" t="s">
        <v>983</v>
      </c>
      <c r="I256" s="70"/>
      <c r="J256" s="104" t="s">
        <v>159</v>
      </c>
      <c r="K256" s="69" t="s">
        <v>983</v>
      </c>
      <c r="L256" s="105">
        <v>1</v>
      </c>
      <c r="M256" s="74">
        <v>2944.1845703125</v>
      </c>
      <c r="N256" s="74">
        <v>7098.787109375</v>
      </c>
      <c r="O256" s="75"/>
      <c r="P256" s="76"/>
      <c r="Q256" s="76"/>
      <c r="R256" s="106"/>
      <c r="S256" s="48">
        <v>1</v>
      </c>
      <c r="T256" s="48">
        <v>0</v>
      </c>
      <c r="U256" s="49">
        <v>0</v>
      </c>
      <c r="V256" s="49">
        <v>0.15627</v>
      </c>
      <c r="W256" s="107"/>
      <c r="X256" s="50"/>
      <c r="Y256" s="50"/>
      <c r="Z256" s="49">
        <v>0</v>
      </c>
      <c r="AA256" s="71">
        <v>256</v>
      </c>
      <c r="AB256" s="71"/>
      <c r="AC256" s="72"/>
      <c r="AD256" s="79" t="s">
        <v>983</v>
      </c>
      <c r="AE256" s="79" t="s">
        <v>1262</v>
      </c>
      <c r="AF256" s="79" t="s">
        <v>983</v>
      </c>
      <c r="AG256" s="79" t="s">
        <v>1507</v>
      </c>
      <c r="AH256" s="79" t="s">
        <v>2039</v>
      </c>
      <c r="AI256" s="79">
        <v>3500</v>
      </c>
      <c r="AJ256" s="79">
        <v>7</v>
      </c>
      <c r="AK256" s="79">
        <v>93</v>
      </c>
      <c r="AL256" s="79">
        <v>0</v>
      </c>
      <c r="AM256" s="79" t="s">
        <v>2092</v>
      </c>
      <c r="AN256" s="114" t="str">
        <f>HYPERLINK("https://www.youtube.com/watch?v=1gVjLXkj4gs")</f>
        <v>https://www.youtube.com/watch?v=1gVjLXkj4gs</v>
      </c>
      <c r="AO256" s="78" t="str">
        <f>REPLACE(INDEX(GroupVertices[Group],MATCH(Vertices[[#This Row],[Vertex]],GroupVertices[Vertex],0)),1,1,"")</f>
        <v>edico Tannu</v>
      </c>
      <c r="AP256" s="2"/>
      <c r="AQ256" s="3"/>
      <c r="AR256" s="3"/>
      <c r="AS256" s="3"/>
      <c r="AT256" s="3"/>
    </row>
    <row r="257" spans="1:46" ht="15">
      <c r="A257" s="64" t="s">
        <v>430</v>
      </c>
      <c r="B257" s="65"/>
      <c r="C257" s="65"/>
      <c r="D257" s="66">
        <v>150</v>
      </c>
      <c r="E257" s="102">
        <v>97.85714285714286</v>
      </c>
      <c r="F257" s="98" t="str">
        <f>HYPERLINK("https://i.ytimg.com/vi/ewojufO8dvE/default.jpg")</f>
        <v>https://i.ytimg.com/vi/ewojufO8dvE/default.jpg</v>
      </c>
      <c r="G257" s="100"/>
      <c r="H257" s="69" t="s">
        <v>847</v>
      </c>
      <c r="I257" s="70"/>
      <c r="J257" s="104" t="s">
        <v>159</v>
      </c>
      <c r="K257" s="69" t="s">
        <v>847</v>
      </c>
      <c r="L257" s="105">
        <v>1</v>
      </c>
      <c r="M257" s="74">
        <v>3401.456298828125</v>
      </c>
      <c r="N257" s="74">
        <v>7381.283203125</v>
      </c>
      <c r="O257" s="75"/>
      <c r="P257" s="76"/>
      <c r="Q257" s="76"/>
      <c r="R257" s="106"/>
      <c r="S257" s="48">
        <v>1</v>
      </c>
      <c r="T257" s="48">
        <v>0</v>
      </c>
      <c r="U257" s="49">
        <v>0</v>
      </c>
      <c r="V257" s="49">
        <v>0.15627</v>
      </c>
      <c r="W257" s="107"/>
      <c r="X257" s="50"/>
      <c r="Y257" s="50"/>
      <c r="Z257" s="49">
        <v>0</v>
      </c>
      <c r="AA257" s="71">
        <v>257</v>
      </c>
      <c r="AB257" s="71"/>
      <c r="AC257" s="72"/>
      <c r="AD257" s="79" t="s">
        <v>847</v>
      </c>
      <c r="AE257" s="79" t="s">
        <v>1170</v>
      </c>
      <c r="AF257" s="79" t="s">
        <v>1398</v>
      </c>
      <c r="AG257" s="79" t="s">
        <v>1507</v>
      </c>
      <c r="AH257" s="79" t="s">
        <v>1903</v>
      </c>
      <c r="AI257" s="79">
        <v>3750</v>
      </c>
      <c r="AJ257" s="79">
        <v>7</v>
      </c>
      <c r="AK257" s="79">
        <v>105</v>
      </c>
      <c r="AL257" s="79">
        <v>0</v>
      </c>
      <c r="AM257" s="79" t="s">
        <v>2092</v>
      </c>
      <c r="AN257" s="114" t="str">
        <f>HYPERLINK("https://www.youtube.com/watch?v=ewojufO8dvE")</f>
        <v>https://www.youtube.com/watch?v=ewojufO8dvE</v>
      </c>
      <c r="AO257" s="78" t="str">
        <f>REPLACE(INDEX(GroupVertices[Group],MATCH(Vertices[[#This Row],[Vertex]],GroupVertices[Vertex],0)),1,1,"")</f>
        <v>edico Tannu</v>
      </c>
      <c r="AP257" s="2"/>
      <c r="AQ257" s="3"/>
      <c r="AR257" s="3"/>
      <c r="AS257" s="3"/>
      <c r="AT257" s="3"/>
    </row>
    <row r="258" spans="1:46" ht="15">
      <c r="A258" s="64" t="s">
        <v>431</v>
      </c>
      <c r="B258" s="65"/>
      <c r="C258" s="65"/>
      <c r="D258" s="66">
        <v>150</v>
      </c>
      <c r="E258" s="102">
        <v>97.85714285714286</v>
      </c>
      <c r="F258" s="98" t="str">
        <f>HYPERLINK("https://i.ytimg.com/vi/t9WYQ0Twvx0/default.jpg")</f>
        <v>https://i.ytimg.com/vi/t9WYQ0Twvx0/default.jpg</v>
      </c>
      <c r="G258" s="100"/>
      <c r="H258" s="69" t="s">
        <v>848</v>
      </c>
      <c r="I258" s="70"/>
      <c r="J258" s="104" t="s">
        <v>159</v>
      </c>
      <c r="K258" s="69" t="s">
        <v>848</v>
      </c>
      <c r="L258" s="105">
        <v>1</v>
      </c>
      <c r="M258" s="74">
        <v>4356.05419921875</v>
      </c>
      <c r="N258" s="74">
        <v>6828.9013671875</v>
      </c>
      <c r="O258" s="75"/>
      <c r="P258" s="76"/>
      <c r="Q258" s="76"/>
      <c r="R258" s="106"/>
      <c r="S258" s="48">
        <v>1</v>
      </c>
      <c r="T258" s="48">
        <v>0</v>
      </c>
      <c r="U258" s="49">
        <v>0</v>
      </c>
      <c r="V258" s="49">
        <v>0.15627</v>
      </c>
      <c r="W258" s="107"/>
      <c r="X258" s="50"/>
      <c r="Y258" s="50"/>
      <c r="Z258" s="49">
        <v>0</v>
      </c>
      <c r="AA258" s="71">
        <v>258</v>
      </c>
      <c r="AB258" s="71"/>
      <c r="AC258" s="72"/>
      <c r="AD258" s="79" t="s">
        <v>848</v>
      </c>
      <c r="AE258" s="79" t="s">
        <v>1171</v>
      </c>
      <c r="AF258" s="79" t="s">
        <v>1399</v>
      </c>
      <c r="AG258" s="79" t="s">
        <v>1507</v>
      </c>
      <c r="AH258" s="79" t="s">
        <v>1904</v>
      </c>
      <c r="AI258" s="79">
        <v>1296</v>
      </c>
      <c r="AJ258" s="79">
        <v>8</v>
      </c>
      <c r="AK258" s="79">
        <v>29</v>
      </c>
      <c r="AL258" s="79">
        <v>0</v>
      </c>
      <c r="AM258" s="79" t="s">
        <v>2092</v>
      </c>
      <c r="AN258" s="114" t="str">
        <f>HYPERLINK("https://www.youtube.com/watch?v=t9WYQ0Twvx0")</f>
        <v>https://www.youtube.com/watch?v=t9WYQ0Twvx0</v>
      </c>
      <c r="AO258" s="78" t="str">
        <f>REPLACE(INDEX(GroupVertices[Group],MATCH(Vertices[[#This Row],[Vertex]],GroupVertices[Vertex],0)),1,1,"")</f>
        <v>edico Tannu</v>
      </c>
      <c r="AP258" s="2"/>
      <c r="AQ258" s="3"/>
      <c r="AR258" s="3"/>
      <c r="AS258" s="3"/>
      <c r="AT258" s="3"/>
    </row>
    <row r="259" spans="1:46" ht="15">
      <c r="A259" s="64" t="s">
        <v>2222</v>
      </c>
      <c r="B259" s="65"/>
      <c r="C259" s="65"/>
      <c r="D259" s="66">
        <v>150</v>
      </c>
      <c r="E259" s="102">
        <v>97.85714285714286</v>
      </c>
      <c r="F259" s="98" t="str">
        <f>HYPERLINK("https://i.ytimg.com/vi/RHnx6HseHYQ/default.jpg")</f>
        <v>https://i.ytimg.com/vi/RHnx6HseHYQ/default.jpg</v>
      </c>
      <c r="G259" s="100"/>
      <c r="H259" s="69" t="s">
        <v>2699</v>
      </c>
      <c r="I259" s="70"/>
      <c r="J259" s="104" t="s">
        <v>159</v>
      </c>
      <c r="K259" s="69" t="s">
        <v>2699</v>
      </c>
      <c r="L259" s="105">
        <v>1</v>
      </c>
      <c r="M259" s="74">
        <v>6588.52880859375</v>
      </c>
      <c r="N259" s="74">
        <v>4356.38720703125</v>
      </c>
      <c r="O259" s="75"/>
      <c r="P259" s="76"/>
      <c r="Q259" s="76"/>
      <c r="R259" s="106"/>
      <c r="S259" s="48">
        <v>1</v>
      </c>
      <c r="T259" s="48">
        <v>0</v>
      </c>
      <c r="U259" s="49">
        <v>0</v>
      </c>
      <c r="V259" s="49">
        <v>0.016016</v>
      </c>
      <c r="W259" s="107"/>
      <c r="X259" s="50"/>
      <c r="Y259" s="50"/>
      <c r="Z259" s="49">
        <v>0</v>
      </c>
      <c r="AA259" s="71">
        <v>259</v>
      </c>
      <c r="AB259" s="71"/>
      <c r="AC259" s="72"/>
      <c r="AD259" s="79" t="s">
        <v>2699</v>
      </c>
      <c r="AE259" s="79" t="s">
        <v>3163</v>
      </c>
      <c r="AF259" s="79"/>
      <c r="AG259" s="79" t="s">
        <v>3754</v>
      </c>
      <c r="AH259" s="79" t="s">
        <v>4065</v>
      </c>
      <c r="AI259" s="79">
        <v>33861</v>
      </c>
      <c r="AJ259" s="79">
        <v>5</v>
      </c>
      <c r="AK259" s="79">
        <v>89</v>
      </c>
      <c r="AL259" s="79">
        <v>0</v>
      </c>
      <c r="AM259" s="79" t="s">
        <v>2092</v>
      </c>
      <c r="AN259" s="114" t="str">
        <f>HYPERLINK("https://www.youtube.com/watch?v=RHnx6HseHYQ")</f>
        <v>https://www.youtube.com/watch?v=RHnx6HseHYQ</v>
      </c>
      <c r="AO259" s="78" t="str">
        <f>REPLACE(INDEX(GroupVertices[Group],MATCH(Vertices[[#This Row],[Vertex]],GroupVertices[Vertex],0)),1,1,"")</f>
        <v>cncableguy</v>
      </c>
      <c r="AP259" s="2"/>
      <c r="AQ259" s="3"/>
      <c r="AR259" s="3"/>
      <c r="AS259" s="3"/>
      <c r="AT259" s="3"/>
    </row>
    <row r="260" spans="1:46" ht="15">
      <c r="A260" s="64" t="s">
        <v>2223</v>
      </c>
      <c r="B260" s="65"/>
      <c r="C260" s="65"/>
      <c r="D260" s="66">
        <v>150</v>
      </c>
      <c r="E260" s="102">
        <v>97.85714285714286</v>
      </c>
      <c r="F260" s="98" t="str">
        <f>HYPERLINK("https://i.ytimg.com/vi/gDAbZ0S1LjU/default.jpg")</f>
        <v>https://i.ytimg.com/vi/gDAbZ0S1LjU/default.jpg</v>
      </c>
      <c r="G260" s="100"/>
      <c r="H260" s="69" t="s">
        <v>2700</v>
      </c>
      <c r="I260" s="70"/>
      <c r="J260" s="104" t="s">
        <v>159</v>
      </c>
      <c r="K260" s="69" t="s">
        <v>2700</v>
      </c>
      <c r="L260" s="105">
        <v>1</v>
      </c>
      <c r="M260" s="74">
        <v>8008.4169921875</v>
      </c>
      <c r="N260" s="74">
        <v>4431.79296875</v>
      </c>
      <c r="O260" s="75"/>
      <c r="P260" s="76"/>
      <c r="Q260" s="76"/>
      <c r="R260" s="106"/>
      <c r="S260" s="48">
        <v>1</v>
      </c>
      <c r="T260" s="48">
        <v>0</v>
      </c>
      <c r="U260" s="49">
        <v>0</v>
      </c>
      <c r="V260" s="49">
        <v>0.016016</v>
      </c>
      <c r="W260" s="107"/>
      <c r="X260" s="50"/>
      <c r="Y260" s="50"/>
      <c r="Z260" s="49">
        <v>0</v>
      </c>
      <c r="AA260" s="71">
        <v>260</v>
      </c>
      <c r="AB260" s="71"/>
      <c r="AC260" s="72"/>
      <c r="AD260" s="79" t="s">
        <v>2700</v>
      </c>
      <c r="AE260" s="79" t="s">
        <v>3164</v>
      </c>
      <c r="AF260" s="79" t="s">
        <v>3541</v>
      </c>
      <c r="AG260" s="79" t="s">
        <v>3755</v>
      </c>
      <c r="AH260" s="79" t="s">
        <v>4066</v>
      </c>
      <c r="AI260" s="79">
        <v>3</v>
      </c>
      <c r="AJ260" s="79">
        <v>0</v>
      </c>
      <c r="AK260" s="79">
        <v>0</v>
      </c>
      <c r="AL260" s="79">
        <v>0</v>
      </c>
      <c r="AM260" s="79" t="s">
        <v>2092</v>
      </c>
      <c r="AN260" s="114" t="str">
        <f>HYPERLINK("https://www.youtube.com/watch?v=gDAbZ0S1LjU")</f>
        <v>https://www.youtube.com/watch?v=gDAbZ0S1LjU</v>
      </c>
      <c r="AO260" s="78" t="str">
        <f>REPLACE(INDEX(GroupVertices[Group],MATCH(Vertices[[#This Row],[Vertex]],GroupVertices[Vertex],0)),1,1,"")</f>
        <v>nfosharing360</v>
      </c>
      <c r="AP260" s="2"/>
      <c r="AQ260" s="3"/>
      <c r="AR260" s="3"/>
      <c r="AS260" s="3"/>
      <c r="AT260" s="3"/>
    </row>
    <row r="261" spans="1:46" ht="15">
      <c r="A261" s="64" t="s">
        <v>2224</v>
      </c>
      <c r="B261" s="65"/>
      <c r="C261" s="65"/>
      <c r="D261" s="66">
        <v>150</v>
      </c>
      <c r="E261" s="102">
        <v>97.85714285714286</v>
      </c>
      <c r="F261" s="98" t="str">
        <f>HYPERLINK("https://i.ytimg.com/vi/uqrvIVZs3Rc/default.jpg")</f>
        <v>https://i.ytimg.com/vi/uqrvIVZs3Rc/default.jpg</v>
      </c>
      <c r="G261" s="100"/>
      <c r="H261" s="69" t="s">
        <v>2701</v>
      </c>
      <c r="I261" s="70"/>
      <c r="J261" s="104" t="s">
        <v>159</v>
      </c>
      <c r="K261" s="69" t="s">
        <v>2701</v>
      </c>
      <c r="L261" s="105">
        <v>1</v>
      </c>
      <c r="M261" s="74">
        <v>6676.9560546875</v>
      </c>
      <c r="N261" s="74">
        <v>4841.95361328125</v>
      </c>
      <c r="O261" s="75"/>
      <c r="P261" s="76"/>
      <c r="Q261" s="76"/>
      <c r="R261" s="106"/>
      <c r="S261" s="48">
        <v>1</v>
      </c>
      <c r="T261" s="48">
        <v>0</v>
      </c>
      <c r="U261" s="49">
        <v>0</v>
      </c>
      <c r="V261" s="49">
        <v>0.016016</v>
      </c>
      <c r="W261" s="107"/>
      <c r="X261" s="50"/>
      <c r="Y261" s="50"/>
      <c r="Z261" s="49">
        <v>0</v>
      </c>
      <c r="AA261" s="71">
        <v>261</v>
      </c>
      <c r="AB261" s="71"/>
      <c r="AC261" s="72"/>
      <c r="AD261" s="79" t="s">
        <v>2701</v>
      </c>
      <c r="AE261" s="79" t="s">
        <v>3165</v>
      </c>
      <c r="AF261" s="79" t="s">
        <v>3542</v>
      </c>
      <c r="AG261" s="79" t="s">
        <v>3755</v>
      </c>
      <c r="AH261" s="79" t="s">
        <v>4067</v>
      </c>
      <c r="AI261" s="79">
        <v>104</v>
      </c>
      <c r="AJ261" s="79">
        <v>0</v>
      </c>
      <c r="AK261" s="79">
        <v>0</v>
      </c>
      <c r="AL261" s="79">
        <v>0</v>
      </c>
      <c r="AM261" s="79" t="s">
        <v>2092</v>
      </c>
      <c r="AN261" s="114" t="str">
        <f>HYPERLINK("https://www.youtube.com/watch?v=uqrvIVZs3Rc")</f>
        <v>https://www.youtube.com/watch?v=uqrvIVZs3Rc</v>
      </c>
      <c r="AO261" s="78" t="str">
        <f>REPLACE(INDEX(GroupVertices[Group],MATCH(Vertices[[#This Row],[Vertex]],GroupVertices[Vertex],0)),1,1,"")</f>
        <v>nfosharing360</v>
      </c>
      <c r="AP261" s="2"/>
      <c r="AQ261" s="3"/>
      <c r="AR261" s="3"/>
      <c r="AS261" s="3"/>
      <c r="AT261" s="3"/>
    </row>
    <row r="262" spans="1:46" ht="15">
      <c r="A262" s="64" t="s">
        <v>2225</v>
      </c>
      <c r="B262" s="65"/>
      <c r="C262" s="65"/>
      <c r="D262" s="66">
        <v>150</v>
      </c>
      <c r="E262" s="102">
        <v>97.85714285714286</v>
      </c>
      <c r="F262" s="98" t="str">
        <f>HYPERLINK("https://i.ytimg.com/vi/MWxl8vpRfjA/default.jpg")</f>
        <v>https://i.ytimg.com/vi/MWxl8vpRfjA/default.jpg</v>
      </c>
      <c r="G262" s="100"/>
      <c r="H262" s="69" t="s">
        <v>2702</v>
      </c>
      <c r="I262" s="70"/>
      <c r="J262" s="104" t="s">
        <v>159</v>
      </c>
      <c r="K262" s="69" t="s">
        <v>2702</v>
      </c>
      <c r="L262" s="105">
        <v>1</v>
      </c>
      <c r="M262" s="74">
        <v>7285.1787109375</v>
      </c>
      <c r="N262" s="74">
        <v>4122.61376953125</v>
      </c>
      <c r="O262" s="75"/>
      <c r="P262" s="76"/>
      <c r="Q262" s="76"/>
      <c r="R262" s="106"/>
      <c r="S262" s="48">
        <v>1</v>
      </c>
      <c r="T262" s="48">
        <v>0</v>
      </c>
      <c r="U262" s="49">
        <v>0</v>
      </c>
      <c r="V262" s="49">
        <v>0.016016</v>
      </c>
      <c r="W262" s="107"/>
      <c r="X262" s="50"/>
      <c r="Y262" s="50"/>
      <c r="Z262" s="49">
        <v>0</v>
      </c>
      <c r="AA262" s="71">
        <v>262</v>
      </c>
      <c r="AB262" s="71"/>
      <c r="AC262" s="72"/>
      <c r="AD262" s="79" t="s">
        <v>2702</v>
      </c>
      <c r="AE262" s="79" t="s">
        <v>3166</v>
      </c>
      <c r="AF262" s="79"/>
      <c r="AG262" s="79" t="s">
        <v>3756</v>
      </c>
      <c r="AH262" s="79" t="s">
        <v>4068</v>
      </c>
      <c r="AI262" s="79">
        <v>26</v>
      </c>
      <c r="AJ262" s="79">
        <v>0</v>
      </c>
      <c r="AK262" s="79">
        <v>1</v>
      </c>
      <c r="AL262" s="79">
        <v>0</v>
      </c>
      <c r="AM262" s="79" t="s">
        <v>2092</v>
      </c>
      <c r="AN262" s="114" t="str">
        <f>HYPERLINK("https://www.youtube.com/watch?v=MWxl8vpRfjA")</f>
        <v>https://www.youtube.com/watch?v=MWxl8vpRfjA</v>
      </c>
      <c r="AO262" s="78" t="str">
        <f>REPLACE(INDEX(GroupVertices[Group],MATCH(Vertices[[#This Row],[Vertex]],GroupVertices[Vertex],0)),1,1,"")</f>
        <v>udarma Microscope</v>
      </c>
      <c r="AP262" s="2"/>
      <c r="AQ262" s="3"/>
      <c r="AR262" s="3"/>
      <c r="AS262" s="3"/>
      <c r="AT262" s="3"/>
    </row>
    <row r="263" spans="1:46" ht="15">
      <c r="A263" s="64" t="s">
        <v>2226</v>
      </c>
      <c r="B263" s="65"/>
      <c r="C263" s="65"/>
      <c r="D263" s="66">
        <v>150</v>
      </c>
      <c r="E263" s="102">
        <v>97.85714285714286</v>
      </c>
      <c r="F263" s="98" t="str">
        <f>HYPERLINK("https://i.ytimg.com/vi/ctyREyWucHY/default.jpg")</f>
        <v>https://i.ytimg.com/vi/ctyREyWucHY/default.jpg</v>
      </c>
      <c r="G263" s="100"/>
      <c r="H263" s="69" t="s">
        <v>2703</v>
      </c>
      <c r="I263" s="70"/>
      <c r="J263" s="104" t="s">
        <v>159</v>
      </c>
      <c r="K263" s="69" t="s">
        <v>2703</v>
      </c>
      <c r="L263" s="105">
        <v>1</v>
      </c>
      <c r="M263" s="74">
        <v>7716.0615234375</v>
      </c>
      <c r="N263" s="74">
        <v>5198.201171875</v>
      </c>
      <c r="O263" s="75"/>
      <c r="P263" s="76"/>
      <c r="Q263" s="76"/>
      <c r="R263" s="106"/>
      <c r="S263" s="48">
        <v>1</v>
      </c>
      <c r="T263" s="48">
        <v>0</v>
      </c>
      <c r="U263" s="49">
        <v>0</v>
      </c>
      <c r="V263" s="49">
        <v>0.016016</v>
      </c>
      <c r="W263" s="107"/>
      <c r="X263" s="50"/>
      <c r="Y263" s="50"/>
      <c r="Z263" s="49">
        <v>0</v>
      </c>
      <c r="AA263" s="71">
        <v>263</v>
      </c>
      <c r="AB263" s="71"/>
      <c r="AC263" s="72"/>
      <c r="AD263" s="79" t="s">
        <v>2703</v>
      </c>
      <c r="AE263" s="79" t="s">
        <v>3167</v>
      </c>
      <c r="AF263" s="79"/>
      <c r="AG263" s="79" t="s">
        <v>3757</v>
      </c>
      <c r="AH263" s="79" t="s">
        <v>4069</v>
      </c>
      <c r="AI263" s="79">
        <v>212</v>
      </c>
      <c r="AJ263" s="79">
        <v>16</v>
      </c>
      <c r="AK263" s="79">
        <v>27</v>
      </c>
      <c r="AL263" s="79">
        <v>0</v>
      </c>
      <c r="AM263" s="79" t="s">
        <v>2092</v>
      </c>
      <c r="AN263" s="114" t="str">
        <f>HYPERLINK("https://www.youtube.com/watch?v=ctyREyWucHY")</f>
        <v>https://www.youtube.com/watch?v=ctyREyWucHY</v>
      </c>
      <c r="AO263" s="78" t="str">
        <f>REPLACE(INDEX(GroupVertices[Group],MATCH(Vertices[[#This Row],[Vertex]],GroupVertices[Vertex],0)),1,1,"")</f>
        <v>ase Knowledge</v>
      </c>
      <c r="AP263" s="2"/>
      <c r="AQ263" s="3"/>
      <c r="AR263" s="3"/>
      <c r="AS263" s="3"/>
      <c r="AT263" s="3"/>
    </row>
    <row r="264" spans="1:46" ht="15">
      <c r="A264" s="64" t="s">
        <v>2227</v>
      </c>
      <c r="B264" s="65"/>
      <c r="C264" s="65"/>
      <c r="D264" s="66">
        <v>150</v>
      </c>
      <c r="E264" s="102">
        <v>97.85714285714286</v>
      </c>
      <c r="F264" s="98" t="str">
        <f>HYPERLINK("https://i.ytimg.com/vi/ouF2Y4toJVY/default_live.jpg")</f>
        <v>https://i.ytimg.com/vi/ouF2Y4toJVY/default_live.jpg</v>
      </c>
      <c r="G264" s="100"/>
      <c r="H264" s="69" t="s">
        <v>2704</v>
      </c>
      <c r="I264" s="70"/>
      <c r="J264" s="104" t="s">
        <v>159</v>
      </c>
      <c r="K264" s="69" t="s">
        <v>2704</v>
      </c>
      <c r="L264" s="105">
        <v>1</v>
      </c>
      <c r="M264" s="74">
        <v>7565.712890625</v>
      </c>
      <c r="N264" s="74">
        <v>3895.075927734375</v>
      </c>
      <c r="O264" s="75"/>
      <c r="P264" s="76"/>
      <c r="Q264" s="76"/>
      <c r="R264" s="106"/>
      <c r="S264" s="48">
        <v>1</v>
      </c>
      <c r="T264" s="48">
        <v>0</v>
      </c>
      <c r="U264" s="49">
        <v>0</v>
      </c>
      <c r="V264" s="49">
        <v>0.016016</v>
      </c>
      <c r="W264" s="107"/>
      <c r="X264" s="50"/>
      <c r="Y264" s="50"/>
      <c r="Z264" s="49">
        <v>0</v>
      </c>
      <c r="AA264" s="71">
        <v>264</v>
      </c>
      <c r="AB264" s="71"/>
      <c r="AC264" s="72"/>
      <c r="AD264" s="79" t="s">
        <v>2704</v>
      </c>
      <c r="AE264" s="79" t="s">
        <v>3168</v>
      </c>
      <c r="AF264" s="79" t="s">
        <v>3543</v>
      </c>
      <c r="AG264" s="79" t="s">
        <v>3758</v>
      </c>
      <c r="AH264" s="79" t="s">
        <v>4070</v>
      </c>
      <c r="AI264" s="79">
        <v>28</v>
      </c>
      <c r="AJ264" s="79">
        <v>0</v>
      </c>
      <c r="AK264" s="79">
        <v>1</v>
      </c>
      <c r="AL264" s="79">
        <v>0</v>
      </c>
      <c r="AM264" s="79" t="s">
        <v>2092</v>
      </c>
      <c r="AN264" s="114" t="str">
        <f>HYPERLINK("https://www.youtube.com/watch?v=ouF2Y4toJVY")</f>
        <v>https://www.youtube.com/watch?v=ouF2Y4toJVY</v>
      </c>
      <c r="AO264" s="78" t="str">
        <f>REPLACE(INDEX(GroupVertices[Group],MATCH(Vertices[[#This Row],[Vertex]],GroupVertices[Vertex],0)),1,1,"")</f>
        <v>ATE ACADEMY - Civil &amp; Mechanical</v>
      </c>
      <c r="AP264" s="2"/>
      <c r="AQ264" s="3"/>
      <c r="AR264" s="3"/>
      <c r="AS264" s="3"/>
      <c r="AT264" s="3"/>
    </row>
    <row r="265" spans="1:46" ht="15">
      <c r="A265" s="64" t="s">
        <v>2228</v>
      </c>
      <c r="B265" s="65"/>
      <c r="C265" s="65"/>
      <c r="D265" s="66">
        <v>150</v>
      </c>
      <c r="E265" s="102">
        <v>97.85714285714286</v>
      </c>
      <c r="F265" s="98" t="str">
        <f>HYPERLINK("https://i.ytimg.com/vi/KngIT9XXGjA/default.jpg")</f>
        <v>https://i.ytimg.com/vi/KngIT9XXGjA/default.jpg</v>
      </c>
      <c r="G265" s="100"/>
      <c r="H265" s="69" t="s">
        <v>2705</v>
      </c>
      <c r="I265" s="70"/>
      <c r="J265" s="104" t="s">
        <v>159</v>
      </c>
      <c r="K265" s="69" t="s">
        <v>2705</v>
      </c>
      <c r="L265" s="105">
        <v>1</v>
      </c>
      <c r="M265" s="74">
        <v>7573.2119140625</v>
      </c>
      <c r="N265" s="74">
        <v>4935.57666015625</v>
      </c>
      <c r="O265" s="75"/>
      <c r="P265" s="76"/>
      <c r="Q265" s="76"/>
      <c r="R265" s="106"/>
      <c r="S265" s="48">
        <v>1</v>
      </c>
      <c r="T265" s="48">
        <v>0</v>
      </c>
      <c r="U265" s="49">
        <v>0</v>
      </c>
      <c r="V265" s="49">
        <v>0.016016</v>
      </c>
      <c r="W265" s="107"/>
      <c r="X265" s="50"/>
      <c r="Y265" s="50"/>
      <c r="Z265" s="49">
        <v>0</v>
      </c>
      <c r="AA265" s="71">
        <v>265</v>
      </c>
      <c r="AB265" s="71"/>
      <c r="AC265" s="72"/>
      <c r="AD265" s="79" t="s">
        <v>2705</v>
      </c>
      <c r="AE265" s="79" t="s">
        <v>3169</v>
      </c>
      <c r="AF265" s="79"/>
      <c r="AG265" s="79" t="s">
        <v>3759</v>
      </c>
      <c r="AH265" s="79" t="s">
        <v>4071</v>
      </c>
      <c r="AI265" s="79">
        <v>41</v>
      </c>
      <c r="AJ265" s="79">
        <v>0</v>
      </c>
      <c r="AK265" s="79">
        <v>2</v>
      </c>
      <c r="AL265" s="79">
        <v>0</v>
      </c>
      <c r="AM265" s="79" t="s">
        <v>2092</v>
      </c>
      <c r="AN265" s="114" t="str">
        <f>HYPERLINK("https://www.youtube.com/watch?v=KngIT9XXGjA")</f>
        <v>https://www.youtube.com/watch?v=KngIT9XXGjA</v>
      </c>
      <c r="AO265" s="78" t="str">
        <f>REPLACE(INDEX(GroupVertices[Group],MATCH(Vertices[[#This Row],[Vertex]],GroupVertices[Vertex],0)),1,1,"")</f>
        <v>CAT Questions</v>
      </c>
      <c r="AP265" s="2"/>
      <c r="AQ265" s="3"/>
      <c r="AR265" s="3"/>
      <c r="AS265" s="3"/>
      <c r="AT265" s="3"/>
    </row>
    <row r="266" spans="1:46" ht="15">
      <c r="A266" s="64" t="s">
        <v>2229</v>
      </c>
      <c r="B266" s="65"/>
      <c r="C266" s="65"/>
      <c r="D266" s="66">
        <v>150</v>
      </c>
      <c r="E266" s="102">
        <v>97.85714285714286</v>
      </c>
      <c r="F266" s="98" t="str">
        <f>HYPERLINK("https://i.ytimg.com/vi/7XBbJ6Y8Bvs/default.jpg")</f>
        <v>https://i.ytimg.com/vi/7XBbJ6Y8Bvs/default.jpg</v>
      </c>
      <c r="G266" s="100"/>
      <c r="H266" s="69" t="s">
        <v>2706</v>
      </c>
      <c r="I266" s="70"/>
      <c r="J266" s="104" t="s">
        <v>159</v>
      </c>
      <c r="K266" s="69" t="s">
        <v>2706</v>
      </c>
      <c r="L266" s="105">
        <v>1</v>
      </c>
      <c r="M266" s="74">
        <v>6871.62158203125</v>
      </c>
      <c r="N266" s="74">
        <v>5025.33056640625</v>
      </c>
      <c r="O266" s="75"/>
      <c r="P266" s="76"/>
      <c r="Q266" s="76"/>
      <c r="R266" s="106"/>
      <c r="S266" s="48">
        <v>1</v>
      </c>
      <c r="T266" s="48">
        <v>0</v>
      </c>
      <c r="U266" s="49">
        <v>0</v>
      </c>
      <c r="V266" s="49">
        <v>0.016016</v>
      </c>
      <c r="W266" s="107"/>
      <c r="X266" s="50"/>
      <c r="Y266" s="50"/>
      <c r="Z266" s="49">
        <v>0</v>
      </c>
      <c r="AA266" s="71">
        <v>266</v>
      </c>
      <c r="AB266" s="71"/>
      <c r="AC266" s="72"/>
      <c r="AD266" s="79" t="s">
        <v>2706</v>
      </c>
      <c r="AE266" s="79"/>
      <c r="AF266" s="79"/>
      <c r="AG266" s="79" t="s">
        <v>3760</v>
      </c>
      <c r="AH266" s="79" t="s">
        <v>4072</v>
      </c>
      <c r="AI266" s="79">
        <v>2616</v>
      </c>
      <c r="AJ266" s="79">
        <v>1</v>
      </c>
      <c r="AK266" s="79">
        <v>30</v>
      </c>
      <c r="AL266" s="79">
        <v>0</v>
      </c>
      <c r="AM266" s="79" t="s">
        <v>2092</v>
      </c>
      <c r="AN266" s="114" t="str">
        <f>HYPERLINK("https://www.youtube.com/watch?v=7XBbJ6Y8Bvs")</f>
        <v>https://www.youtube.com/watch?v=7XBbJ6Y8Bvs</v>
      </c>
      <c r="AO266" s="78" t="str">
        <f>REPLACE(INDEX(GroupVertices[Group],MATCH(Vertices[[#This Row],[Vertex]],GroupVertices[Vertex],0)),1,1,"")</f>
        <v>allavi wase</v>
      </c>
      <c r="AP266" s="2"/>
      <c r="AQ266" s="3"/>
      <c r="AR266" s="3"/>
      <c r="AS266" s="3"/>
      <c r="AT266" s="3"/>
    </row>
    <row r="267" spans="1:46" ht="15">
      <c r="A267" s="64" t="s">
        <v>2230</v>
      </c>
      <c r="B267" s="65"/>
      <c r="C267" s="65"/>
      <c r="D267" s="66">
        <v>150</v>
      </c>
      <c r="E267" s="102">
        <v>97.85714285714286</v>
      </c>
      <c r="F267" s="98" t="str">
        <f>HYPERLINK("https://i.ytimg.com/vi/4W1oKO73hbU/default.jpg")</f>
        <v>https://i.ytimg.com/vi/4W1oKO73hbU/default.jpg</v>
      </c>
      <c r="G267" s="100"/>
      <c r="H267" s="69" t="s">
        <v>2707</v>
      </c>
      <c r="I267" s="70"/>
      <c r="J267" s="104" t="s">
        <v>159</v>
      </c>
      <c r="K267" s="69" t="s">
        <v>2707</v>
      </c>
      <c r="L267" s="105">
        <v>1</v>
      </c>
      <c r="M267" s="74">
        <v>8055.7890625</v>
      </c>
      <c r="N267" s="74">
        <v>3917.158447265625</v>
      </c>
      <c r="O267" s="75"/>
      <c r="P267" s="76"/>
      <c r="Q267" s="76"/>
      <c r="R267" s="106"/>
      <c r="S267" s="48">
        <v>1</v>
      </c>
      <c r="T267" s="48">
        <v>0</v>
      </c>
      <c r="U267" s="49">
        <v>0</v>
      </c>
      <c r="V267" s="49">
        <v>0.016016</v>
      </c>
      <c r="W267" s="107"/>
      <c r="X267" s="50"/>
      <c r="Y267" s="50"/>
      <c r="Z267" s="49">
        <v>0</v>
      </c>
      <c r="AA267" s="71">
        <v>267</v>
      </c>
      <c r="AB267" s="71"/>
      <c r="AC267" s="72"/>
      <c r="AD267" s="79" t="s">
        <v>2707</v>
      </c>
      <c r="AE267" s="79" t="s">
        <v>3170</v>
      </c>
      <c r="AF267" s="79" t="s">
        <v>3544</v>
      </c>
      <c r="AG267" s="79" t="s">
        <v>3761</v>
      </c>
      <c r="AH267" s="79" t="s">
        <v>4073</v>
      </c>
      <c r="AI267" s="79">
        <v>162</v>
      </c>
      <c r="AJ267" s="79">
        <v>1</v>
      </c>
      <c r="AK267" s="79">
        <v>14</v>
      </c>
      <c r="AL267" s="79">
        <v>0</v>
      </c>
      <c r="AM267" s="79" t="s">
        <v>2092</v>
      </c>
      <c r="AN267" s="114" t="str">
        <f>HYPERLINK("https://www.youtube.com/watch?v=4W1oKO73hbU")</f>
        <v>https://www.youtube.com/watch?v=4W1oKO73hbU</v>
      </c>
      <c r="AO267" s="78" t="str">
        <f>REPLACE(INDEX(GroupVertices[Group],MATCH(Vertices[[#This Row],[Vertex]],GroupVertices[Vertex],0)),1,1,"")</f>
        <v>iny Kiwi Studio</v>
      </c>
      <c r="AP267" s="2"/>
      <c r="AQ267" s="3"/>
      <c r="AR267" s="3"/>
      <c r="AS267" s="3"/>
      <c r="AT267" s="3"/>
    </row>
    <row r="268" spans="1:46" ht="15">
      <c r="A268" s="64" t="s">
        <v>2231</v>
      </c>
      <c r="B268" s="65"/>
      <c r="C268" s="65"/>
      <c r="D268" s="66">
        <v>150</v>
      </c>
      <c r="E268" s="102">
        <v>97.85714285714286</v>
      </c>
      <c r="F268" s="98" t="str">
        <f>HYPERLINK("https://i.ytimg.com/vi/5PeDWzzHSjw/default.jpg")</f>
        <v>https://i.ytimg.com/vi/5PeDWzzHSjw/default.jpg</v>
      </c>
      <c r="G268" s="100"/>
      <c r="H268" s="69" t="s">
        <v>2708</v>
      </c>
      <c r="I268" s="70"/>
      <c r="J268" s="104" t="s">
        <v>159</v>
      </c>
      <c r="K268" s="69" t="s">
        <v>2708</v>
      </c>
      <c r="L268" s="105">
        <v>1</v>
      </c>
      <c r="M268" s="74">
        <v>7869.65966796875</v>
      </c>
      <c r="N268" s="74">
        <v>4731.23095703125</v>
      </c>
      <c r="O268" s="75"/>
      <c r="P268" s="76"/>
      <c r="Q268" s="76"/>
      <c r="R268" s="106"/>
      <c r="S268" s="48">
        <v>1</v>
      </c>
      <c r="T268" s="48">
        <v>0</v>
      </c>
      <c r="U268" s="49">
        <v>0</v>
      </c>
      <c r="V268" s="49">
        <v>0.016016</v>
      </c>
      <c r="W268" s="107"/>
      <c r="X268" s="50"/>
      <c r="Y268" s="50"/>
      <c r="Z268" s="49">
        <v>0</v>
      </c>
      <c r="AA268" s="71">
        <v>268</v>
      </c>
      <c r="AB268" s="71"/>
      <c r="AC268" s="72"/>
      <c r="AD268" s="79" t="s">
        <v>2708</v>
      </c>
      <c r="AE268" s="79" t="s">
        <v>3171</v>
      </c>
      <c r="AF268" s="79" t="s">
        <v>3545</v>
      </c>
      <c r="AG268" s="79" t="s">
        <v>3762</v>
      </c>
      <c r="AH268" s="79" t="s">
        <v>4074</v>
      </c>
      <c r="AI268" s="79">
        <v>198</v>
      </c>
      <c r="AJ268" s="79">
        <v>0</v>
      </c>
      <c r="AK268" s="79">
        <v>0</v>
      </c>
      <c r="AL268" s="79">
        <v>0</v>
      </c>
      <c r="AM268" s="79" t="s">
        <v>2092</v>
      </c>
      <c r="AN268" s="114" t="str">
        <f>HYPERLINK("https://www.youtube.com/watch?v=5PeDWzzHSjw")</f>
        <v>https://www.youtube.com/watch?v=5PeDWzzHSjw</v>
      </c>
      <c r="AO268" s="78" t="str">
        <f>REPLACE(INDEX(GroupVertices[Group],MATCH(Vertices[[#This Row],[Vertex]],GroupVertices[Vertex],0)),1,1,"")</f>
        <v>rving Institute</v>
      </c>
      <c r="AP268" s="2"/>
      <c r="AQ268" s="3"/>
      <c r="AR268" s="3"/>
      <c r="AS268" s="3"/>
      <c r="AT268" s="3"/>
    </row>
    <row r="269" spans="1:46" ht="15">
      <c r="A269" s="64" t="s">
        <v>2232</v>
      </c>
      <c r="B269" s="65"/>
      <c r="C269" s="65"/>
      <c r="D269" s="66">
        <v>150</v>
      </c>
      <c r="E269" s="102">
        <v>97.85714285714286</v>
      </c>
      <c r="F269" s="98" t="str">
        <f>HYPERLINK("https://i.ytimg.com/vi/0sOaZja3WpE/default.jpg")</f>
        <v>https://i.ytimg.com/vi/0sOaZja3WpE/default.jpg</v>
      </c>
      <c r="G269" s="100"/>
      <c r="H269" s="69" t="s">
        <v>2709</v>
      </c>
      <c r="I269" s="70"/>
      <c r="J269" s="104" t="s">
        <v>159</v>
      </c>
      <c r="K269" s="69" t="s">
        <v>2709</v>
      </c>
      <c r="L269" s="105">
        <v>1</v>
      </c>
      <c r="M269" s="74">
        <v>7977.8935546875</v>
      </c>
      <c r="N269" s="74">
        <v>5088.3544921875</v>
      </c>
      <c r="O269" s="75"/>
      <c r="P269" s="76"/>
      <c r="Q269" s="76"/>
      <c r="R269" s="106"/>
      <c r="S269" s="48">
        <v>1</v>
      </c>
      <c r="T269" s="48">
        <v>0</v>
      </c>
      <c r="U269" s="49">
        <v>0</v>
      </c>
      <c r="V269" s="49">
        <v>0.016016</v>
      </c>
      <c r="W269" s="107"/>
      <c r="X269" s="50"/>
      <c r="Y269" s="50"/>
      <c r="Z269" s="49">
        <v>0</v>
      </c>
      <c r="AA269" s="71">
        <v>269</v>
      </c>
      <c r="AB269" s="71"/>
      <c r="AC269" s="72"/>
      <c r="AD269" s="79" t="s">
        <v>2709</v>
      </c>
      <c r="AE269" s="79" t="s">
        <v>3172</v>
      </c>
      <c r="AF269" s="79" t="s">
        <v>3546</v>
      </c>
      <c r="AG269" s="79" t="s">
        <v>3763</v>
      </c>
      <c r="AH269" s="79" t="s">
        <v>4075</v>
      </c>
      <c r="AI269" s="79">
        <v>3451</v>
      </c>
      <c r="AJ269" s="79">
        <v>1</v>
      </c>
      <c r="AK269" s="79">
        <v>38</v>
      </c>
      <c r="AL269" s="79">
        <v>0</v>
      </c>
      <c r="AM269" s="79" t="s">
        <v>2092</v>
      </c>
      <c r="AN269" s="114" t="str">
        <f>HYPERLINK("https://www.youtube.com/watch?v=0sOaZja3WpE")</f>
        <v>https://www.youtube.com/watch?v=0sOaZja3WpE</v>
      </c>
      <c r="AO269" s="78" t="str">
        <f>REPLACE(INDEX(GroupVertices[Group],MATCH(Vertices[[#This Row],[Vertex]],GroupVertices[Vertex],0)),1,1,"")</f>
        <v>ulex</v>
      </c>
      <c r="AP269" s="2"/>
      <c r="AQ269" s="3"/>
      <c r="AR269" s="3"/>
      <c r="AS269" s="3"/>
      <c r="AT269" s="3"/>
    </row>
    <row r="270" spans="1:46" ht="15">
      <c r="A270" s="64" t="s">
        <v>2233</v>
      </c>
      <c r="B270" s="65"/>
      <c r="C270" s="65"/>
      <c r="D270" s="66">
        <v>150</v>
      </c>
      <c r="E270" s="102">
        <v>97.85714285714286</v>
      </c>
      <c r="F270" s="98" t="str">
        <f>HYPERLINK("https://i.ytimg.com/vi/NvVGRCkyLiY/default.jpg")</f>
        <v>https://i.ytimg.com/vi/NvVGRCkyLiY/default.jpg</v>
      </c>
      <c r="G270" s="100"/>
      <c r="H270" s="69" t="s">
        <v>2710</v>
      </c>
      <c r="I270" s="70"/>
      <c r="J270" s="104" t="s">
        <v>159</v>
      </c>
      <c r="K270" s="69" t="s">
        <v>2710</v>
      </c>
      <c r="L270" s="105">
        <v>1</v>
      </c>
      <c r="M270" s="74">
        <v>6681.39111328125</v>
      </c>
      <c r="N270" s="74">
        <v>4134.10693359375</v>
      </c>
      <c r="O270" s="75"/>
      <c r="P270" s="76"/>
      <c r="Q270" s="76"/>
      <c r="R270" s="106"/>
      <c r="S270" s="48">
        <v>1</v>
      </c>
      <c r="T270" s="48">
        <v>0</v>
      </c>
      <c r="U270" s="49">
        <v>0</v>
      </c>
      <c r="V270" s="49">
        <v>0.016016</v>
      </c>
      <c r="W270" s="107"/>
      <c r="X270" s="50"/>
      <c r="Y270" s="50"/>
      <c r="Z270" s="49">
        <v>0</v>
      </c>
      <c r="AA270" s="71">
        <v>270</v>
      </c>
      <c r="AB270" s="71"/>
      <c r="AC270" s="72"/>
      <c r="AD270" s="79" t="s">
        <v>2710</v>
      </c>
      <c r="AE270" s="79"/>
      <c r="AF270" s="79"/>
      <c r="AG270" s="79" t="s">
        <v>3764</v>
      </c>
      <c r="AH270" s="79" t="s">
        <v>4076</v>
      </c>
      <c r="AI270" s="79">
        <v>504</v>
      </c>
      <c r="AJ270" s="79">
        <v>1</v>
      </c>
      <c r="AK270" s="79">
        <v>4</v>
      </c>
      <c r="AL270" s="79">
        <v>0</v>
      </c>
      <c r="AM270" s="79" t="s">
        <v>2092</v>
      </c>
      <c r="AN270" s="114" t="str">
        <f>HYPERLINK("https://www.youtube.com/watch?v=NvVGRCkyLiY")</f>
        <v>https://www.youtube.com/watch?v=NvVGRCkyLiY</v>
      </c>
      <c r="AO270" s="78" t="str">
        <f>REPLACE(INDEX(GroupVertices[Group],MATCH(Vertices[[#This Row],[Vertex]],GroupVertices[Vertex],0)),1,1,"")</f>
        <v>P Jayaswal</v>
      </c>
      <c r="AP270" s="2"/>
      <c r="AQ270" s="3"/>
      <c r="AR270" s="3"/>
      <c r="AS270" s="3"/>
      <c r="AT270" s="3"/>
    </row>
    <row r="271" spans="1:46" ht="15">
      <c r="A271" s="64" t="s">
        <v>2234</v>
      </c>
      <c r="B271" s="65"/>
      <c r="C271" s="65"/>
      <c r="D271" s="66">
        <v>150</v>
      </c>
      <c r="E271" s="102">
        <v>97.85714285714286</v>
      </c>
      <c r="F271" s="98" t="str">
        <f>HYPERLINK("https://i.ytimg.com/vi/9UGSIsps1a0/default.jpg")</f>
        <v>https://i.ytimg.com/vi/9UGSIsps1a0/default.jpg</v>
      </c>
      <c r="G271" s="100"/>
      <c r="H271" s="69" t="s">
        <v>2711</v>
      </c>
      <c r="I271" s="70"/>
      <c r="J271" s="104" t="s">
        <v>159</v>
      </c>
      <c r="K271" s="69" t="s">
        <v>2711</v>
      </c>
      <c r="L271" s="105">
        <v>1</v>
      </c>
      <c r="M271" s="74">
        <v>7214.1796875</v>
      </c>
      <c r="N271" s="74">
        <v>4831.6484375</v>
      </c>
      <c r="O271" s="75"/>
      <c r="P271" s="76"/>
      <c r="Q271" s="76"/>
      <c r="R271" s="106"/>
      <c r="S271" s="48">
        <v>1</v>
      </c>
      <c r="T271" s="48">
        <v>0</v>
      </c>
      <c r="U271" s="49">
        <v>0</v>
      </c>
      <c r="V271" s="49">
        <v>0.016016</v>
      </c>
      <c r="W271" s="107"/>
      <c r="X271" s="50"/>
      <c r="Y271" s="50"/>
      <c r="Z271" s="49">
        <v>0</v>
      </c>
      <c r="AA271" s="71">
        <v>271</v>
      </c>
      <c r="AB271" s="71"/>
      <c r="AC271" s="72"/>
      <c r="AD271" s="79" t="s">
        <v>2711</v>
      </c>
      <c r="AE271" s="79"/>
      <c r="AF271" s="79"/>
      <c r="AG271" s="79" t="s">
        <v>1605</v>
      </c>
      <c r="AH271" s="79" t="s">
        <v>4077</v>
      </c>
      <c r="AI271" s="79">
        <v>80</v>
      </c>
      <c r="AJ271" s="79">
        <v>0</v>
      </c>
      <c r="AK271" s="79">
        <v>0</v>
      </c>
      <c r="AL271" s="79">
        <v>0</v>
      </c>
      <c r="AM271" s="79" t="s">
        <v>2092</v>
      </c>
      <c r="AN271" s="114" t="str">
        <f>HYPERLINK("https://www.youtube.com/watch?v=9UGSIsps1a0")</f>
        <v>https://www.youtube.com/watch?v=9UGSIsps1a0</v>
      </c>
      <c r="AO271" s="78" t="str">
        <f>REPLACE(INDEX(GroupVertices[Group],MATCH(Vertices[[#This Row],[Vertex]],GroupVertices[Vertex],0)),1,1,"")</f>
        <v>TSU Online</v>
      </c>
      <c r="AP271" s="2"/>
      <c r="AQ271" s="3"/>
      <c r="AR271" s="3"/>
      <c r="AS271" s="3"/>
      <c r="AT271" s="3"/>
    </row>
    <row r="272" spans="1:46" ht="15">
      <c r="A272" s="64" t="s">
        <v>2235</v>
      </c>
      <c r="B272" s="65"/>
      <c r="C272" s="65"/>
      <c r="D272" s="66">
        <v>150</v>
      </c>
      <c r="E272" s="102">
        <v>97.85714285714286</v>
      </c>
      <c r="F272" s="98" t="str">
        <f>HYPERLINK("https://i.ytimg.com/vi/W6Es_ltR9mA/default.jpg")</f>
        <v>https://i.ytimg.com/vi/W6Es_ltR9mA/default.jpg</v>
      </c>
      <c r="G272" s="100"/>
      <c r="H272" s="69" t="s">
        <v>2712</v>
      </c>
      <c r="I272" s="70"/>
      <c r="J272" s="104" t="s">
        <v>159</v>
      </c>
      <c r="K272" s="69" t="s">
        <v>2712</v>
      </c>
      <c r="L272" s="105">
        <v>1</v>
      </c>
      <c r="M272" s="74">
        <v>7790.44091796875</v>
      </c>
      <c r="N272" s="74">
        <v>4171.04248046875</v>
      </c>
      <c r="O272" s="75"/>
      <c r="P272" s="76"/>
      <c r="Q272" s="76"/>
      <c r="R272" s="106"/>
      <c r="S272" s="48">
        <v>1</v>
      </c>
      <c r="T272" s="48">
        <v>0</v>
      </c>
      <c r="U272" s="49">
        <v>0</v>
      </c>
      <c r="V272" s="49">
        <v>0.016016</v>
      </c>
      <c r="W272" s="107"/>
      <c r="X272" s="50"/>
      <c r="Y272" s="50"/>
      <c r="Z272" s="49">
        <v>0</v>
      </c>
      <c r="AA272" s="71">
        <v>272</v>
      </c>
      <c r="AB272" s="71"/>
      <c r="AC272" s="72"/>
      <c r="AD272" s="79" t="s">
        <v>2712</v>
      </c>
      <c r="AE272" s="79"/>
      <c r="AF272" s="79"/>
      <c r="AG272" s="79" t="s">
        <v>1605</v>
      </c>
      <c r="AH272" s="79" t="s">
        <v>4078</v>
      </c>
      <c r="AI272" s="79">
        <v>33</v>
      </c>
      <c r="AJ272" s="79">
        <v>0</v>
      </c>
      <c r="AK272" s="79">
        <v>0</v>
      </c>
      <c r="AL272" s="79">
        <v>0</v>
      </c>
      <c r="AM272" s="79" t="s">
        <v>2092</v>
      </c>
      <c r="AN272" s="114" t="str">
        <f>HYPERLINK("https://www.youtube.com/watch?v=W6Es_ltR9mA")</f>
        <v>https://www.youtube.com/watch?v=W6Es_ltR9mA</v>
      </c>
      <c r="AO272" s="78" t="str">
        <f>REPLACE(INDEX(GroupVertices[Group],MATCH(Vertices[[#This Row],[Vertex]],GroupVertices[Vertex],0)),1,1,"")</f>
        <v>TSU Online</v>
      </c>
      <c r="AP272" s="2"/>
      <c r="AQ272" s="3"/>
      <c r="AR272" s="3"/>
      <c r="AS272" s="3"/>
      <c r="AT272" s="3"/>
    </row>
    <row r="273" spans="1:46" ht="15">
      <c r="A273" s="64" t="s">
        <v>2236</v>
      </c>
      <c r="B273" s="65"/>
      <c r="C273" s="65"/>
      <c r="D273" s="66">
        <v>150</v>
      </c>
      <c r="E273" s="102">
        <v>97.85714285714286</v>
      </c>
      <c r="F273" s="98" t="str">
        <f>HYPERLINK("https://i.ytimg.com/vi/wgZYCdBSKIE/default.jpg")</f>
        <v>https://i.ytimg.com/vi/wgZYCdBSKIE/default.jpg</v>
      </c>
      <c r="G273" s="100"/>
      <c r="H273" s="69" t="s">
        <v>2713</v>
      </c>
      <c r="I273" s="70"/>
      <c r="J273" s="104" t="s">
        <v>159</v>
      </c>
      <c r="K273" s="69" t="s">
        <v>2713</v>
      </c>
      <c r="L273" s="105">
        <v>1</v>
      </c>
      <c r="M273" s="74">
        <v>8392.7353515625</v>
      </c>
      <c r="N273" s="74">
        <v>4525.662109375</v>
      </c>
      <c r="O273" s="75"/>
      <c r="P273" s="76"/>
      <c r="Q273" s="76"/>
      <c r="R273" s="106"/>
      <c r="S273" s="48">
        <v>1</v>
      </c>
      <c r="T273" s="48">
        <v>0</v>
      </c>
      <c r="U273" s="49">
        <v>0</v>
      </c>
      <c r="V273" s="49">
        <v>0.016016</v>
      </c>
      <c r="W273" s="107"/>
      <c r="X273" s="50"/>
      <c r="Y273" s="50"/>
      <c r="Z273" s="49">
        <v>0</v>
      </c>
      <c r="AA273" s="71">
        <v>273</v>
      </c>
      <c r="AB273" s="71"/>
      <c r="AC273" s="72"/>
      <c r="AD273" s="79" t="s">
        <v>2713</v>
      </c>
      <c r="AE273" s="79" t="s">
        <v>3173</v>
      </c>
      <c r="AF273" s="79" t="s">
        <v>3547</v>
      </c>
      <c r="AG273" s="79" t="s">
        <v>3765</v>
      </c>
      <c r="AH273" s="79" t="s">
        <v>4079</v>
      </c>
      <c r="AI273" s="79">
        <v>23707</v>
      </c>
      <c r="AJ273" s="79">
        <v>1</v>
      </c>
      <c r="AK273" s="79">
        <v>121</v>
      </c>
      <c r="AL273" s="79">
        <v>0</v>
      </c>
      <c r="AM273" s="79" t="s">
        <v>2092</v>
      </c>
      <c r="AN273" s="114" t="str">
        <f>HYPERLINK("https://www.youtube.com/watch?v=wgZYCdBSKIE")</f>
        <v>https://www.youtube.com/watch?v=wgZYCdBSKIE</v>
      </c>
      <c r="AO273" s="78" t="str">
        <f>REPLACE(INDEX(GroupVertices[Group],MATCH(Vertices[[#This Row],[Vertex]],GroupVertices[Vertex],0)),1,1,"")</f>
        <v>NO-Klinik und DHZ der MHH</v>
      </c>
      <c r="AP273" s="2"/>
      <c r="AQ273" s="3"/>
      <c r="AR273" s="3"/>
      <c r="AS273" s="3"/>
      <c r="AT273" s="3"/>
    </row>
    <row r="274" spans="1:46" ht="15">
      <c r="A274" s="64" t="s">
        <v>2237</v>
      </c>
      <c r="B274" s="65"/>
      <c r="C274" s="65"/>
      <c r="D274" s="66">
        <v>150</v>
      </c>
      <c r="E274" s="102">
        <v>97.85714285714286</v>
      </c>
      <c r="F274" s="98" t="str">
        <f>HYPERLINK("https://i.ytimg.com/vi/X-wPQhqp938/default.jpg")</f>
        <v>https://i.ytimg.com/vi/X-wPQhqp938/default.jpg</v>
      </c>
      <c r="G274" s="100"/>
      <c r="H274" s="69" t="s">
        <v>2714</v>
      </c>
      <c r="I274" s="70"/>
      <c r="J274" s="104" t="s">
        <v>159</v>
      </c>
      <c r="K274" s="69" t="s">
        <v>2714</v>
      </c>
      <c r="L274" s="105">
        <v>1</v>
      </c>
      <c r="M274" s="74">
        <v>7083.3154296875</v>
      </c>
      <c r="N274" s="74">
        <v>3830.933837890625</v>
      </c>
      <c r="O274" s="75"/>
      <c r="P274" s="76"/>
      <c r="Q274" s="76"/>
      <c r="R274" s="106"/>
      <c r="S274" s="48">
        <v>1</v>
      </c>
      <c r="T274" s="48">
        <v>0</v>
      </c>
      <c r="U274" s="49">
        <v>0</v>
      </c>
      <c r="V274" s="49">
        <v>0.016016</v>
      </c>
      <c r="W274" s="107"/>
      <c r="X274" s="50"/>
      <c r="Y274" s="50"/>
      <c r="Z274" s="49">
        <v>0</v>
      </c>
      <c r="AA274" s="71">
        <v>274</v>
      </c>
      <c r="AB274" s="71"/>
      <c r="AC274" s="72"/>
      <c r="AD274" s="79" t="s">
        <v>2714</v>
      </c>
      <c r="AE274" s="79"/>
      <c r="AF274" s="79"/>
      <c r="AG274" s="79" t="s">
        <v>1605</v>
      </c>
      <c r="AH274" s="79" t="s">
        <v>4080</v>
      </c>
      <c r="AI274" s="79">
        <v>14</v>
      </c>
      <c r="AJ274" s="79">
        <v>0</v>
      </c>
      <c r="AK274" s="79">
        <v>0</v>
      </c>
      <c r="AL274" s="79">
        <v>0</v>
      </c>
      <c r="AM274" s="79" t="s">
        <v>2092</v>
      </c>
      <c r="AN274" s="114" t="str">
        <f>HYPERLINK("https://www.youtube.com/watch?v=X-wPQhqp938")</f>
        <v>https://www.youtube.com/watch?v=X-wPQhqp938</v>
      </c>
      <c r="AO274" s="78" t="str">
        <f>REPLACE(INDEX(GroupVertices[Group],MATCH(Vertices[[#This Row],[Vertex]],GroupVertices[Vertex],0)),1,1,"")</f>
        <v>TSU Online</v>
      </c>
      <c r="AP274" s="2"/>
      <c r="AQ274" s="3"/>
      <c r="AR274" s="3"/>
      <c r="AS274" s="3"/>
      <c r="AT274" s="3"/>
    </row>
    <row r="275" spans="1:46" ht="15">
      <c r="A275" s="64" t="s">
        <v>2238</v>
      </c>
      <c r="B275" s="65"/>
      <c r="C275" s="65"/>
      <c r="D275" s="66">
        <v>150</v>
      </c>
      <c r="E275" s="102">
        <v>97.85714285714286</v>
      </c>
      <c r="F275" s="98" t="str">
        <f>HYPERLINK("https://i.ytimg.com/vi/i8pdcfbDKGw/default.jpg")</f>
        <v>https://i.ytimg.com/vi/i8pdcfbDKGw/default.jpg</v>
      </c>
      <c r="G275" s="100"/>
      <c r="H275" s="69" t="s">
        <v>2715</v>
      </c>
      <c r="I275" s="70"/>
      <c r="J275" s="104" t="s">
        <v>159</v>
      </c>
      <c r="K275" s="69" t="s">
        <v>2715</v>
      </c>
      <c r="L275" s="105">
        <v>1</v>
      </c>
      <c r="M275" s="74">
        <v>8360.2041015625</v>
      </c>
      <c r="N275" s="74">
        <v>4291.3935546875</v>
      </c>
      <c r="O275" s="75"/>
      <c r="P275" s="76"/>
      <c r="Q275" s="76"/>
      <c r="R275" s="106"/>
      <c r="S275" s="48">
        <v>1</v>
      </c>
      <c r="T275" s="48">
        <v>0</v>
      </c>
      <c r="U275" s="49">
        <v>0</v>
      </c>
      <c r="V275" s="49">
        <v>0.016016</v>
      </c>
      <c r="W275" s="107"/>
      <c r="X275" s="50"/>
      <c r="Y275" s="50"/>
      <c r="Z275" s="49">
        <v>0</v>
      </c>
      <c r="AA275" s="71">
        <v>275</v>
      </c>
      <c r="AB275" s="71"/>
      <c r="AC275" s="72"/>
      <c r="AD275" s="79" t="s">
        <v>2715</v>
      </c>
      <c r="AE275" s="79" t="s">
        <v>3174</v>
      </c>
      <c r="AF275" s="79"/>
      <c r="AG275" s="79" t="s">
        <v>1605</v>
      </c>
      <c r="AH275" s="79" t="s">
        <v>4081</v>
      </c>
      <c r="AI275" s="79">
        <v>42</v>
      </c>
      <c r="AJ275" s="79">
        <v>0</v>
      </c>
      <c r="AK275" s="79">
        <v>0</v>
      </c>
      <c r="AL275" s="79">
        <v>0</v>
      </c>
      <c r="AM275" s="79" t="s">
        <v>2092</v>
      </c>
      <c r="AN275" s="114" t="str">
        <f>HYPERLINK("https://www.youtube.com/watch?v=i8pdcfbDKGw")</f>
        <v>https://www.youtube.com/watch?v=i8pdcfbDKGw</v>
      </c>
      <c r="AO275" s="78" t="str">
        <f>REPLACE(INDEX(GroupVertices[Group],MATCH(Vertices[[#This Row],[Vertex]],GroupVertices[Vertex],0)),1,1,"")</f>
        <v>TSU Online</v>
      </c>
      <c r="AP275" s="2"/>
      <c r="AQ275" s="3"/>
      <c r="AR275" s="3"/>
      <c r="AS275" s="3"/>
      <c r="AT275" s="3"/>
    </row>
    <row r="276" spans="1:46" ht="15">
      <c r="A276" s="64" t="s">
        <v>2239</v>
      </c>
      <c r="B276" s="65"/>
      <c r="C276" s="65"/>
      <c r="D276" s="66">
        <v>150</v>
      </c>
      <c r="E276" s="102">
        <v>97.85714285714286</v>
      </c>
      <c r="F276" s="98" t="str">
        <f>HYPERLINK("https://i.ytimg.com/vi/qHdPklvb1pc/default.jpg")</f>
        <v>https://i.ytimg.com/vi/qHdPklvb1pc/default.jpg</v>
      </c>
      <c r="G276" s="100"/>
      <c r="H276" s="69" t="s">
        <v>2716</v>
      </c>
      <c r="I276" s="70"/>
      <c r="J276" s="104" t="s">
        <v>159</v>
      </c>
      <c r="K276" s="69" t="s">
        <v>2716</v>
      </c>
      <c r="L276" s="105">
        <v>1</v>
      </c>
      <c r="M276" s="74">
        <v>6858.08056640625</v>
      </c>
      <c r="N276" s="74">
        <v>3960.5234375</v>
      </c>
      <c r="O276" s="75"/>
      <c r="P276" s="76"/>
      <c r="Q276" s="76"/>
      <c r="R276" s="106"/>
      <c r="S276" s="48">
        <v>1</v>
      </c>
      <c r="T276" s="48">
        <v>0</v>
      </c>
      <c r="U276" s="49">
        <v>0</v>
      </c>
      <c r="V276" s="49">
        <v>0.016016</v>
      </c>
      <c r="W276" s="107"/>
      <c r="X276" s="50"/>
      <c r="Y276" s="50"/>
      <c r="Z276" s="49">
        <v>0</v>
      </c>
      <c r="AA276" s="71">
        <v>276</v>
      </c>
      <c r="AB276" s="71"/>
      <c r="AC276" s="72"/>
      <c r="AD276" s="79" t="s">
        <v>2716</v>
      </c>
      <c r="AE276" s="79" t="s">
        <v>3175</v>
      </c>
      <c r="AF276" s="79"/>
      <c r="AG276" s="79" t="s">
        <v>1605</v>
      </c>
      <c r="AH276" s="79" t="s">
        <v>4082</v>
      </c>
      <c r="AI276" s="79">
        <v>54</v>
      </c>
      <c r="AJ276" s="79">
        <v>0</v>
      </c>
      <c r="AK276" s="79">
        <v>0</v>
      </c>
      <c r="AL276" s="79">
        <v>0</v>
      </c>
      <c r="AM276" s="79" t="s">
        <v>2092</v>
      </c>
      <c r="AN276" s="114" t="str">
        <f>HYPERLINK("https://www.youtube.com/watch?v=qHdPklvb1pc")</f>
        <v>https://www.youtube.com/watch?v=qHdPklvb1pc</v>
      </c>
      <c r="AO276" s="78" t="str">
        <f>REPLACE(INDEX(GroupVertices[Group],MATCH(Vertices[[#This Row],[Vertex]],GroupVertices[Vertex],0)),1,1,"")</f>
        <v>TSU Online</v>
      </c>
      <c r="AP276" s="2"/>
      <c r="AQ276" s="3"/>
      <c r="AR276" s="3"/>
      <c r="AS276" s="3"/>
      <c r="AT276" s="3"/>
    </row>
    <row r="277" spans="1:46" ht="15">
      <c r="A277" s="64" t="s">
        <v>2240</v>
      </c>
      <c r="B277" s="65"/>
      <c r="C277" s="65"/>
      <c r="D277" s="66">
        <v>150</v>
      </c>
      <c r="E277" s="102">
        <v>97.85714285714286</v>
      </c>
      <c r="F277" s="98" t="str">
        <f>HYPERLINK("https://i.ytimg.com/vi/3QJAhrDNdxY/default.jpg")</f>
        <v>https://i.ytimg.com/vi/3QJAhrDNdxY/default.jpg</v>
      </c>
      <c r="G277" s="100"/>
      <c r="H277" s="69" t="s">
        <v>2717</v>
      </c>
      <c r="I277" s="70"/>
      <c r="J277" s="104" t="s">
        <v>159</v>
      </c>
      <c r="K277" s="69" t="s">
        <v>2717</v>
      </c>
      <c r="L277" s="105">
        <v>1</v>
      </c>
      <c r="M277" s="74">
        <v>8236.236328125</v>
      </c>
      <c r="N277" s="74">
        <v>4088.59130859375</v>
      </c>
      <c r="O277" s="75"/>
      <c r="P277" s="76"/>
      <c r="Q277" s="76"/>
      <c r="R277" s="106"/>
      <c r="S277" s="48">
        <v>1</v>
      </c>
      <c r="T277" s="48">
        <v>0</v>
      </c>
      <c r="U277" s="49">
        <v>0</v>
      </c>
      <c r="V277" s="49">
        <v>0.016016</v>
      </c>
      <c r="W277" s="107"/>
      <c r="X277" s="50"/>
      <c r="Y277" s="50"/>
      <c r="Z277" s="49">
        <v>0</v>
      </c>
      <c r="AA277" s="71">
        <v>277</v>
      </c>
      <c r="AB277" s="71"/>
      <c r="AC277" s="72"/>
      <c r="AD277" s="79" t="s">
        <v>2717</v>
      </c>
      <c r="AE277" s="79"/>
      <c r="AF277" s="79"/>
      <c r="AG277" s="79" t="s">
        <v>1605</v>
      </c>
      <c r="AH277" s="79" t="s">
        <v>4083</v>
      </c>
      <c r="AI277" s="79">
        <v>19</v>
      </c>
      <c r="AJ277" s="79">
        <v>0</v>
      </c>
      <c r="AK277" s="79">
        <v>0</v>
      </c>
      <c r="AL277" s="79">
        <v>0</v>
      </c>
      <c r="AM277" s="79" t="s">
        <v>2092</v>
      </c>
      <c r="AN277" s="114" t="str">
        <f>HYPERLINK("https://www.youtube.com/watch?v=3QJAhrDNdxY")</f>
        <v>https://www.youtube.com/watch?v=3QJAhrDNdxY</v>
      </c>
      <c r="AO277" s="78" t="str">
        <f>REPLACE(INDEX(GroupVertices[Group],MATCH(Vertices[[#This Row],[Vertex]],GroupVertices[Vertex],0)),1,1,"")</f>
        <v>TSU Online</v>
      </c>
      <c r="AP277" s="2"/>
      <c r="AQ277" s="3"/>
      <c r="AR277" s="3"/>
      <c r="AS277" s="3"/>
      <c r="AT277" s="3"/>
    </row>
    <row r="278" spans="1:46" ht="15">
      <c r="A278" s="64" t="s">
        <v>2241</v>
      </c>
      <c r="B278" s="65"/>
      <c r="C278" s="65"/>
      <c r="D278" s="66">
        <v>150</v>
      </c>
      <c r="E278" s="102">
        <v>97.85714285714286</v>
      </c>
      <c r="F278" s="98" t="str">
        <f>HYPERLINK("https://i.ytimg.com/vi/ED4GPTeXiGY/default.jpg")</f>
        <v>https://i.ytimg.com/vi/ED4GPTeXiGY/default.jpg</v>
      </c>
      <c r="G278" s="100"/>
      <c r="H278" s="69" t="s">
        <v>2718</v>
      </c>
      <c r="I278" s="70"/>
      <c r="J278" s="104" t="s">
        <v>159</v>
      </c>
      <c r="K278" s="69" t="s">
        <v>2718</v>
      </c>
      <c r="L278" s="105">
        <v>1</v>
      </c>
      <c r="M278" s="74">
        <v>6572.30126953125</v>
      </c>
      <c r="N278" s="74">
        <v>4595.48291015625</v>
      </c>
      <c r="O278" s="75"/>
      <c r="P278" s="76"/>
      <c r="Q278" s="76"/>
      <c r="R278" s="106"/>
      <c r="S278" s="48">
        <v>1</v>
      </c>
      <c r="T278" s="48">
        <v>0</v>
      </c>
      <c r="U278" s="49">
        <v>0</v>
      </c>
      <c r="V278" s="49">
        <v>0.016016</v>
      </c>
      <c r="W278" s="107"/>
      <c r="X278" s="50"/>
      <c r="Y278" s="50"/>
      <c r="Z278" s="49">
        <v>0</v>
      </c>
      <c r="AA278" s="71">
        <v>278</v>
      </c>
      <c r="AB278" s="71"/>
      <c r="AC278" s="72"/>
      <c r="AD278" s="79" t="s">
        <v>2718</v>
      </c>
      <c r="AE278" s="79"/>
      <c r="AF278" s="79"/>
      <c r="AG278" s="79" t="s">
        <v>1605</v>
      </c>
      <c r="AH278" s="79" t="s">
        <v>4084</v>
      </c>
      <c r="AI278" s="79">
        <v>36</v>
      </c>
      <c r="AJ278" s="79">
        <v>0</v>
      </c>
      <c r="AK278" s="79">
        <v>0</v>
      </c>
      <c r="AL278" s="79">
        <v>0</v>
      </c>
      <c r="AM278" s="79" t="s">
        <v>2092</v>
      </c>
      <c r="AN278" s="114" t="str">
        <f>HYPERLINK("https://www.youtube.com/watch?v=ED4GPTeXiGY")</f>
        <v>https://www.youtube.com/watch?v=ED4GPTeXiGY</v>
      </c>
      <c r="AO278" s="78" t="str">
        <f>REPLACE(INDEX(GroupVertices[Group],MATCH(Vertices[[#This Row],[Vertex]],GroupVertices[Vertex],0)),1,1,"")</f>
        <v>TSU Online</v>
      </c>
      <c r="AP278" s="2"/>
      <c r="AQ278" s="3"/>
      <c r="AR278" s="3"/>
      <c r="AS278" s="3"/>
      <c r="AT278" s="3"/>
    </row>
    <row r="279" spans="1:46" ht="15">
      <c r="A279" s="64" t="s">
        <v>2242</v>
      </c>
      <c r="B279" s="65"/>
      <c r="C279" s="65"/>
      <c r="D279" s="66">
        <v>150</v>
      </c>
      <c r="E279" s="102">
        <v>97.85714285714286</v>
      </c>
      <c r="F279" s="98" t="str">
        <f>HYPERLINK("https://i.ytimg.com/vi/5CK8BSXYKJ0/default.jpg")</f>
        <v>https://i.ytimg.com/vi/5CK8BSXYKJ0/default.jpg</v>
      </c>
      <c r="G279" s="100"/>
      <c r="H279" s="69" t="s">
        <v>2719</v>
      </c>
      <c r="I279" s="70"/>
      <c r="J279" s="104" t="s">
        <v>159</v>
      </c>
      <c r="K279" s="69" t="s">
        <v>2719</v>
      </c>
      <c r="L279" s="105">
        <v>1</v>
      </c>
      <c r="M279" s="74">
        <v>6928.3359375</v>
      </c>
      <c r="N279" s="74">
        <v>4636.111328125</v>
      </c>
      <c r="O279" s="75"/>
      <c r="P279" s="76"/>
      <c r="Q279" s="76"/>
      <c r="R279" s="106"/>
      <c r="S279" s="48">
        <v>1</v>
      </c>
      <c r="T279" s="48">
        <v>0</v>
      </c>
      <c r="U279" s="49">
        <v>0</v>
      </c>
      <c r="V279" s="49">
        <v>0.016016</v>
      </c>
      <c r="W279" s="107"/>
      <c r="X279" s="50"/>
      <c r="Y279" s="50"/>
      <c r="Z279" s="49">
        <v>0</v>
      </c>
      <c r="AA279" s="71">
        <v>279</v>
      </c>
      <c r="AB279" s="71"/>
      <c r="AC279" s="72"/>
      <c r="AD279" s="79" t="s">
        <v>2719</v>
      </c>
      <c r="AE279" s="79"/>
      <c r="AF279" s="79"/>
      <c r="AG279" s="79" t="s">
        <v>1605</v>
      </c>
      <c r="AH279" s="79" t="s">
        <v>4085</v>
      </c>
      <c r="AI279" s="79">
        <v>18</v>
      </c>
      <c r="AJ279" s="79">
        <v>0</v>
      </c>
      <c r="AK279" s="79">
        <v>0</v>
      </c>
      <c r="AL279" s="79">
        <v>0</v>
      </c>
      <c r="AM279" s="79" t="s">
        <v>2092</v>
      </c>
      <c r="AN279" s="114" t="str">
        <f>HYPERLINK("https://www.youtube.com/watch?v=5CK8BSXYKJ0")</f>
        <v>https://www.youtube.com/watch?v=5CK8BSXYKJ0</v>
      </c>
      <c r="AO279" s="78" t="str">
        <f>REPLACE(INDEX(GroupVertices[Group],MATCH(Vertices[[#This Row],[Vertex]],GroupVertices[Vertex],0)),1,1,"")</f>
        <v>TSU Online</v>
      </c>
      <c r="AP279" s="2"/>
      <c r="AQ279" s="3"/>
      <c r="AR279" s="3"/>
      <c r="AS279" s="3"/>
      <c r="AT279" s="3"/>
    </row>
    <row r="280" spans="1:46" ht="15">
      <c r="A280" s="64" t="s">
        <v>2243</v>
      </c>
      <c r="B280" s="65"/>
      <c r="C280" s="65"/>
      <c r="D280" s="66">
        <v>150</v>
      </c>
      <c r="E280" s="102">
        <v>97.85714285714286</v>
      </c>
      <c r="F280" s="98" t="str">
        <f>HYPERLINK("https://i.ytimg.com/vi/J2M8TMgDiJE/default.jpg")</f>
        <v>https://i.ytimg.com/vi/J2M8TMgDiJE/default.jpg</v>
      </c>
      <c r="G280" s="100"/>
      <c r="H280" s="69" t="s">
        <v>2720</v>
      </c>
      <c r="I280" s="70"/>
      <c r="J280" s="104" t="s">
        <v>159</v>
      </c>
      <c r="K280" s="69" t="s">
        <v>2720</v>
      </c>
      <c r="L280" s="105">
        <v>1</v>
      </c>
      <c r="M280" s="74">
        <v>7401.02734375</v>
      </c>
      <c r="N280" s="74">
        <v>5214.99560546875</v>
      </c>
      <c r="O280" s="75"/>
      <c r="P280" s="76"/>
      <c r="Q280" s="76"/>
      <c r="R280" s="106"/>
      <c r="S280" s="48">
        <v>1</v>
      </c>
      <c r="T280" s="48">
        <v>0</v>
      </c>
      <c r="U280" s="49">
        <v>0</v>
      </c>
      <c r="V280" s="49">
        <v>0.016016</v>
      </c>
      <c r="W280" s="107"/>
      <c r="X280" s="50"/>
      <c r="Y280" s="50"/>
      <c r="Z280" s="49">
        <v>0</v>
      </c>
      <c r="AA280" s="71">
        <v>280</v>
      </c>
      <c r="AB280" s="71"/>
      <c r="AC280" s="72"/>
      <c r="AD280" s="79" t="s">
        <v>2720</v>
      </c>
      <c r="AE280" s="79"/>
      <c r="AF280" s="79"/>
      <c r="AG280" s="79" t="s">
        <v>1605</v>
      </c>
      <c r="AH280" s="79" t="s">
        <v>4086</v>
      </c>
      <c r="AI280" s="79">
        <v>75</v>
      </c>
      <c r="AJ280" s="79">
        <v>0</v>
      </c>
      <c r="AK280" s="79">
        <v>0</v>
      </c>
      <c r="AL280" s="79">
        <v>0</v>
      </c>
      <c r="AM280" s="79" t="s">
        <v>2092</v>
      </c>
      <c r="AN280" s="114" t="str">
        <f>HYPERLINK("https://www.youtube.com/watch?v=J2M8TMgDiJE")</f>
        <v>https://www.youtube.com/watch?v=J2M8TMgDiJE</v>
      </c>
      <c r="AO280" s="78" t="str">
        <f>REPLACE(INDEX(GroupVertices[Group],MATCH(Vertices[[#This Row],[Vertex]],GroupVertices[Vertex],0)),1,1,"")</f>
        <v>TSU Online</v>
      </c>
      <c r="AP280" s="2"/>
      <c r="AQ280" s="3"/>
      <c r="AR280" s="3"/>
      <c r="AS280" s="3"/>
      <c r="AT280" s="3"/>
    </row>
    <row r="281" spans="1:46" ht="15">
      <c r="A281" s="64" t="s">
        <v>416</v>
      </c>
      <c r="B281" s="65"/>
      <c r="C281" s="65"/>
      <c r="D281" s="66">
        <v>150</v>
      </c>
      <c r="E281" s="102">
        <v>97.85714285714286</v>
      </c>
      <c r="F281" s="98" t="str">
        <f>HYPERLINK("https://i.ytimg.com/vi/kTsp38TRAgo/default.jpg")</f>
        <v>https://i.ytimg.com/vi/kTsp38TRAgo/default.jpg</v>
      </c>
      <c r="G281" s="100"/>
      <c r="H281" s="69" t="s">
        <v>832</v>
      </c>
      <c r="I281" s="70"/>
      <c r="J281" s="104" t="s">
        <v>159</v>
      </c>
      <c r="K281" s="69" t="s">
        <v>832</v>
      </c>
      <c r="L281" s="105">
        <v>1</v>
      </c>
      <c r="M281" s="74">
        <v>7804.78662109375</v>
      </c>
      <c r="N281" s="74">
        <v>3776.705322265625</v>
      </c>
      <c r="O281" s="75"/>
      <c r="P281" s="76"/>
      <c r="Q281" s="76"/>
      <c r="R281" s="106"/>
      <c r="S281" s="48">
        <v>1</v>
      </c>
      <c r="T281" s="48">
        <v>0</v>
      </c>
      <c r="U281" s="49">
        <v>0</v>
      </c>
      <c r="V281" s="49">
        <v>0.016016</v>
      </c>
      <c r="W281" s="107"/>
      <c r="X281" s="50"/>
      <c r="Y281" s="50"/>
      <c r="Z281" s="49">
        <v>0</v>
      </c>
      <c r="AA281" s="71">
        <v>281</v>
      </c>
      <c r="AB281" s="71"/>
      <c r="AC281" s="72"/>
      <c r="AD281" s="79" t="s">
        <v>832</v>
      </c>
      <c r="AE281" s="79"/>
      <c r="AF281" s="79"/>
      <c r="AG281" s="79" t="s">
        <v>1605</v>
      </c>
      <c r="AH281" s="79" t="s">
        <v>1888</v>
      </c>
      <c r="AI281" s="79">
        <v>595</v>
      </c>
      <c r="AJ281" s="79">
        <v>0</v>
      </c>
      <c r="AK281" s="79">
        <v>0</v>
      </c>
      <c r="AL281" s="79">
        <v>0</v>
      </c>
      <c r="AM281" s="79" t="s">
        <v>2092</v>
      </c>
      <c r="AN281" s="114" t="str">
        <f>HYPERLINK("https://www.youtube.com/watch?v=kTsp38TRAgo")</f>
        <v>https://www.youtube.com/watch?v=kTsp38TRAgo</v>
      </c>
      <c r="AO281" s="78" t="str">
        <f>REPLACE(INDEX(GroupVertices[Group],MATCH(Vertices[[#This Row],[Vertex]],GroupVertices[Vertex],0)),1,1,"")</f>
        <v>TSU Online</v>
      </c>
      <c r="AP281" s="2"/>
      <c r="AQ281" s="3"/>
      <c r="AR281" s="3"/>
      <c r="AS281" s="3"/>
      <c r="AT281" s="3"/>
    </row>
    <row r="282" spans="1:46" ht="15">
      <c r="A282" s="64" t="s">
        <v>417</v>
      </c>
      <c r="B282" s="65"/>
      <c r="C282" s="65"/>
      <c r="D282" s="66">
        <v>150</v>
      </c>
      <c r="E282" s="102">
        <v>97.85714285714286</v>
      </c>
      <c r="F282" s="98" t="str">
        <f>HYPERLINK("https://i.ytimg.com/vi/DhIJDg1ON8s/default.jpg")</f>
        <v>https://i.ytimg.com/vi/DhIJDg1ON8s/default.jpg</v>
      </c>
      <c r="G282" s="100"/>
      <c r="H282" s="69" t="s">
        <v>833</v>
      </c>
      <c r="I282" s="70"/>
      <c r="J282" s="104" t="s">
        <v>159</v>
      </c>
      <c r="K282" s="69" t="s">
        <v>833</v>
      </c>
      <c r="L282" s="105">
        <v>1</v>
      </c>
      <c r="M282" s="74">
        <v>8317.853515625</v>
      </c>
      <c r="N282" s="74">
        <v>4739.97021484375</v>
      </c>
      <c r="O282" s="75"/>
      <c r="P282" s="76"/>
      <c r="Q282" s="76"/>
      <c r="R282" s="106"/>
      <c r="S282" s="48">
        <v>1</v>
      </c>
      <c r="T282" s="48">
        <v>0</v>
      </c>
      <c r="U282" s="49">
        <v>0</v>
      </c>
      <c r="V282" s="49">
        <v>0.016016</v>
      </c>
      <c r="W282" s="107"/>
      <c r="X282" s="50"/>
      <c r="Y282" s="50"/>
      <c r="Z282" s="49">
        <v>0</v>
      </c>
      <c r="AA282" s="71">
        <v>282</v>
      </c>
      <c r="AB282" s="71"/>
      <c r="AC282" s="72"/>
      <c r="AD282" s="79" t="s">
        <v>833</v>
      </c>
      <c r="AE282" s="79"/>
      <c r="AF282" s="79"/>
      <c r="AG282" s="79" t="s">
        <v>1605</v>
      </c>
      <c r="AH282" s="79" t="s">
        <v>1889</v>
      </c>
      <c r="AI282" s="79">
        <v>1990</v>
      </c>
      <c r="AJ282" s="79">
        <v>0</v>
      </c>
      <c r="AK282" s="79">
        <v>0</v>
      </c>
      <c r="AL282" s="79">
        <v>0</v>
      </c>
      <c r="AM282" s="79" t="s">
        <v>2092</v>
      </c>
      <c r="AN282" s="114" t="str">
        <f>HYPERLINK("https://www.youtube.com/watch?v=DhIJDg1ON8s")</f>
        <v>https://www.youtube.com/watch?v=DhIJDg1ON8s</v>
      </c>
      <c r="AO282" s="78" t="str">
        <f>REPLACE(INDEX(GroupVertices[Group],MATCH(Vertices[[#This Row],[Vertex]],GroupVertices[Vertex],0)),1,1,"")</f>
        <v>TSU Online</v>
      </c>
      <c r="AP282" s="2"/>
      <c r="AQ282" s="3"/>
      <c r="AR282" s="3"/>
      <c r="AS282" s="3"/>
      <c r="AT282" s="3"/>
    </row>
    <row r="283" spans="1:46" ht="15">
      <c r="A283" s="64" t="s">
        <v>2244</v>
      </c>
      <c r="B283" s="65"/>
      <c r="C283" s="65"/>
      <c r="D283" s="66">
        <v>150</v>
      </c>
      <c r="E283" s="102">
        <v>97.85714285714286</v>
      </c>
      <c r="F283" s="98" t="str">
        <f>HYPERLINK("https://i.ytimg.com/vi/KryE8FgyLww/default.jpg")</f>
        <v>https://i.ytimg.com/vi/KryE8FgyLww/default.jpg</v>
      </c>
      <c r="G283" s="100"/>
      <c r="H283" s="69" t="s">
        <v>2721</v>
      </c>
      <c r="I283" s="70"/>
      <c r="J283" s="104" t="s">
        <v>159</v>
      </c>
      <c r="K283" s="69" t="s">
        <v>2721</v>
      </c>
      <c r="L283" s="105">
        <v>1</v>
      </c>
      <c r="M283" s="74">
        <v>7365.26708984375</v>
      </c>
      <c r="N283" s="74">
        <v>3735.258544921875</v>
      </c>
      <c r="O283" s="75"/>
      <c r="P283" s="76"/>
      <c r="Q283" s="76"/>
      <c r="R283" s="106"/>
      <c r="S283" s="48">
        <v>1</v>
      </c>
      <c r="T283" s="48">
        <v>0</v>
      </c>
      <c r="U283" s="49">
        <v>0</v>
      </c>
      <c r="V283" s="49">
        <v>0.016016</v>
      </c>
      <c r="W283" s="107"/>
      <c r="X283" s="50"/>
      <c r="Y283" s="50"/>
      <c r="Z283" s="49">
        <v>0</v>
      </c>
      <c r="AA283" s="71">
        <v>283</v>
      </c>
      <c r="AB283" s="71"/>
      <c r="AC283" s="72"/>
      <c r="AD283" s="79" t="s">
        <v>2721</v>
      </c>
      <c r="AE283" s="79"/>
      <c r="AF283" s="79"/>
      <c r="AG283" s="79" t="s">
        <v>1605</v>
      </c>
      <c r="AH283" s="79" t="s">
        <v>4087</v>
      </c>
      <c r="AI283" s="79">
        <v>17</v>
      </c>
      <c r="AJ283" s="79">
        <v>0</v>
      </c>
      <c r="AK283" s="79">
        <v>0</v>
      </c>
      <c r="AL283" s="79">
        <v>0</v>
      </c>
      <c r="AM283" s="79" t="s">
        <v>2092</v>
      </c>
      <c r="AN283" s="114" t="str">
        <f>HYPERLINK("https://www.youtube.com/watch?v=KryE8FgyLww")</f>
        <v>https://www.youtube.com/watch?v=KryE8FgyLww</v>
      </c>
      <c r="AO283" s="78" t="str">
        <f>REPLACE(INDEX(GroupVertices[Group],MATCH(Vertices[[#This Row],[Vertex]],GroupVertices[Vertex],0)),1,1,"")</f>
        <v>TSU Online</v>
      </c>
      <c r="AP283" s="2"/>
      <c r="AQ283" s="3"/>
      <c r="AR283" s="3"/>
      <c r="AS283" s="3"/>
      <c r="AT283" s="3"/>
    </row>
    <row r="284" spans="1:46" ht="15">
      <c r="A284" s="64" t="s">
        <v>2245</v>
      </c>
      <c r="B284" s="65"/>
      <c r="C284" s="65"/>
      <c r="D284" s="66">
        <v>150</v>
      </c>
      <c r="E284" s="102">
        <v>97.85714285714286</v>
      </c>
      <c r="F284" s="98" t="str">
        <f>HYPERLINK("https://i.ytimg.com/vi/Jc4oZUrp3BE/default.jpg")</f>
        <v>https://i.ytimg.com/vi/Jc4oZUrp3BE/default.jpg</v>
      </c>
      <c r="G284" s="100"/>
      <c r="H284" s="69" t="s">
        <v>2722</v>
      </c>
      <c r="I284" s="70"/>
      <c r="J284" s="104" t="s">
        <v>159</v>
      </c>
      <c r="K284" s="69" t="s">
        <v>2722</v>
      </c>
      <c r="L284" s="105">
        <v>1</v>
      </c>
      <c r="M284" s="74">
        <v>7119.07421875</v>
      </c>
      <c r="N284" s="74">
        <v>5150.333984375</v>
      </c>
      <c r="O284" s="75"/>
      <c r="P284" s="76"/>
      <c r="Q284" s="76"/>
      <c r="R284" s="106"/>
      <c r="S284" s="48">
        <v>1</v>
      </c>
      <c r="T284" s="48">
        <v>0</v>
      </c>
      <c r="U284" s="49">
        <v>0</v>
      </c>
      <c r="V284" s="49">
        <v>0.016016</v>
      </c>
      <c r="W284" s="107"/>
      <c r="X284" s="50"/>
      <c r="Y284" s="50"/>
      <c r="Z284" s="49">
        <v>0</v>
      </c>
      <c r="AA284" s="71">
        <v>284</v>
      </c>
      <c r="AB284" s="71"/>
      <c r="AC284" s="72"/>
      <c r="AD284" s="79" t="s">
        <v>2722</v>
      </c>
      <c r="AE284" s="79"/>
      <c r="AF284" s="79"/>
      <c r="AG284" s="79" t="s">
        <v>1605</v>
      </c>
      <c r="AH284" s="79" t="s">
        <v>4088</v>
      </c>
      <c r="AI284" s="79">
        <v>25</v>
      </c>
      <c r="AJ284" s="79">
        <v>0</v>
      </c>
      <c r="AK284" s="79">
        <v>0</v>
      </c>
      <c r="AL284" s="79">
        <v>0</v>
      </c>
      <c r="AM284" s="79" t="s">
        <v>2092</v>
      </c>
      <c r="AN284" s="114" t="str">
        <f>HYPERLINK("https://www.youtube.com/watch?v=Jc4oZUrp3BE")</f>
        <v>https://www.youtube.com/watch?v=Jc4oZUrp3BE</v>
      </c>
      <c r="AO284" s="78" t="str">
        <f>REPLACE(INDEX(GroupVertices[Group],MATCH(Vertices[[#This Row],[Vertex]],GroupVertices[Vertex],0)),1,1,"")</f>
        <v>TSU Online</v>
      </c>
      <c r="AP284" s="2"/>
      <c r="AQ284" s="3"/>
      <c r="AR284" s="3"/>
      <c r="AS284" s="3"/>
      <c r="AT284" s="3"/>
    </row>
    <row r="285" spans="1:46" ht="15">
      <c r="A285" s="64" t="s">
        <v>415</v>
      </c>
      <c r="B285" s="65"/>
      <c r="C285" s="65"/>
      <c r="D285" s="66">
        <v>150</v>
      </c>
      <c r="E285" s="102">
        <v>97.85714285714286</v>
      </c>
      <c r="F285" s="98" t="str">
        <f>HYPERLINK("https://i.ytimg.com/vi/RiH_ow_DY0k/default.jpg")</f>
        <v>https://i.ytimg.com/vi/RiH_ow_DY0k/default.jpg</v>
      </c>
      <c r="G285" s="100"/>
      <c r="H285" s="69" t="s">
        <v>831</v>
      </c>
      <c r="I285" s="70"/>
      <c r="J285" s="104" t="s">
        <v>159</v>
      </c>
      <c r="K285" s="69" t="s">
        <v>831</v>
      </c>
      <c r="L285" s="105">
        <v>1</v>
      </c>
      <c r="M285" s="74">
        <v>7000.81591796875</v>
      </c>
      <c r="N285" s="74">
        <v>4329.50537109375</v>
      </c>
      <c r="O285" s="75"/>
      <c r="P285" s="76"/>
      <c r="Q285" s="76"/>
      <c r="R285" s="106"/>
      <c r="S285" s="48">
        <v>1</v>
      </c>
      <c r="T285" s="48">
        <v>0</v>
      </c>
      <c r="U285" s="49">
        <v>0</v>
      </c>
      <c r="V285" s="49">
        <v>0.016016</v>
      </c>
      <c r="W285" s="107"/>
      <c r="X285" s="50"/>
      <c r="Y285" s="50"/>
      <c r="Z285" s="49">
        <v>0</v>
      </c>
      <c r="AA285" s="71">
        <v>285</v>
      </c>
      <c r="AB285" s="71"/>
      <c r="AC285" s="72"/>
      <c r="AD285" s="79" t="s">
        <v>831</v>
      </c>
      <c r="AE285" s="79"/>
      <c r="AF285" s="79"/>
      <c r="AG285" s="79" t="s">
        <v>1605</v>
      </c>
      <c r="AH285" s="79" t="s">
        <v>1887</v>
      </c>
      <c r="AI285" s="79">
        <v>20</v>
      </c>
      <c r="AJ285" s="79">
        <v>0</v>
      </c>
      <c r="AK285" s="79">
        <v>0</v>
      </c>
      <c r="AL285" s="79">
        <v>0</v>
      </c>
      <c r="AM285" s="79" t="s">
        <v>2092</v>
      </c>
      <c r="AN285" s="114" t="str">
        <f>HYPERLINK("https://www.youtube.com/watch?v=RiH_ow_DY0k")</f>
        <v>https://www.youtube.com/watch?v=RiH_ow_DY0k</v>
      </c>
      <c r="AO285" s="78" t="str">
        <f>REPLACE(INDEX(GroupVertices[Group],MATCH(Vertices[[#This Row],[Vertex]],GroupVertices[Vertex],0)),1,1,"")</f>
        <v>TSU Online</v>
      </c>
      <c r="AP285" s="2"/>
      <c r="AQ285" s="3"/>
      <c r="AR285" s="3"/>
      <c r="AS285" s="3"/>
      <c r="AT285" s="3"/>
    </row>
    <row r="286" spans="1:46" ht="15">
      <c r="A286" s="64" t="s">
        <v>418</v>
      </c>
      <c r="B286" s="65"/>
      <c r="C286" s="65"/>
      <c r="D286" s="66">
        <v>150</v>
      </c>
      <c r="E286" s="102">
        <v>97.85714285714286</v>
      </c>
      <c r="F286" s="98" t="str">
        <f>HYPERLINK("https://i.ytimg.com/vi/VW0LwbRiyhM/default.jpg")</f>
        <v>https://i.ytimg.com/vi/VW0LwbRiyhM/default.jpg</v>
      </c>
      <c r="G286" s="100"/>
      <c r="H286" s="69" t="s">
        <v>834</v>
      </c>
      <c r="I286" s="70"/>
      <c r="J286" s="104" t="s">
        <v>159</v>
      </c>
      <c r="K286" s="69" t="s">
        <v>834</v>
      </c>
      <c r="L286" s="105">
        <v>1</v>
      </c>
      <c r="M286" s="74">
        <v>8190.85546875</v>
      </c>
      <c r="N286" s="74">
        <v>4939.6337890625</v>
      </c>
      <c r="O286" s="75"/>
      <c r="P286" s="76"/>
      <c r="Q286" s="76"/>
      <c r="R286" s="106"/>
      <c r="S286" s="48">
        <v>1</v>
      </c>
      <c r="T286" s="48">
        <v>0</v>
      </c>
      <c r="U286" s="49">
        <v>0</v>
      </c>
      <c r="V286" s="49">
        <v>0.016016</v>
      </c>
      <c r="W286" s="107"/>
      <c r="X286" s="50"/>
      <c r="Y286" s="50"/>
      <c r="Z286" s="49">
        <v>0</v>
      </c>
      <c r="AA286" s="71">
        <v>286</v>
      </c>
      <c r="AB286" s="71"/>
      <c r="AC286" s="72"/>
      <c r="AD286" s="79" t="s">
        <v>834</v>
      </c>
      <c r="AE286" s="79" t="s">
        <v>1152</v>
      </c>
      <c r="AF286" s="79" t="s">
        <v>1395</v>
      </c>
      <c r="AG286" s="79" t="s">
        <v>1605</v>
      </c>
      <c r="AH286" s="79" t="s">
        <v>1890</v>
      </c>
      <c r="AI286" s="79">
        <v>531</v>
      </c>
      <c r="AJ286" s="79">
        <v>1</v>
      </c>
      <c r="AK286" s="79">
        <v>3</v>
      </c>
      <c r="AL286" s="79">
        <v>0</v>
      </c>
      <c r="AM286" s="79" t="s">
        <v>2092</v>
      </c>
      <c r="AN286" s="114" t="str">
        <f>HYPERLINK("https://www.youtube.com/watch?v=VW0LwbRiyhM")</f>
        <v>https://www.youtube.com/watch?v=VW0LwbRiyhM</v>
      </c>
      <c r="AO286" s="78" t="str">
        <f>REPLACE(INDEX(GroupVertices[Group],MATCH(Vertices[[#This Row],[Vertex]],GroupVertices[Vertex],0)),1,1,"")</f>
        <v>TSU Online</v>
      </c>
      <c r="AP286" s="2"/>
      <c r="AQ286" s="3"/>
      <c r="AR286" s="3"/>
      <c r="AS286" s="3"/>
      <c r="AT286" s="3"/>
    </row>
    <row r="287" spans="1:46" ht="15">
      <c r="A287" s="64" t="s">
        <v>2246</v>
      </c>
      <c r="B287" s="65"/>
      <c r="C287" s="65"/>
      <c r="D287" s="66">
        <v>150</v>
      </c>
      <c r="E287" s="102">
        <v>97.85714285714286</v>
      </c>
      <c r="F287" s="98" t="str">
        <f>HYPERLINK("https://i.ytimg.com/vi/1Eon18msFQI/default.jpg")</f>
        <v>https://i.ytimg.com/vi/1Eon18msFQI/default.jpg</v>
      </c>
      <c r="G287" s="100"/>
      <c r="H287" s="69" t="s">
        <v>2723</v>
      </c>
      <c r="I287" s="70"/>
      <c r="J287" s="104" t="s">
        <v>159</v>
      </c>
      <c r="K287" s="69" t="s">
        <v>2723</v>
      </c>
      <c r="L287" s="105">
        <v>1</v>
      </c>
      <c r="M287" s="74">
        <v>2869.101806640625</v>
      </c>
      <c r="N287" s="74">
        <v>2700.88720703125</v>
      </c>
      <c r="O287" s="75"/>
      <c r="P287" s="76"/>
      <c r="Q287" s="76"/>
      <c r="R287" s="106"/>
      <c r="S287" s="48">
        <v>1</v>
      </c>
      <c r="T287" s="48">
        <v>0</v>
      </c>
      <c r="U287" s="49">
        <v>0</v>
      </c>
      <c r="V287" s="49">
        <v>0.170017</v>
      </c>
      <c r="W287" s="107"/>
      <c r="X287" s="50"/>
      <c r="Y287" s="50"/>
      <c r="Z287" s="49">
        <v>0</v>
      </c>
      <c r="AA287" s="71">
        <v>287</v>
      </c>
      <c r="AB287" s="71"/>
      <c r="AC287" s="72"/>
      <c r="AD287" s="79" t="s">
        <v>2723</v>
      </c>
      <c r="AE287" s="79"/>
      <c r="AF287" s="79"/>
      <c r="AG287" s="79" t="s">
        <v>3766</v>
      </c>
      <c r="AH287" s="79" t="s">
        <v>4089</v>
      </c>
      <c r="AI287" s="79">
        <v>0</v>
      </c>
      <c r="AJ287" s="79">
        <v>0</v>
      </c>
      <c r="AK287" s="79">
        <v>0</v>
      </c>
      <c r="AL287" s="79">
        <v>0</v>
      </c>
      <c r="AM287" s="79" t="s">
        <v>2092</v>
      </c>
      <c r="AN287" s="114" t="str">
        <f>HYPERLINK("https://www.youtube.com/watch?v=1Eon18msFQI")</f>
        <v>https://www.youtube.com/watch?v=1Eon18msFQI</v>
      </c>
      <c r="AO287" s="78" t="str">
        <f>REPLACE(INDEX(GroupVertices[Group],MATCH(Vertices[[#This Row],[Vertex]],GroupVertices[Vertex],0)),1,1,"")</f>
        <v>shley Watt</v>
      </c>
      <c r="AP287" s="2"/>
      <c r="AQ287" s="3"/>
      <c r="AR287" s="3"/>
      <c r="AS287" s="3"/>
      <c r="AT287" s="3"/>
    </row>
    <row r="288" spans="1:46" ht="15">
      <c r="A288" s="64" t="s">
        <v>2247</v>
      </c>
      <c r="B288" s="65"/>
      <c r="C288" s="65"/>
      <c r="D288" s="66">
        <v>150</v>
      </c>
      <c r="E288" s="102">
        <v>97.85714285714286</v>
      </c>
      <c r="F288" s="98" t="str">
        <f>HYPERLINK("https://i.ytimg.com/vi/IW8OnsSC7WE/default.jpg")</f>
        <v>https://i.ytimg.com/vi/IW8OnsSC7WE/default.jpg</v>
      </c>
      <c r="G288" s="100"/>
      <c r="H288" s="69" t="s">
        <v>2724</v>
      </c>
      <c r="I288" s="70"/>
      <c r="J288" s="104" t="s">
        <v>159</v>
      </c>
      <c r="K288" s="69" t="s">
        <v>2724</v>
      </c>
      <c r="L288" s="105">
        <v>1</v>
      </c>
      <c r="M288" s="74">
        <v>3629.505615234375</v>
      </c>
      <c r="N288" s="74">
        <v>2284.25439453125</v>
      </c>
      <c r="O288" s="75"/>
      <c r="P288" s="76"/>
      <c r="Q288" s="76"/>
      <c r="R288" s="106"/>
      <c r="S288" s="48">
        <v>1</v>
      </c>
      <c r="T288" s="48">
        <v>0</v>
      </c>
      <c r="U288" s="49">
        <v>0</v>
      </c>
      <c r="V288" s="49">
        <v>0.170017</v>
      </c>
      <c r="W288" s="107"/>
      <c r="X288" s="50"/>
      <c r="Y288" s="50"/>
      <c r="Z288" s="49">
        <v>0</v>
      </c>
      <c r="AA288" s="71">
        <v>288</v>
      </c>
      <c r="AB288" s="71"/>
      <c r="AC288" s="72"/>
      <c r="AD288" s="79" t="s">
        <v>2724</v>
      </c>
      <c r="AE288" s="79"/>
      <c r="AF288" s="79"/>
      <c r="AG288" s="79" t="s">
        <v>3767</v>
      </c>
      <c r="AH288" s="79" t="s">
        <v>4090</v>
      </c>
      <c r="AI288" s="79">
        <v>2</v>
      </c>
      <c r="AJ288" s="79">
        <v>0</v>
      </c>
      <c r="AK288" s="79">
        <v>0</v>
      </c>
      <c r="AL288" s="79">
        <v>0</v>
      </c>
      <c r="AM288" s="79" t="s">
        <v>2092</v>
      </c>
      <c r="AN288" s="114" t="str">
        <f>HYPERLINK("https://www.youtube.com/watch?v=IW8OnsSC7WE")</f>
        <v>https://www.youtube.com/watch?v=IW8OnsSC7WE</v>
      </c>
      <c r="AO288" s="78" t="str">
        <f>REPLACE(INDEX(GroupVertices[Group],MATCH(Vertices[[#This Row],[Vertex]],GroupVertices[Vertex],0)),1,1,"")</f>
        <v>lla Brown</v>
      </c>
      <c r="AP288" s="2"/>
      <c r="AQ288" s="3"/>
      <c r="AR288" s="3"/>
      <c r="AS288" s="3"/>
      <c r="AT288" s="3"/>
    </row>
    <row r="289" spans="1:46" ht="15">
      <c r="A289" s="64" t="s">
        <v>2248</v>
      </c>
      <c r="B289" s="65"/>
      <c r="C289" s="65"/>
      <c r="D289" s="66">
        <v>150</v>
      </c>
      <c r="E289" s="102">
        <v>97.85714285714286</v>
      </c>
      <c r="F289" s="98" t="str">
        <f>HYPERLINK("https://i.ytimg.com/vi/VTdno3H8AnY/default.jpg")</f>
        <v>https://i.ytimg.com/vi/VTdno3H8AnY/default.jpg</v>
      </c>
      <c r="G289" s="100"/>
      <c r="H289" s="69" t="s">
        <v>2725</v>
      </c>
      <c r="I289" s="70"/>
      <c r="J289" s="104" t="s">
        <v>159</v>
      </c>
      <c r="K289" s="69" t="s">
        <v>2725</v>
      </c>
      <c r="L289" s="105">
        <v>1</v>
      </c>
      <c r="M289" s="74">
        <v>4443.80615234375</v>
      </c>
      <c r="N289" s="74">
        <v>3889.504638671875</v>
      </c>
      <c r="O289" s="75"/>
      <c r="P289" s="76"/>
      <c r="Q289" s="76"/>
      <c r="R289" s="106"/>
      <c r="S289" s="48">
        <v>1</v>
      </c>
      <c r="T289" s="48">
        <v>0</v>
      </c>
      <c r="U289" s="49">
        <v>0</v>
      </c>
      <c r="V289" s="49">
        <v>0.170017</v>
      </c>
      <c r="W289" s="107"/>
      <c r="X289" s="50"/>
      <c r="Y289" s="50"/>
      <c r="Z289" s="49">
        <v>0</v>
      </c>
      <c r="AA289" s="71">
        <v>289</v>
      </c>
      <c r="AB289" s="71"/>
      <c r="AC289" s="72"/>
      <c r="AD289" s="79" t="s">
        <v>2725</v>
      </c>
      <c r="AE289" s="79" t="s">
        <v>3177</v>
      </c>
      <c r="AF289" s="79"/>
      <c r="AG289" s="79" t="s">
        <v>3768</v>
      </c>
      <c r="AH289" s="79" t="s">
        <v>4091</v>
      </c>
      <c r="AI289" s="79">
        <v>12</v>
      </c>
      <c r="AJ289" s="79">
        <v>0</v>
      </c>
      <c r="AK289" s="79">
        <v>0</v>
      </c>
      <c r="AL289" s="79">
        <v>0</v>
      </c>
      <c r="AM289" s="79" t="s">
        <v>2092</v>
      </c>
      <c r="AN289" s="114" t="str">
        <f>HYPERLINK("https://www.youtube.com/watch?v=VTdno3H8AnY")</f>
        <v>https://www.youtube.com/watch?v=VTdno3H8AnY</v>
      </c>
      <c r="AO289" s="78" t="str">
        <f>REPLACE(INDEX(GroupVertices[Group],MATCH(Vertices[[#This Row],[Vertex]],GroupVertices[Vertex],0)),1,1,"")</f>
        <v>elly Murphy</v>
      </c>
      <c r="AP289" s="2"/>
      <c r="AQ289" s="3"/>
      <c r="AR289" s="3"/>
      <c r="AS289" s="3"/>
      <c r="AT289" s="3"/>
    </row>
    <row r="290" spans="1:46" ht="15">
      <c r="A290" s="64" t="s">
        <v>2249</v>
      </c>
      <c r="B290" s="65"/>
      <c r="C290" s="65"/>
      <c r="D290" s="66">
        <v>150</v>
      </c>
      <c r="E290" s="102">
        <v>97.85714285714286</v>
      </c>
      <c r="F290" s="98" t="str">
        <f>HYPERLINK("https://i.ytimg.com/vi/RW-R7bThCX0/default.jpg")</f>
        <v>https://i.ytimg.com/vi/RW-R7bThCX0/default.jpg</v>
      </c>
      <c r="G290" s="100"/>
      <c r="H290" s="69" t="s">
        <v>2726</v>
      </c>
      <c r="I290" s="70"/>
      <c r="J290" s="104" t="s">
        <v>159</v>
      </c>
      <c r="K290" s="69" t="s">
        <v>2726</v>
      </c>
      <c r="L290" s="105">
        <v>1</v>
      </c>
      <c r="M290" s="74">
        <v>3946.878662109375</v>
      </c>
      <c r="N290" s="74">
        <v>2803.71337890625</v>
      </c>
      <c r="O290" s="75"/>
      <c r="P290" s="76"/>
      <c r="Q290" s="76"/>
      <c r="R290" s="106"/>
      <c r="S290" s="48">
        <v>1</v>
      </c>
      <c r="T290" s="48">
        <v>0</v>
      </c>
      <c r="U290" s="49">
        <v>0</v>
      </c>
      <c r="V290" s="49">
        <v>0.170017</v>
      </c>
      <c r="W290" s="107"/>
      <c r="X290" s="50"/>
      <c r="Y290" s="50"/>
      <c r="Z290" s="49">
        <v>0</v>
      </c>
      <c r="AA290" s="71">
        <v>290</v>
      </c>
      <c r="AB290" s="71"/>
      <c r="AC290" s="72"/>
      <c r="AD290" s="79" t="s">
        <v>2726</v>
      </c>
      <c r="AE290" s="79"/>
      <c r="AF290" s="79"/>
      <c r="AG290" s="79" t="s">
        <v>3769</v>
      </c>
      <c r="AH290" s="79" t="s">
        <v>4092</v>
      </c>
      <c r="AI290" s="79">
        <v>3</v>
      </c>
      <c r="AJ290" s="79">
        <v>0</v>
      </c>
      <c r="AK290" s="79">
        <v>0</v>
      </c>
      <c r="AL290" s="79">
        <v>0</v>
      </c>
      <c r="AM290" s="79" t="s">
        <v>2092</v>
      </c>
      <c r="AN290" s="114" t="str">
        <f>HYPERLINK("https://www.youtube.com/watch?v=RW-R7bThCX0")</f>
        <v>https://www.youtube.com/watch?v=RW-R7bThCX0</v>
      </c>
      <c r="AO290" s="78" t="str">
        <f>REPLACE(INDEX(GroupVertices[Group],MATCH(Vertices[[#This Row],[Vertex]],GroupVertices[Vertex],0)),1,1,"")</f>
        <v>du Solve</v>
      </c>
      <c r="AP290" s="2"/>
      <c r="AQ290" s="3"/>
      <c r="AR290" s="3"/>
      <c r="AS290" s="3"/>
      <c r="AT290" s="3"/>
    </row>
    <row r="291" spans="1:46" ht="15">
      <c r="A291" s="64" t="s">
        <v>2250</v>
      </c>
      <c r="B291" s="65"/>
      <c r="C291" s="65"/>
      <c r="D291" s="66">
        <v>150</v>
      </c>
      <c r="E291" s="102">
        <v>97.85714285714286</v>
      </c>
      <c r="F291" s="98" t="str">
        <f>HYPERLINK("https://i.ytimg.com/vi/_EqBDXzmGec/default.jpg")</f>
        <v>https://i.ytimg.com/vi/_EqBDXzmGec/default.jpg</v>
      </c>
      <c r="G291" s="100"/>
      <c r="H291" s="69" t="s">
        <v>2727</v>
      </c>
      <c r="I291" s="70"/>
      <c r="J291" s="104" t="s">
        <v>159</v>
      </c>
      <c r="K291" s="69" t="s">
        <v>2727</v>
      </c>
      <c r="L291" s="105">
        <v>1</v>
      </c>
      <c r="M291" s="74">
        <v>3048.969970703125</v>
      </c>
      <c r="N291" s="74">
        <v>4509.74658203125</v>
      </c>
      <c r="O291" s="75"/>
      <c r="P291" s="76"/>
      <c r="Q291" s="76"/>
      <c r="R291" s="106"/>
      <c r="S291" s="48">
        <v>1</v>
      </c>
      <c r="T291" s="48">
        <v>0</v>
      </c>
      <c r="U291" s="49">
        <v>0</v>
      </c>
      <c r="V291" s="49">
        <v>0.170017</v>
      </c>
      <c r="W291" s="107"/>
      <c r="X291" s="50"/>
      <c r="Y291" s="50"/>
      <c r="Z291" s="49">
        <v>0</v>
      </c>
      <c r="AA291" s="71">
        <v>291</v>
      </c>
      <c r="AB291" s="71"/>
      <c r="AC291" s="72"/>
      <c r="AD291" s="79" t="s">
        <v>2727</v>
      </c>
      <c r="AE291" s="79" t="s">
        <v>3178</v>
      </c>
      <c r="AF291" s="79"/>
      <c r="AG291" s="79" t="s">
        <v>3770</v>
      </c>
      <c r="AH291" s="79" t="s">
        <v>4093</v>
      </c>
      <c r="AI291" s="79">
        <v>3</v>
      </c>
      <c r="AJ291" s="79">
        <v>0</v>
      </c>
      <c r="AK291" s="79">
        <v>0</v>
      </c>
      <c r="AL291" s="79">
        <v>0</v>
      </c>
      <c r="AM291" s="79" t="s">
        <v>2092</v>
      </c>
      <c r="AN291" s="114" t="str">
        <f>HYPERLINK("https://www.youtube.com/watch?v=_EqBDXzmGec")</f>
        <v>https://www.youtube.com/watch?v=_EqBDXzmGec</v>
      </c>
      <c r="AO291" s="78" t="str">
        <f>REPLACE(INDEX(GroupVertices[Group],MATCH(Vertices[[#This Row],[Vertex]],GroupVertices[Vertex],0)),1,1,"")</f>
        <v>aley Unruh</v>
      </c>
      <c r="AP291" s="2"/>
      <c r="AQ291" s="3"/>
      <c r="AR291" s="3"/>
      <c r="AS291" s="3"/>
      <c r="AT291" s="3"/>
    </row>
    <row r="292" spans="1:46" ht="15">
      <c r="A292" s="64" t="s">
        <v>2251</v>
      </c>
      <c r="B292" s="65"/>
      <c r="C292" s="65"/>
      <c r="D292" s="66">
        <v>150</v>
      </c>
      <c r="E292" s="102">
        <v>97.85714285714286</v>
      </c>
      <c r="F292" s="98" t="str">
        <f>HYPERLINK("https://i.ytimg.com/vi/0tCVImYbeMs/default.jpg")</f>
        <v>https://i.ytimg.com/vi/0tCVImYbeMs/default.jpg</v>
      </c>
      <c r="G292" s="100"/>
      <c r="H292" s="69" t="s">
        <v>2728</v>
      </c>
      <c r="I292" s="70"/>
      <c r="J292" s="104" t="s">
        <v>159</v>
      </c>
      <c r="K292" s="69" t="s">
        <v>2728</v>
      </c>
      <c r="L292" s="105">
        <v>1</v>
      </c>
      <c r="M292" s="74">
        <v>2917.486328125</v>
      </c>
      <c r="N292" s="74">
        <v>4311.75048828125</v>
      </c>
      <c r="O292" s="75"/>
      <c r="P292" s="76"/>
      <c r="Q292" s="76"/>
      <c r="R292" s="106"/>
      <c r="S292" s="48">
        <v>1</v>
      </c>
      <c r="T292" s="48">
        <v>0</v>
      </c>
      <c r="U292" s="49">
        <v>0</v>
      </c>
      <c r="V292" s="49">
        <v>0.170017</v>
      </c>
      <c r="W292" s="107"/>
      <c r="X292" s="50"/>
      <c r="Y292" s="50"/>
      <c r="Z292" s="49">
        <v>0</v>
      </c>
      <c r="AA292" s="71">
        <v>292</v>
      </c>
      <c r="AB292" s="71"/>
      <c r="AC292" s="72"/>
      <c r="AD292" s="79" t="s">
        <v>2728</v>
      </c>
      <c r="AE292" s="79" t="s">
        <v>3179</v>
      </c>
      <c r="AF292" s="79"/>
      <c r="AG292" s="79" t="s">
        <v>3771</v>
      </c>
      <c r="AH292" s="79" t="s">
        <v>4094</v>
      </c>
      <c r="AI292" s="79">
        <v>2</v>
      </c>
      <c r="AJ292" s="79">
        <v>0</v>
      </c>
      <c r="AK292" s="79">
        <v>0</v>
      </c>
      <c r="AL292" s="79">
        <v>0</v>
      </c>
      <c r="AM292" s="79" t="s">
        <v>2092</v>
      </c>
      <c r="AN292" s="114" t="str">
        <f>HYPERLINK("https://www.youtube.com/watch?v=0tCVImYbeMs")</f>
        <v>https://www.youtube.com/watch?v=0tCVImYbeMs</v>
      </c>
      <c r="AO292" s="78" t="str">
        <f>REPLACE(INDEX(GroupVertices[Group],MATCH(Vertices[[#This Row],[Vertex]],GroupVertices[Vertex],0)),1,1,"")</f>
        <v>kyy</v>
      </c>
      <c r="AP292" s="2"/>
      <c r="AQ292" s="3"/>
      <c r="AR292" s="3"/>
      <c r="AS292" s="3"/>
      <c r="AT292" s="3"/>
    </row>
    <row r="293" spans="1:46" ht="15">
      <c r="A293" s="64" t="s">
        <v>2252</v>
      </c>
      <c r="B293" s="65"/>
      <c r="C293" s="65"/>
      <c r="D293" s="66">
        <v>150</v>
      </c>
      <c r="E293" s="102">
        <v>97.85714285714286</v>
      </c>
      <c r="F293" s="98" t="str">
        <f>HYPERLINK("https://i.ytimg.com/vi/QBIT9Ni7Ihs/default.jpg")</f>
        <v>https://i.ytimg.com/vi/QBIT9Ni7Ihs/default.jpg</v>
      </c>
      <c r="G293" s="100"/>
      <c r="H293" s="69" t="s">
        <v>2729</v>
      </c>
      <c r="I293" s="70"/>
      <c r="J293" s="104" t="s">
        <v>159</v>
      </c>
      <c r="K293" s="69" t="s">
        <v>2729</v>
      </c>
      <c r="L293" s="105">
        <v>1</v>
      </c>
      <c r="M293" s="74">
        <v>4046.3896484375</v>
      </c>
      <c r="N293" s="74">
        <v>4549.7470703125</v>
      </c>
      <c r="O293" s="75"/>
      <c r="P293" s="76"/>
      <c r="Q293" s="76"/>
      <c r="R293" s="106"/>
      <c r="S293" s="48">
        <v>1</v>
      </c>
      <c r="T293" s="48">
        <v>0</v>
      </c>
      <c r="U293" s="49">
        <v>0</v>
      </c>
      <c r="V293" s="49">
        <v>0.170017</v>
      </c>
      <c r="W293" s="107"/>
      <c r="X293" s="50"/>
      <c r="Y293" s="50"/>
      <c r="Z293" s="49">
        <v>0</v>
      </c>
      <c r="AA293" s="71">
        <v>293</v>
      </c>
      <c r="AB293" s="71"/>
      <c r="AC293" s="72"/>
      <c r="AD293" s="79" t="s">
        <v>2729</v>
      </c>
      <c r="AE293" s="79" t="s">
        <v>3180</v>
      </c>
      <c r="AF293" s="79"/>
      <c r="AG293" s="79" t="s">
        <v>3772</v>
      </c>
      <c r="AH293" s="79" t="s">
        <v>4095</v>
      </c>
      <c r="AI293" s="79">
        <v>1</v>
      </c>
      <c r="AJ293" s="79">
        <v>0</v>
      </c>
      <c r="AK293" s="79">
        <v>0</v>
      </c>
      <c r="AL293" s="79">
        <v>0</v>
      </c>
      <c r="AM293" s="79" t="s">
        <v>2092</v>
      </c>
      <c r="AN293" s="114" t="str">
        <f>HYPERLINK("https://www.youtube.com/watch?v=QBIT9Ni7Ihs")</f>
        <v>https://www.youtube.com/watch?v=QBIT9Ni7Ihs</v>
      </c>
      <c r="AO293" s="78" t="str">
        <f>REPLACE(INDEX(GroupVertices[Group],MATCH(Vertices[[#This Row],[Vertex]],GroupVertices[Vertex],0)),1,1,"")</f>
        <v>hannon Peel</v>
      </c>
      <c r="AP293" s="2"/>
      <c r="AQ293" s="3"/>
      <c r="AR293" s="3"/>
      <c r="AS293" s="3"/>
      <c r="AT293" s="3"/>
    </row>
    <row r="294" spans="1:46" ht="15">
      <c r="A294" s="64" t="s">
        <v>2253</v>
      </c>
      <c r="B294" s="65"/>
      <c r="C294" s="65"/>
      <c r="D294" s="66">
        <v>150</v>
      </c>
      <c r="E294" s="102">
        <v>97.85714285714286</v>
      </c>
      <c r="F294" s="98" t="str">
        <f>HYPERLINK("https://i.ytimg.com/vi/ktbXvwY17Ow/default.jpg")</f>
        <v>https://i.ytimg.com/vi/ktbXvwY17Ow/default.jpg</v>
      </c>
      <c r="G294" s="100"/>
      <c r="H294" s="69" t="s">
        <v>2730</v>
      </c>
      <c r="I294" s="70"/>
      <c r="J294" s="104" t="s">
        <v>159</v>
      </c>
      <c r="K294" s="69" t="s">
        <v>2730</v>
      </c>
      <c r="L294" s="105">
        <v>1</v>
      </c>
      <c r="M294" s="74">
        <v>4436.32666015625</v>
      </c>
      <c r="N294" s="74">
        <v>3080.04296875</v>
      </c>
      <c r="O294" s="75"/>
      <c r="P294" s="76"/>
      <c r="Q294" s="76"/>
      <c r="R294" s="106"/>
      <c r="S294" s="48">
        <v>1</v>
      </c>
      <c r="T294" s="48">
        <v>0</v>
      </c>
      <c r="U294" s="49">
        <v>0</v>
      </c>
      <c r="V294" s="49">
        <v>0.170017</v>
      </c>
      <c r="W294" s="107"/>
      <c r="X294" s="50"/>
      <c r="Y294" s="50"/>
      <c r="Z294" s="49">
        <v>0</v>
      </c>
      <c r="AA294" s="71">
        <v>294</v>
      </c>
      <c r="AB294" s="71"/>
      <c r="AC294" s="72"/>
      <c r="AD294" s="79" t="s">
        <v>2730</v>
      </c>
      <c r="AE294" s="79"/>
      <c r="AF294" s="79"/>
      <c r="AG294" s="79" t="s">
        <v>3773</v>
      </c>
      <c r="AH294" s="79" t="s">
        <v>4096</v>
      </c>
      <c r="AI294" s="79">
        <v>6</v>
      </c>
      <c r="AJ294" s="79">
        <v>0</v>
      </c>
      <c r="AK294" s="79">
        <v>0</v>
      </c>
      <c r="AL294" s="79">
        <v>0</v>
      </c>
      <c r="AM294" s="79" t="s">
        <v>2092</v>
      </c>
      <c r="AN294" s="114" t="str">
        <f>HYPERLINK("https://www.youtube.com/watch?v=ktbXvwY17Ow")</f>
        <v>https://www.youtube.com/watch?v=ktbXvwY17Ow</v>
      </c>
      <c r="AO294" s="78" t="str">
        <f>REPLACE(INDEX(GroupVertices[Group],MATCH(Vertices[[#This Row],[Vertex]],GroupVertices[Vertex],0)),1,1,"")</f>
        <v>nanta Sharma</v>
      </c>
      <c r="AP294" s="2"/>
      <c r="AQ294" s="3"/>
      <c r="AR294" s="3"/>
      <c r="AS294" s="3"/>
      <c r="AT294" s="3"/>
    </row>
    <row r="295" spans="1:46" ht="15">
      <c r="A295" s="64" t="s">
        <v>2254</v>
      </c>
      <c r="B295" s="65"/>
      <c r="C295" s="65"/>
      <c r="D295" s="66">
        <v>150</v>
      </c>
      <c r="E295" s="102">
        <v>97.85714285714286</v>
      </c>
      <c r="F295" s="98" t="str">
        <f>HYPERLINK("https://i.ytimg.com/vi/XOMgxw6k53g/default.jpg")</f>
        <v>https://i.ytimg.com/vi/XOMgxw6k53g/default.jpg</v>
      </c>
      <c r="G295" s="100"/>
      <c r="H295" s="69" t="s">
        <v>2731</v>
      </c>
      <c r="I295" s="70"/>
      <c r="J295" s="104" t="s">
        <v>159</v>
      </c>
      <c r="K295" s="69" t="s">
        <v>2731</v>
      </c>
      <c r="L295" s="105">
        <v>1</v>
      </c>
      <c r="M295" s="74">
        <v>3872.75244140625</v>
      </c>
      <c r="N295" s="74">
        <v>4294.4609375</v>
      </c>
      <c r="O295" s="75"/>
      <c r="P295" s="76"/>
      <c r="Q295" s="76"/>
      <c r="R295" s="106"/>
      <c r="S295" s="48">
        <v>1</v>
      </c>
      <c r="T295" s="48">
        <v>0</v>
      </c>
      <c r="U295" s="49">
        <v>0</v>
      </c>
      <c r="V295" s="49">
        <v>0.170017</v>
      </c>
      <c r="W295" s="107"/>
      <c r="X295" s="50"/>
      <c r="Y295" s="50"/>
      <c r="Z295" s="49">
        <v>0</v>
      </c>
      <c r="AA295" s="71">
        <v>295</v>
      </c>
      <c r="AB295" s="71"/>
      <c r="AC295" s="72"/>
      <c r="AD295" s="79" t="s">
        <v>2731</v>
      </c>
      <c r="AE295" s="79" t="s">
        <v>3181</v>
      </c>
      <c r="AF295" s="79" t="s">
        <v>3548</v>
      </c>
      <c r="AG295" s="79" t="s">
        <v>3774</v>
      </c>
      <c r="AH295" s="79" t="s">
        <v>4097</v>
      </c>
      <c r="AI295" s="79">
        <v>3</v>
      </c>
      <c r="AJ295" s="79">
        <v>0</v>
      </c>
      <c r="AK295" s="79">
        <v>0</v>
      </c>
      <c r="AL295" s="79">
        <v>0</v>
      </c>
      <c r="AM295" s="79" t="s">
        <v>2092</v>
      </c>
      <c r="AN295" s="114" t="str">
        <f>HYPERLINK("https://www.youtube.com/watch?v=XOMgxw6k53g")</f>
        <v>https://www.youtube.com/watch?v=XOMgxw6k53g</v>
      </c>
      <c r="AO295" s="78" t="str">
        <f>REPLACE(INDEX(GroupVertices[Group],MATCH(Vertices[[#This Row],[Vertex]],GroupVertices[Vertex],0)),1,1,"")</f>
        <v>olleen Kachmann</v>
      </c>
      <c r="AP295" s="2"/>
      <c r="AQ295" s="3"/>
      <c r="AR295" s="3"/>
      <c r="AS295" s="3"/>
      <c r="AT295" s="3"/>
    </row>
    <row r="296" spans="1:46" ht="15">
      <c r="A296" s="64" t="s">
        <v>2255</v>
      </c>
      <c r="B296" s="65"/>
      <c r="C296" s="65"/>
      <c r="D296" s="66">
        <v>150</v>
      </c>
      <c r="E296" s="102">
        <v>97.85714285714286</v>
      </c>
      <c r="F296" s="98" t="str">
        <f>HYPERLINK("https://i.ytimg.com/vi/lYo1P07mvog/default.jpg")</f>
        <v>https://i.ytimg.com/vi/lYo1P07mvog/default.jpg</v>
      </c>
      <c r="G296" s="100"/>
      <c r="H296" s="69" t="s">
        <v>2732</v>
      </c>
      <c r="I296" s="70"/>
      <c r="J296" s="104" t="s">
        <v>159</v>
      </c>
      <c r="K296" s="69" t="s">
        <v>2732</v>
      </c>
      <c r="L296" s="105">
        <v>1</v>
      </c>
      <c r="M296" s="74">
        <v>3263.634033203125</v>
      </c>
      <c r="N296" s="74">
        <v>3732.2607421875</v>
      </c>
      <c r="O296" s="75"/>
      <c r="P296" s="76"/>
      <c r="Q296" s="76"/>
      <c r="R296" s="106"/>
      <c r="S296" s="48">
        <v>1</v>
      </c>
      <c r="T296" s="48">
        <v>0</v>
      </c>
      <c r="U296" s="49">
        <v>0</v>
      </c>
      <c r="V296" s="49">
        <v>0.170017</v>
      </c>
      <c r="W296" s="107"/>
      <c r="X296" s="50"/>
      <c r="Y296" s="50"/>
      <c r="Z296" s="49">
        <v>0</v>
      </c>
      <c r="AA296" s="71">
        <v>296</v>
      </c>
      <c r="AB296" s="71"/>
      <c r="AC296" s="72"/>
      <c r="AD296" s="79" t="s">
        <v>2732</v>
      </c>
      <c r="AE296" s="79" t="s">
        <v>3182</v>
      </c>
      <c r="AF296" s="79"/>
      <c r="AG296" s="79" t="s">
        <v>3775</v>
      </c>
      <c r="AH296" s="79" t="s">
        <v>4098</v>
      </c>
      <c r="AI296" s="79">
        <v>175</v>
      </c>
      <c r="AJ296" s="79">
        <v>0</v>
      </c>
      <c r="AK296" s="79">
        <v>3</v>
      </c>
      <c r="AL296" s="79">
        <v>0</v>
      </c>
      <c r="AM296" s="79" t="s">
        <v>2092</v>
      </c>
      <c r="AN296" s="114" t="str">
        <f>HYPERLINK("https://www.youtube.com/watch?v=lYo1P07mvog")</f>
        <v>https://www.youtube.com/watch?v=lYo1P07mvog</v>
      </c>
      <c r="AO296" s="78" t="str">
        <f>REPLACE(INDEX(GroupVertices[Group],MATCH(Vertices[[#This Row],[Vertex]],GroupVertices[Vertex],0)),1,1,"")</f>
        <v>anessa Galindo</v>
      </c>
      <c r="AP296" s="2"/>
      <c r="AQ296" s="3"/>
      <c r="AR296" s="3"/>
      <c r="AS296" s="3"/>
      <c r="AT296" s="3"/>
    </row>
    <row r="297" spans="1:46" ht="15">
      <c r="A297" s="64" t="s">
        <v>2256</v>
      </c>
      <c r="B297" s="65"/>
      <c r="C297" s="65"/>
      <c r="D297" s="66">
        <v>150</v>
      </c>
      <c r="E297" s="102">
        <v>97.85714285714286</v>
      </c>
      <c r="F297" s="98" t="str">
        <f>HYPERLINK("https://i.ytimg.com/vi/WYMtimU7qFI/default.jpg")</f>
        <v>https://i.ytimg.com/vi/WYMtimU7qFI/default.jpg</v>
      </c>
      <c r="G297" s="100"/>
      <c r="H297" s="69" t="s">
        <v>2733</v>
      </c>
      <c r="I297" s="70"/>
      <c r="J297" s="104" t="s">
        <v>159</v>
      </c>
      <c r="K297" s="69" t="s">
        <v>2733</v>
      </c>
      <c r="L297" s="105">
        <v>1</v>
      </c>
      <c r="M297" s="74">
        <v>3842.06982421875</v>
      </c>
      <c r="N297" s="74">
        <v>4657.60888671875</v>
      </c>
      <c r="O297" s="75"/>
      <c r="P297" s="76"/>
      <c r="Q297" s="76"/>
      <c r="R297" s="106"/>
      <c r="S297" s="48">
        <v>1</v>
      </c>
      <c r="T297" s="48">
        <v>0</v>
      </c>
      <c r="U297" s="49">
        <v>0</v>
      </c>
      <c r="V297" s="49">
        <v>0.170017</v>
      </c>
      <c r="W297" s="107"/>
      <c r="X297" s="50"/>
      <c r="Y297" s="50"/>
      <c r="Z297" s="49">
        <v>0</v>
      </c>
      <c r="AA297" s="71">
        <v>297</v>
      </c>
      <c r="AB297" s="71"/>
      <c r="AC297" s="72"/>
      <c r="AD297" s="79" t="s">
        <v>2733</v>
      </c>
      <c r="AE297" s="79" t="s">
        <v>3183</v>
      </c>
      <c r="AF297" s="79"/>
      <c r="AG297" s="79" t="s">
        <v>3776</v>
      </c>
      <c r="AH297" s="79" t="s">
        <v>4099</v>
      </c>
      <c r="AI297" s="79">
        <v>2</v>
      </c>
      <c r="AJ297" s="79">
        <v>0</v>
      </c>
      <c r="AK297" s="79">
        <v>0</v>
      </c>
      <c r="AL297" s="79">
        <v>0</v>
      </c>
      <c r="AM297" s="79" t="s">
        <v>2092</v>
      </c>
      <c r="AN297" s="114" t="str">
        <f>HYPERLINK("https://www.youtube.com/watch?v=WYMtimU7qFI")</f>
        <v>https://www.youtube.com/watch?v=WYMtimU7qFI</v>
      </c>
      <c r="AO297" s="78" t="str">
        <f>REPLACE(INDEX(GroupVertices[Group],MATCH(Vertices[[#This Row],[Vertex]],GroupVertices[Vertex],0)),1,1,"")</f>
        <v>onnections Counseling PLLC Continuing Education</v>
      </c>
      <c r="AP297" s="2"/>
      <c r="AQ297" s="3"/>
      <c r="AR297" s="3"/>
      <c r="AS297" s="3"/>
      <c r="AT297" s="3"/>
    </row>
    <row r="298" spans="1:46" ht="15">
      <c r="A298" s="64" t="s">
        <v>2257</v>
      </c>
      <c r="B298" s="65"/>
      <c r="C298" s="65"/>
      <c r="D298" s="66">
        <v>150</v>
      </c>
      <c r="E298" s="102">
        <v>97.85714285714286</v>
      </c>
      <c r="F298" s="98" t="str">
        <f>HYPERLINK("https://i.ytimg.com/vi/z1SQQNwqRB8/default.jpg")</f>
        <v>https://i.ytimg.com/vi/z1SQQNwqRB8/default.jpg</v>
      </c>
      <c r="G298" s="100"/>
      <c r="H298" s="69" t="s">
        <v>2734</v>
      </c>
      <c r="I298" s="70"/>
      <c r="J298" s="104" t="s">
        <v>159</v>
      </c>
      <c r="K298" s="69" t="s">
        <v>2734</v>
      </c>
      <c r="L298" s="105">
        <v>1</v>
      </c>
      <c r="M298" s="74">
        <v>3191.303955078125</v>
      </c>
      <c r="N298" s="74">
        <v>2384.91796875</v>
      </c>
      <c r="O298" s="75"/>
      <c r="P298" s="76"/>
      <c r="Q298" s="76"/>
      <c r="R298" s="106"/>
      <c r="S298" s="48">
        <v>1</v>
      </c>
      <c r="T298" s="48">
        <v>0</v>
      </c>
      <c r="U298" s="49">
        <v>0</v>
      </c>
      <c r="V298" s="49">
        <v>0.170017</v>
      </c>
      <c r="W298" s="107"/>
      <c r="X298" s="50"/>
      <c r="Y298" s="50"/>
      <c r="Z298" s="49">
        <v>0</v>
      </c>
      <c r="AA298" s="71">
        <v>298</v>
      </c>
      <c r="AB298" s="71"/>
      <c r="AC298" s="72"/>
      <c r="AD298" s="79" t="s">
        <v>2734</v>
      </c>
      <c r="AE298" s="79" t="s">
        <v>3184</v>
      </c>
      <c r="AF298" s="79" t="s">
        <v>3549</v>
      </c>
      <c r="AG298" s="79" t="s">
        <v>3777</v>
      </c>
      <c r="AH298" s="79" t="s">
        <v>4100</v>
      </c>
      <c r="AI298" s="79">
        <v>7486</v>
      </c>
      <c r="AJ298" s="79">
        <v>55</v>
      </c>
      <c r="AK298" s="79">
        <v>151</v>
      </c>
      <c r="AL298" s="79">
        <v>0</v>
      </c>
      <c r="AM298" s="79" t="s">
        <v>2092</v>
      </c>
      <c r="AN298" s="114" t="str">
        <f>HYPERLINK("https://www.youtube.com/watch?v=z1SQQNwqRB8")</f>
        <v>https://www.youtube.com/watch?v=z1SQQNwqRB8</v>
      </c>
      <c r="AO298" s="78" t="str">
        <f>REPLACE(INDEX(GroupVertices[Group],MATCH(Vertices[[#This Row],[Vertex]],GroupVertices[Vertex],0)),1,1,"")</f>
        <v>enjamin Carpenter</v>
      </c>
      <c r="AP298" s="2"/>
      <c r="AQ298" s="3"/>
      <c r="AR298" s="3"/>
      <c r="AS298" s="3"/>
      <c r="AT298" s="3"/>
    </row>
    <row r="299" spans="1:46" ht="15">
      <c r="A299" s="64" t="s">
        <v>2258</v>
      </c>
      <c r="B299" s="65"/>
      <c r="C299" s="65"/>
      <c r="D299" s="66">
        <v>150</v>
      </c>
      <c r="E299" s="102">
        <v>97.85714285714286</v>
      </c>
      <c r="F299" s="98" t="str">
        <f>HYPERLINK("https://i.ytimg.com/vi/c-PLV9YEysA/default.jpg")</f>
        <v>https://i.ytimg.com/vi/c-PLV9YEysA/default.jpg</v>
      </c>
      <c r="G299" s="100"/>
      <c r="H299" s="69" t="s">
        <v>2735</v>
      </c>
      <c r="I299" s="70"/>
      <c r="J299" s="104" t="s">
        <v>159</v>
      </c>
      <c r="K299" s="69" t="s">
        <v>2735</v>
      </c>
      <c r="L299" s="105">
        <v>1</v>
      </c>
      <c r="M299" s="74">
        <v>3331.911865234375</v>
      </c>
      <c r="N299" s="74">
        <v>3045.341796875</v>
      </c>
      <c r="O299" s="75"/>
      <c r="P299" s="76"/>
      <c r="Q299" s="76"/>
      <c r="R299" s="106"/>
      <c r="S299" s="48">
        <v>1</v>
      </c>
      <c r="T299" s="48">
        <v>0</v>
      </c>
      <c r="U299" s="49">
        <v>0</v>
      </c>
      <c r="V299" s="49">
        <v>0.170017</v>
      </c>
      <c r="W299" s="107"/>
      <c r="X299" s="50"/>
      <c r="Y299" s="50"/>
      <c r="Z299" s="49">
        <v>0</v>
      </c>
      <c r="AA299" s="71">
        <v>299</v>
      </c>
      <c r="AB299" s="71"/>
      <c r="AC299" s="72"/>
      <c r="AD299" s="79" t="s">
        <v>2735</v>
      </c>
      <c r="AE299" s="79" t="s">
        <v>3185</v>
      </c>
      <c r="AF299" s="79" t="s">
        <v>3550</v>
      </c>
      <c r="AG299" s="79" t="s">
        <v>3776</v>
      </c>
      <c r="AH299" s="79" t="s">
        <v>4101</v>
      </c>
      <c r="AI299" s="79">
        <v>8172</v>
      </c>
      <c r="AJ299" s="79">
        <v>1</v>
      </c>
      <c r="AK299" s="79">
        <v>26</v>
      </c>
      <c r="AL299" s="79">
        <v>0</v>
      </c>
      <c r="AM299" s="79" t="s">
        <v>2092</v>
      </c>
      <c r="AN299" s="114" t="str">
        <f>HYPERLINK("https://www.youtube.com/watch?v=c-PLV9YEysA")</f>
        <v>https://www.youtube.com/watch?v=c-PLV9YEysA</v>
      </c>
      <c r="AO299" s="78" t="str">
        <f>REPLACE(INDEX(GroupVertices[Group],MATCH(Vertices[[#This Row],[Vertex]],GroupVertices[Vertex],0)),1,1,"")</f>
        <v>onnections Counseling PLLC Continuing Education</v>
      </c>
      <c r="AP299" s="2"/>
      <c r="AQ299" s="3"/>
      <c r="AR299" s="3"/>
      <c r="AS299" s="3"/>
      <c r="AT299" s="3"/>
    </row>
    <row r="300" spans="1:46" ht="15">
      <c r="A300" s="64" t="s">
        <v>2259</v>
      </c>
      <c r="B300" s="65"/>
      <c r="C300" s="65"/>
      <c r="D300" s="66">
        <v>150</v>
      </c>
      <c r="E300" s="102">
        <v>97.85714285714286</v>
      </c>
      <c r="F300" s="98" t="str">
        <f>HYPERLINK("https://i.ytimg.com/vi/CeS9EMXO8qc/default.jpg")</f>
        <v>https://i.ytimg.com/vi/CeS9EMXO8qc/default.jpg</v>
      </c>
      <c r="G300" s="100"/>
      <c r="H300" s="69" t="s">
        <v>2736</v>
      </c>
      <c r="I300" s="70"/>
      <c r="J300" s="104" t="s">
        <v>159</v>
      </c>
      <c r="K300" s="69" t="s">
        <v>2736</v>
      </c>
      <c r="L300" s="105">
        <v>1</v>
      </c>
      <c r="M300" s="74">
        <v>3095.69189453125</v>
      </c>
      <c r="N300" s="74">
        <v>3380.677734375</v>
      </c>
      <c r="O300" s="75"/>
      <c r="P300" s="76"/>
      <c r="Q300" s="76"/>
      <c r="R300" s="106"/>
      <c r="S300" s="48">
        <v>1</v>
      </c>
      <c r="T300" s="48">
        <v>0</v>
      </c>
      <c r="U300" s="49">
        <v>0</v>
      </c>
      <c r="V300" s="49">
        <v>0.170017</v>
      </c>
      <c r="W300" s="107"/>
      <c r="X300" s="50"/>
      <c r="Y300" s="50"/>
      <c r="Z300" s="49">
        <v>0</v>
      </c>
      <c r="AA300" s="71">
        <v>300</v>
      </c>
      <c r="AB300" s="71"/>
      <c r="AC300" s="72"/>
      <c r="AD300" s="79" t="s">
        <v>2736</v>
      </c>
      <c r="AE300" s="79"/>
      <c r="AF300" s="79"/>
      <c r="AG300" s="79" t="s">
        <v>3778</v>
      </c>
      <c r="AH300" s="79" t="s">
        <v>4102</v>
      </c>
      <c r="AI300" s="79">
        <v>8</v>
      </c>
      <c r="AJ300" s="79">
        <v>0</v>
      </c>
      <c r="AK300" s="79">
        <v>0</v>
      </c>
      <c r="AL300" s="79">
        <v>0</v>
      </c>
      <c r="AM300" s="79" t="s">
        <v>2092</v>
      </c>
      <c r="AN300" s="114" t="str">
        <f>HYPERLINK("https://www.youtube.com/watch?v=CeS9EMXO8qc")</f>
        <v>https://www.youtube.com/watch?v=CeS9EMXO8qc</v>
      </c>
      <c r="AO300" s="78" t="str">
        <f>REPLACE(INDEX(GroupVertices[Group],MATCH(Vertices[[#This Row],[Vertex]],GroupVertices[Vertex],0)),1,1,"")</f>
        <v>egion Five</v>
      </c>
      <c r="AP300" s="2"/>
      <c r="AQ300" s="3"/>
      <c r="AR300" s="3"/>
      <c r="AS300" s="3"/>
      <c r="AT300" s="3"/>
    </row>
    <row r="301" spans="1:46" ht="15">
      <c r="A301" s="64" t="s">
        <v>2260</v>
      </c>
      <c r="B301" s="65"/>
      <c r="C301" s="65"/>
      <c r="D301" s="66">
        <v>150</v>
      </c>
      <c r="E301" s="102">
        <v>97.85714285714286</v>
      </c>
      <c r="F301" s="98" t="str">
        <f>HYPERLINK("https://i.ytimg.com/vi/IXi8VzXVT6I/default.jpg")</f>
        <v>https://i.ytimg.com/vi/IXi8VzXVT6I/default.jpg</v>
      </c>
      <c r="G301" s="100"/>
      <c r="H301" s="69" t="s">
        <v>2737</v>
      </c>
      <c r="I301" s="70"/>
      <c r="J301" s="104" t="s">
        <v>159</v>
      </c>
      <c r="K301" s="69" t="s">
        <v>2737</v>
      </c>
      <c r="L301" s="105">
        <v>1</v>
      </c>
      <c r="M301" s="74">
        <v>4203.728515625</v>
      </c>
      <c r="N301" s="74">
        <v>2629.9892578125</v>
      </c>
      <c r="O301" s="75"/>
      <c r="P301" s="76"/>
      <c r="Q301" s="76"/>
      <c r="R301" s="106"/>
      <c r="S301" s="48">
        <v>1</v>
      </c>
      <c r="T301" s="48">
        <v>0</v>
      </c>
      <c r="U301" s="49">
        <v>0</v>
      </c>
      <c r="V301" s="49">
        <v>0.170017</v>
      </c>
      <c r="W301" s="107"/>
      <c r="X301" s="50"/>
      <c r="Y301" s="50"/>
      <c r="Z301" s="49">
        <v>0</v>
      </c>
      <c r="AA301" s="71">
        <v>301</v>
      </c>
      <c r="AB301" s="71"/>
      <c r="AC301" s="72"/>
      <c r="AD301" s="79" t="s">
        <v>2737</v>
      </c>
      <c r="AE301" s="79"/>
      <c r="AF301" s="79"/>
      <c r="AG301" s="79" t="s">
        <v>3779</v>
      </c>
      <c r="AH301" s="79" t="s">
        <v>4103</v>
      </c>
      <c r="AI301" s="79">
        <v>4</v>
      </c>
      <c r="AJ301" s="79">
        <v>0</v>
      </c>
      <c r="AK301" s="79">
        <v>0</v>
      </c>
      <c r="AL301" s="79">
        <v>0</v>
      </c>
      <c r="AM301" s="79" t="s">
        <v>2092</v>
      </c>
      <c r="AN301" s="114" t="str">
        <f>HYPERLINK("https://www.youtube.com/watch?v=IXi8VzXVT6I")</f>
        <v>https://www.youtube.com/watch?v=IXi8VzXVT6I</v>
      </c>
      <c r="AO301" s="78" t="str">
        <f>REPLACE(INDEX(GroupVertices[Group],MATCH(Vertices[[#This Row],[Vertex]],GroupVertices[Vertex],0)),1,1,"")</f>
        <v>ayrollCentric Presentations</v>
      </c>
      <c r="AP301" s="2"/>
      <c r="AQ301" s="3"/>
      <c r="AR301" s="3"/>
      <c r="AS301" s="3"/>
      <c r="AT301" s="3"/>
    </row>
    <row r="302" spans="1:46" ht="15">
      <c r="A302" s="64" t="s">
        <v>2261</v>
      </c>
      <c r="B302" s="65"/>
      <c r="C302" s="65"/>
      <c r="D302" s="66">
        <v>150</v>
      </c>
      <c r="E302" s="102">
        <v>97.85714285714286</v>
      </c>
      <c r="F302" s="98" t="str">
        <f>HYPERLINK("https://i.ytimg.com/vi/hM-ry9VYmtI/default.jpg")</f>
        <v>https://i.ytimg.com/vi/hM-ry9VYmtI/default.jpg</v>
      </c>
      <c r="G302" s="100"/>
      <c r="H302" s="69" t="s">
        <v>2738</v>
      </c>
      <c r="I302" s="70"/>
      <c r="J302" s="104" t="s">
        <v>159</v>
      </c>
      <c r="K302" s="69" t="s">
        <v>2738</v>
      </c>
      <c r="L302" s="105">
        <v>1</v>
      </c>
      <c r="M302" s="74">
        <v>3236.901611328125</v>
      </c>
      <c r="N302" s="74">
        <v>4596.38720703125</v>
      </c>
      <c r="O302" s="75"/>
      <c r="P302" s="76"/>
      <c r="Q302" s="76"/>
      <c r="R302" s="106"/>
      <c r="S302" s="48">
        <v>1</v>
      </c>
      <c r="T302" s="48">
        <v>0</v>
      </c>
      <c r="U302" s="49">
        <v>0</v>
      </c>
      <c r="V302" s="49">
        <v>0.170017</v>
      </c>
      <c r="W302" s="107"/>
      <c r="X302" s="50"/>
      <c r="Y302" s="50"/>
      <c r="Z302" s="49">
        <v>0</v>
      </c>
      <c r="AA302" s="71">
        <v>302</v>
      </c>
      <c r="AB302" s="71"/>
      <c r="AC302" s="72"/>
      <c r="AD302" s="79" t="s">
        <v>2738</v>
      </c>
      <c r="AE302" s="79" t="s">
        <v>3186</v>
      </c>
      <c r="AF302" s="79" t="s">
        <v>3551</v>
      </c>
      <c r="AG302" s="79" t="s">
        <v>3780</v>
      </c>
      <c r="AH302" s="79" t="s">
        <v>4104</v>
      </c>
      <c r="AI302" s="79">
        <v>3</v>
      </c>
      <c r="AJ302" s="79">
        <v>0</v>
      </c>
      <c r="AK302" s="79">
        <v>0</v>
      </c>
      <c r="AL302" s="79">
        <v>0</v>
      </c>
      <c r="AM302" s="79" t="s">
        <v>2092</v>
      </c>
      <c r="AN302" s="114" t="str">
        <f>HYPERLINK("https://www.youtube.com/watch?v=hM-ry9VYmtI")</f>
        <v>https://www.youtube.com/watch?v=hM-ry9VYmtI</v>
      </c>
      <c r="AO302" s="78" t="str">
        <f>REPLACE(INDEX(GroupVertices[Group],MATCH(Vertices[[#This Row],[Vertex]],GroupVertices[Vertex],0)),1,1,"")</f>
        <v>ocial Work Mastery</v>
      </c>
      <c r="AP302" s="2"/>
      <c r="AQ302" s="3"/>
      <c r="AR302" s="3"/>
      <c r="AS302" s="3"/>
      <c r="AT302" s="3"/>
    </row>
    <row r="303" spans="1:46" ht="15">
      <c r="A303" s="64" t="s">
        <v>2262</v>
      </c>
      <c r="B303" s="65"/>
      <c r="C303" s="65"/>
      <c r="D303" s="66">
        <v>150</v>
      </c>
      <c r="E303" s="102">
        <v>97.85714285714286</v>
      </c>
      <c r="F303" s="98" t="str">
        <f>HYPERLINK("https://i.ytimg.com/vi/bZaBRYF27L0/default.jpg")</f>
        <v>https://i.ytimg.com/vi/bZaBRYF27L0/default.jpg</v>
      </c>
      <c r="G303" s="100"/>
      <c r="H303" s="69" t="s">
        <v>2739</v>
      </c>
      <c r="I303" s="70"/>
      <c r="J303" s="104" t="s">
        <v>159</v>
      </c>
      <c r="K303" s="69" t="s">
        <v>2739</v>
      </c>
      <c r="L303" s="105">
        <v>1</v>
      </c>
      <c r="M303" s="74">
        <v>4205.17626953125</v>
      </c>
      <c r="N303" s="74">
        <v>4372.0498046875</v>
      </c>
      <c r="O303" s="75"/>
      <c r="P303" s="76"/>
      <c r="Q303" s="76"/>
      <c r="R303" s="106"/>
      <c r="S303" s="48">
        <v>1</v>
      </c>
      <c r="T303" s="48">
        <v>0</v>
      </c>
      <c r="U303" s="49">
        <v>0</v>
      </c>
      <c r="V303" s="49">
        <v>0.170017</v>
      </c>
      <c r="W303" s="107"/>
      <c r="X303" s="50"/>
      <c r="Y303" s="50"/>
      <c r="Z303" s="49">
        <v>0</v>
      </c>
      <c r="AA303" s="71">
        <v>303</v>
      </c>
      <c r="AB303" s="71"/>
      <c r="AC303" s="72"/>
      <c r="AD303" s="79" t="s">
        <v>2739</v>
      </c>
      <c r="AE303" s="79" t="s">
        <v>3187</v>
      </c>
      <c r="AF303" s="79" t="s">
        <v>3552</v>
      </c>
      <c r="AG303" s="79" t="s">
        <v>3780</v>
      </c>
      <c r="AH303" s="79" t="s">
        <v>4105</v>
      </c>
      <c r="AI303" s="79">
        <v>703</v>
      </c>
      <c r="AJ303" s="79">
        <v>6</v>
      </c>
      <c r="AK303" s="79">
        <v>25</v>
      </c>
      <c r="AL303" s="79">
        <v>0</v>
      </c>
      <c r="AM303" s="79" t="s">
        <v>2092</v>
      </c>
      <c r="AN303" s="114" t="str">
        <f>HYPERLINK("https://www.youtube.com/watch?v=bZaBRYF27L0")</f>
        <v>https://www.youtube.com/watch?v=bZaBRYF27L0</v>
      </c>
      <c r="AO303" s="78" t="str">
        <f>REPLACE(INDEX(GroupVertices[Group],MATCH(Vertices[[#This Row],[Vertex]],GroupVertices[Vertex],0)),1,1,"")</f>
        <v>ocial Work Mastery</v>
      </c>
      <c r="AP303" s="2"/>
      <c r="AQ303" s="3"/>
      <c r="AR303" s="3"/>
      <c r="AS303" s="3"/>
      <c r="AT303" s="3"/>
    </row>
    <row r="304" spans="1:46" ht="15">
      <c r="A304" s="64" t="s">
        <v>2263</v>
      </c>
      <c r="B304" s="65"/>
      <c r="C304" s="65"/>
      <c r="D304" s="66">
        <v>150</v>
      </c>
      <c r="E304" s="102">
        <v>97.85714285714286</v>
      </c>
      <c r="F304" s="98" t="str">
        <f>HYPERLINK("https://i.ytimg.com/vi/lqVXvnL7uFU/default.jpg")</f>
        <v>https://i.ytimg.com/vi/lqVXvnL7uFU/default.jpg</v>
      </c>
      <c r="G304" s="100"/>
      <c r="H304" s="69" t="s">
        <v>2740</v>
      </c>
      <c r="I304" s="70"/>
      <c r="J304" s="104" t="s">
        <v>159</v>
      </c>
      <c r="K304" s="69" t="s">
        <v>2740</v>
      </c>
      <c r="L304" s="105">
        <v>1</v>
      </c>
      <c r="M304" s="74">
        <v>4471.82421875</v>
      </c>
      <c r="N304" s="74">
        <v>3339.5322265625</v>
      </c>
      <c r="O304" s="75"/>
      <c r="P304" s="76"/>
      <c r="Q304" s="76"/>
      <c r="R304" s="106"/>
      <c r="S304" s="48">
        <v>1</v>
      </c>
      <c r="T304" s="48">
        <v>0</v>
      </c>
      <c r="U304" s="49">
        <v>0</v>
      </c>
      <c r="V304" s="49">
        <v>0.170017</v>
      </c>
      <c r="W304" s="107"/>
      <c r="X304" s="50"/>
      <c r="Y304" s="50"/>
      <c r="Z304" s="49">
        <v>0</v>
      </c>
      <c r="AA304" s="71">
        <v>304</v>
      </c>
      <c r="AB304" s="71"/>
      <c r="AC304" s="72"/>
      <c r="AD304" s="79" t="s">
        <v>2740</v>
      </c>
      <c r="AE304" s="79" t="s">
        <v>3188</v>
      </c>
      <c r="AF304" s="79" t="s">
        <v>3553</v>
      </c>
      <c r="AG304" s="79" t="s">
        <v>3724</v>
      </c>
      <c r="AH304" s="79" t="s">
        <v>4106</v>
      </c>
      <c r="AI304" s="79">
        <v>144</v>
      </c>
      <c r="AJ304" s="79">
        <v>0</v>
      </c>
      <c r="AK304" s="79">
        <v>0</v>
      </c>
      <c r="AL304" s="79">
        <v>0</v>
      </c>
      <c r="AM304" s="79" t="s">
        <v>2092</v>
      </c>
      <c r="AN304" s="114" t="str">
        <f>HYPERLINK("https://www.youtube.com/watch?v=lqVXvnL7uFU")</f>
        <v>https://www.youtube.com/watch?v=lqVXvnL7uFU</v>
      </c>
      <c r="AO304" s="78" t="str">
        <f>REPLACE(INDEX(GroupVertices[Group],MATCH(Vertices[[#This Row],[Vertex]],GroupVertices[Vertex],0)),1,1,"")</f>
        <v>arepatron</v>
      </c>
      <c r="AP304" s="2"/>
      <c r="AQ304" s="3"/>
      <c r="AR304" s="3"/>
      <c r="AS304" s="3"/>
      <c r="AT304" s="3"/>
    </row>
    <row r="305" spans="1:46" ht="15">
      <c r="A305" s="64" t="s">
        <v>2264</v>
      </c>
      <c r="B305" s="65"/>
      <c r="C305" s="65"/>
      <c r="D305" s="66">
        <v>150</v>
      </c>
      <c r="E305" s="102">
        <v>97.85714285714286</v>
      </c>
      <c r="F305" s="98" t="str">
        <f>HYPERLINK("https://i.ytimg.com/vi/xwu2zzhrbY0/default.jpg")</f>
        <v>https://i.ytimg.com/vi/xwu2zzhrbY0/default.jpg</v>
      </c>
      <c r="G305" s="100"/>
      <c r="H305" s="69" t="s">
        <v>2741</v>
      </c>
      <c r="I305" s="70"/>
      <c r="J305" s="104" t="s">
        <v>159</v>
      </c>
      <c r="K305" s="69" t="s">
        <v>2741</v>
      </c>
      <c r="L305" s="105">
        <v>1</v>
      </c>
      <c r="M305" s="74">
        <v>3218.44970703125</v>
      </c>
      <c r="N305" s="74">
        <v>4193.962890625</v>
      </c>
      <c r="O305" s="75"/>
      <c r="P305" s="76"/>
      <c r="Q305" s="76"/>
      <c r="R305" s="106"/>
      <c r="S305" s="48">
        <v>1</v>
      </c>
      <c r="T305" s="48">
        <v>0</v>
      </c>
      <c r="U305" s="49">
        <v>0</v>
      </c>
      <c r="V305" s="49">
        <v>0.170017</v>
      </c>
      <c r="W305" s="107"/>
      <c r="X305" s="50"/>
      <c r="Y305" s="50"/>
      <c r="Z305" s="49">
        <v>0</v>
      </c>
      <c r="AA305" s="71">
        <v>305</v>
      </c>
      <c r="AB305" s="71"/>
      <c r="AC305" s="72"/>
      <c r="AD305" s="79" t="s">
        <v>2741</v>
      </c>
      <c r="AE305" s="79" t="s">
        <v>3189</v>
      </c>
      <c r="AF305" s="79" t="s">
        <v>3554</v>
      </c>
      <c r="AG305" s="79" t="s">
        <v>3781</v>
      </c>
      <c r="AH305" s="79" t="s">
        <v>4107</v>
      </c>
      <c r="AI305" s="79">
        <v>932</v>
      </c>
      <c r="AJ305" s="79">
        <v>2</v>
      </c>
      <c r="AK305" s="79">
        <v>38</v>
      </c>
      <c r="AL305" s="79">
        <v>0</v>
      </c>
      <c r="AM305" s="79" t="s">
        <v>2092</v>
      </c>
      <c r="AN305" s="114" t="str">
        <f>HYPERLINK("https://www.youtube.com/watch?v=xwu2zzhrbY0")</f>
        <v>https://www.youtube.com/watch?v=xwu2zzhrbY0</v>
      </c>
      <c r="AO305" s="78" t="str">
        <f>REPLACE(INDEX(GroupVertices[Group],MATCH(Vertices[[#This Row],[Vertex]],GroupVertices[Vertex],0)),1,1,"")</f>
        <v>NF#CK YOUR NCE</v>
      </c>
      <c r="AP305" s="2"/>
      <c r="AQ305" s="3"/>
      <c r="AR305" s="3"/>
      <c r="AS305" s="3"/>
      <c r="AT305" s="3"/>
    </row>
    <row r="306" spans="1:46" ht="15">
      <c r="A306" s="64" t="s">
        <v>2265</v>
      </c>
      <c r="B306" s="65"/>
      <c r="C306" s="65"/>
      <c r="D306" s="66">
        <v>150</v>
      </c>
      <c r="E306" s="102">
        <v>97.85714285714286</v>
      </c>
      <c r="F306" s="98" t="str">
        <f>HYPERLINK("https://i.ytimg.com/vi/5Nf0ftDYTGo/default.jpg")</f>
        <v>https://i.ytimg.com/vi/5Nf0ftDYTGo/default.jpg</v>
      </c>
      <c r="G306" s="100"/>
      <c r="H306" s="69" t="s">
        <v>2742</v>
      </c>
      <c r="I306" s="70"/>
      <c r="J306" s="104" t="s">
        <v>159</v>
      </c>
      <c r="K306" s="69" t="s">
        <v>2742</v>
      </c>
      <c r="L306" s="105">
        <v>1</v>
      </c>
      <c r="M306" s="74">
        <v>2777.563720703125</v>
      </c>
      <c r="N306" s="74">
        <v>4125.9853515625</v>
      </c>
      <c r="O306" s="75"/>
      <c r="P306" s="76"/>
      <c r="Q306" s="76"/>
      <c r="R306" s="106"/>
      <c r="S306" s="48">
        <v>1</v>
      </c>
      <c r="T306" s="48">
        <v>0</v>
      </c>
      <c r="U306" s="49">
        <v>0</v>
      </c>
      <c r="V306" s="49">
        <v>0.170017</v>
      </c>
      <c r="W306" s="107"/>
      <c r="X306" s="50"/>
      <c r="Y306" s="50"/>
      <c r="Z306" s="49">
        <v>0</v>
      </c>
      <c r="AA306" s="71">
        <v>306</v>
      </c>
      <c r="AB306" s="71"/>
      <c r="AC306" s="72"/>
      <c r="AD306" s="79" t="s">
        <v>2742</v>
      </c>
      <c r="AE306" s="79" t="s">
        <v>3190</v>
      </c>
      <c r="AF306" s="79" t="s">
        <v>3555</v>
      </c>
      <c r="AG306" s="79" t="s">
        <v>3782</v>
      </c>
      <c r="AH306" s="79" t="s">
        <v>4108</v>
      </c>
      <c r="AI306" s="79">
        <v>248</v>
      </c>
      <c r="AJ306" s="79">
        <v>1</v>
      </c>
      <c r="AK306" s="79">
        <v>3</v>
      </c>
      <c r="AL306" s="79">
        <v>0</v>
      </c>
      <c r="AM306" s="79" t="s">
        <v>2092</v>
      </c>
      <c r="AN306" s="114" t="str">
        <f>HYPERLINK("https://www.youtube.com/watch?v=5Nf0ftDYTGo")</f>
        <v>https://www.youtube.com/watch?v=5Nf0ftDYTGo</v>
      </c>
      <c r="AO306" s="78" t="str">
        <f>REPLACE(INDEX(GroupVertices[Group],MATCH(Vertices[[#This Row],[Vertex]],GroupVertices[Vertex],0)),1,1,"")</f>
        <v>ow To Defeat Addiction</v>
      </c>
      <c r="AP306" s="2"/>
      <c r="AQ306" s="3"/>
      <c r="AR306" s="3"/>
      <c r="AS306" s="3"/>
      <c r="AT306" s="3"/>
    </row>
    <row r="307" spans="1:46" ht="15">
      <c r="A307" s="64" t="s">
        <v>2266</v>
      </c>
      <c r="B307" s="65"/>
      <c r="C307" s="65"/>
      <c r="D307" s="66">
        <v>150</v>
      </c>
      <c r="E307" s="102">
        <v>97.85714285714286</v>
      </c>
      <c r="F307" s="98" t="str">
        <f>HYPERLINK("https://i.ytimg.com/vi/-aeeVrCv37I/default.jpg")</f>
        <v>https://i.ytimg.com/vi/-aeeVrCv37I/default.jpg</v>
      </c>
      <c r="G307" s="100"/>
      <c r="H307" s="69" t="s">
        <v>2743</v>
      </c>
      <c r="I307" s="70"/>
      <c r="J307" s="104" t="s">
        <v>159</v>
      </c>
      <c r="K307" s="69" t="s">
        <v>2743</v>
      </c>
      <c r="L307" s="105">
        <v>1</v>
      </c>
      <c r="M307" s="74">
        <v>3949.53564453125</v>
      </c>
      <c r="N307" s="74">
        <v>3385.54541015625</v>
      </c>
      <c r="O307" s="75"/>
      <c r="P307" s="76"/>
      <c r="Q307" s="76"/>
      <c r="R307" s="106"/>
      <c r="S307" s="48">
        <v>1</v>
      </c>
      <c r="T307" s="48">
        <v>0</v>
      </c>
      <c r="U307" s="49">
        <v>0</v>
      </c>
      <c r="V307" s="49">
        <v>0.170017</v>
      </c>
      <c r="W307" s="107"/>
      <c r="X307" s="50"/>
      <c r="Y307" s="50"/>
      <c r="Z307" s="49">
        <v>0</v>
      </c>
      <c r="AA307" s="71">
        <v>307</v>
      </c>
      <c r="AB307" s="71"/>
      <c r="AC307" s="72"/>
      <c r="AD307" s="79" t="s">
        <v>2743</v>
      </c>
      <c r="AE307" s="79" t="s">
        <v>3191</v>
      </c>
      <c r="AF307" s="79" t="s">
        <v>3556</v>
      </c>
      <c r="AG307" s="79" t="s">
        <v>1538</v>
      </c>
      <c r="AH307" s="79" t="s">
        <v>4109</v>
      </c>
      <c r="AI307" s="79">
        <v>2602</v>
      </c>
      <c r="AJ307" s="79">
        <v>23</v>
      </c>
      <c r="AK307" s="79">
        <v>197</v>
      </c>
      <c r="AL307" s="79">
        <v>0</v>
      </c>
      <c r="AM307" s="79" t="s">
        <v>2092</v>
      </c>
      <c r="AN307" s="114" t="str">
        <f>HYPERLINK("https://www.youtube.com/watch?v=-aeeVrCv37I")</f>
        <v>https://www.youtube.com/watch?v=-aeeVrCv37I</v>
      </c>
      <c r="AO307" s="78" t="str">
        <f>REPLACE(INDEX(GroupVertices[Group],MATCH(Vertices[[#This Row],[Vertex]],GroupVertices[Vertex],0)),1,1,"")</f>
        <v>oc Snipes</v>
      </c>
      <c r="AP307" s="2"/>
      <c r="AQ307" s="3"/>
      <c r="AR307" s="3"/>
      <c r="AS307" s="3"/>
      <c r="AT307" s="3"/>
    </row>
    <row r="308" spans="1:46" ht="15">
      <c r="A308" s="64" t="s">
        <v>2267</v>
      </c>
      <c r="B308" s="65"/>
      <c r="C308" s="65"/>
      <c r="D308" s="66">
        <v>150</v>
      </c>
      <c r="E308" s="102">
        <v>97.85714285714286</v>
      </c>
      <c r="F308" s="98" t="str">
        <f>HYPERLINK("https://i.ytimg.com/vi/OpdJU6UsGa0/default.jpg")</f>
        <v>https://i.ytimg.com/vi/OpdJU6UsGa0/default.jpg</v>
      </c>
      <c r="G308" s="100"/>
      <c r="H308" s="69" t="s">
        <v>2744</v>
      </c>
      <c r="I308" s="70"/>
      <c r="J308" s="104" t="s">
        <v>159</v>
      </c>
      <c r="K308" s="69" t="s">
        <v>2744</v>
      </c>
      <c r="L308" s="105">
        <v>1</v>
      </c>
      <c r="M308" s="74">
        <v>3413.2724609375</v>
      </c>
      <c r="N308" s="74">
        <v>2310.04345703125</v>
      </c>
      <c r="O308" s="75"/>
      <c r="P308" s="76"/>
      <c r="Q308" s="76"/>
      <c r="R308" s="106"/>
      <c r="S308" s="48">
        <v>1</v>
      </c>
      <c r="T308" s="48">
        <v>0</v>
      </c>
      <c r="U308" s="49">
        <v>0</v>
      </c>
      <c r="V308" s="49">
        <v>0.170017</v>
      </c>
      <c r="W308" s="107"/>
      <c r="X308" s="50"/>
      <c r="Y308" s="50"/>
      <c r="Z308" s="49">
        <v>0</v>
      </c>
      <c r="AA308" s="71">
        <v>308</v>
      </c>
      <c r="AB308" s="71"/>
      <c r="AC308" s="72"/>
      <c r="AD308" s="79" t="s">
        <v>2744</v>
      </c>
      <c r="AE308" s="79" t="s">
        <v>3191</v>
      </c>
      <c r="AF308" s="79" t="s">
        <v>3556</v>
      </c>
      <c r="AG308" s="79" t="s">
        <v>1538</v>
      </c>
      <c r="AH308" s="79" t="s">
        <v>4110</v>
      </c>
      <c r="AI308" s="79">
        <v>1813</v>
      </c>
      <c r="AJ308" s="79">
        <v>14</v>
      </c>
      <c r="AK308" s="79">
        <v>238</v>
      </c>
      <c r="AL308" s="79">
        <v>0</v>
      </c>
      <c r="AM308" s="79" t="s">
        <v>2092</v>
      </c>
      <c r="AN308" s="114" t="str">
        <f>HYPERLINK("https://www.youtube.com/watch?v=OpdJU6UsGa0")</f>
        <v>https://www.youtube.com/watch?v=OpdJU6UsGa0</v>
      </c>
      <c r="AO308" s="78" t="str">
        <f>REPLACE(INDEX(GroupVertices[Group],MATCH(Vertices[[#This Row],[Vertex]],GroupVertices[Vertex],0)),1,1,"")</f>
        <v>oc Snipes</v>
      </c>
      <c r="AP308" s="2"/>
      <c r="AQ308" s="3"/>
      <c r="AR308" s="3"/>
      <c r="AS308" s="3"/>
      <c r="AT308" s="3"/>
    </row>
    <row r="309" spans="1:46" ht="15">
      <c r="A309" s="64" t="s">
        <v>2268</v>
      </c>
      <c r="B309" s="65"/>
      <c r="C309" s="65"/>
      <c r="D309" s="66">
        <v>150</v>
      </c>
      <c r="E309" s="102">
        <v>97.85714285714286</v>
      </c>
      <c r="F309" s="98" t="str">
        <f>HYPERLINK("https://i.ytimg.com/vi/8bBYlImLFys/default.jpg")</f>
        <v>https://i.ytimg.com/vi/8bBYlImLFys/default.jpg</v>
      </c>
      <c r="G309" s="100"/>
      <c r="H309" s="69" t="s">
        <v>2745</v>
      </c>
      <c r="I309" s="70"/>
      <c r="J309" s="104" t="s">
        <v>159</v>
      </c>
      <c r="K309" s="69" t="s">
        <v>2745</v>
      </c>
      <c r="L309" s="105">
        <v>1</v>
      </c>
      <c r="M309" s="74">
        <v>3847.888427734375</v>
      </c>
      <c r="N309" s="74">
        <v>2349.12744140625</v>
      </c>
      <c r="O309" s="75"/>
      <c r="P309" s="76"/>
      <c r="Q309" s="76"/>
      <c r="R309" s="106"/>
      <c r="S309" s="48">
        <v>1</v>
      </c>
      <c r="T309" s="48">
        <v>0</v>
      </c>
      <c r="U309" s="49">
        <v>0</v>
      </c>
      <c r="V309" s="49">
        <v>0.170017</v>
      </c>
      <c r="W309" s="107"/>
      <c r="X309" s="50"/>
      <c r="Y309" s="50"/>
      <c r="Z309" s="49">
        <v>0</v>
      </c>
      <c r="AA309" s="71">
        <v>309</v>
      </c>
      <c r="AB309" s="71"/>
      <c r="AC309" s="72"/>
      <c r="AD309" s="79" t="s">
        <v>2745</v>
      </c>
      <c r="AE309" s="79" t="s">
        <v>3191</v>
      </c>
      <c r="AF309" s="79" t="s">
        <v>3556</v>
      </c>
      <c r="AG309" s="79" t="s">
        <v>1538</v>
      </c>
      <c r="AH309" s="79" t="s">
        <v>4111</v>
      </c>
      <c r="AI309" s="79">
        <v>3905</v>
      </c>
      <c r="AJ309" s="79">
        <v>44</v>
      </c>
      <c r="AK309" s="79">
        <v>273</v>
      </c>
      <c r="AL309" s="79">
        <v>0</v>
      </c>
      <c r="AM309" s="79" t="s">
        <v>2092</v>
      </c>
      <c r="AN309" s="114" t="str">
        <f>HYPERLINK("https://www.youtube.com/watch?v=8bBYlImLFys")</f>
        <v>https://www.youtube.com/watch?v=8bBYlImLFys</v>
      </c>
      <c r="AO309" s="78" t="str">
        <f>REPLACE(INDEX(GroupVertices[Group],MATCH(Vertices[[#This Row],[Vertex]],GroupVertices[Vertex],0)),1,1,"")</f>
        <v>oc Snipes</v>
      </c>
      <c r="AP309" s="2"/>
      <c r="AQ309" s="3"/>
      <c r="AR309" s="3"/>
      <c r="AS309" s="3"/>
      <c r="AT309" s="3"/>
    </row>
    <row r="310" spans="1:46" ht="15">
      <c r="A310" s="64" t="s">
        <v>2269</v>
      </c>
      <c r="B310" s="65"/>
      <c r="C310" s="65"/>
      <c r="D310" s="66">
        <v>150</v>
      </c>
      <c r="E310" s="102">
        <v>97.85714285714286</v>
      </c>
      <c r="F310" s="98" t="str">
        <f>HYPERLINK("https://i.ytimg.com/vi/BW9z1uCc1Xo/default.jpg")</f>
        <v>https://i.ytimg.com/vi/BW9z1uCc1Xo/default.jpg</v>
      </c>
      <c r="G310" s="100"/>
      <c r="H310" s="69" t="s">
        <v>2746</v>
      </c>
      <c r="I310" s="70"/>
      <c r="J310" s="104" t="s">
        <v>159</v>
      </c>
      <c r="K310" s="69" t="s">
        <v>2746</v>
      </c>
      <c r="L310" s="105">
        <v>1</v>
      </c>
      <c r="M310" s="74">
        <v>2665.7548828125</v>
      </c>
      <c r="N310" s="74">
        <v>3216.0224609375</v>
      </c>
      <c r="O310" s="75"/>
      <c r="P310" s="76"/>
      <c r="Q310" s="76"/>
      <c r="R310" s="106"/>
      <c r="S310" s="48">
        <v>1</v>
      </c>
      <c r="T310" s="48">
        <v>0</v>
      </c>
      <c r="U310" s="49">
        <v>0</v>
      </c>
      <c r="V310" s="49">
        <v>0.170017</v>
      </c>
      <c r="W310" s="107"/>
      <c r="X310" s="50"/>
      <c r="Y310" s="50"/>
      <c r="Z310" s="49">
        <v>0</v>
      </c>
      <c r="AA310" s="71">
        <v>310</v>
      </c>
      <c r="AB310" s="71"/>
      <c r="AC310" s="72"/>
      <c r="AD310" s="79" t="s">
        <v>2746</v>
      </c>
      <c r="AE310" s="79" t="s">
        <v>3192</v>
      </c>
      <c r="AF310" s="79" t="s">
        <v>3557</v>
      </c>
      <c r="AG310" s="79" t="s">
        <v>3783</v>
      </c>
      <c r="AH310" s="79" t="s">
        <v>4112</v>
      </c>
      <c r="AI310" s="79">
        <v>2626</v>
      </c>
      <c r="AJ310" s="79">
        <v>0</v>
      </c>
      <c r="AK310" s="79">
        <v>93</v>
      </c>
      <c r="AL310" s="79">
        <v>0</v>
      </c>
      <c r="AM310" s="79" t="s">
        <v>2092</v>
      </c>
      <c r="AN310" s="114" t="str">
        <f>HYPERLINK("https://www.youtube.com/watch?v=BW9z1uCc1Xo")</f>
        <v>https://www.youtube.com/watch?v=BW9z1uCc1Xo</v>
      </c>
      <c r="AO310" s="78" t="str">
        <f>REPLACE(INDEX(GroupVertices[Group],MATCH(Vertices[[#This Row],[Vertex]],GroupVertices[Vertex],0)),1,1,"")</f>
        <v>igBrain Project</v>
      </c>
      <c r="AP310" s="2"/>
      <c r="AQ310" s="3"/>
      <c r="AR310" s="3"/>
      <c r="AS310" s="3"/>
      <c r="AT310" s="3"/>
    </row>
    <row r="311" spans="1:46" ht="15">
      <c r="A311" s="64" t="s">
        <v>2270</v>
      </c>
      <c r="B311" s="65"/>
      <c r="C311" s="65"/>
      <c r="D311" s="66">
        <v>150</v>
      </c>
      <c r="E311" s="102">
        <v>97.85714285714286</v>
      </c>
      <c r="F311" s="98" t="str">
        <f>HYPERLINK("https://i.ytimg.com/vi/_vTQLr6aik4/default.jpg")</f>
        <v>https://i.ytimg.com/vi/_vTQLr6aik4/default.jpg</v>
      </c>
      <c r="G311" s="100"/>
      <c r="H311" s="69" t="s">
        <v>2747</v>
      </c>
      <c r="I311" s="70"/>
      <c r="J311" s="104" t="s">
        <v>159</v>
      </c>
      <c r="K311" s="69" t="s">
        <v>2747</v>
      </c>
      <c r="L311" s="105">
        <v>1</v>
      </c>
      <c r="M311" s="74">
        <v>4337.79833984375</v>
      </c>
      <c r="N311" s="74">
        <v>2831.150390625</v>
      </c>
      <c r="O311" s="75"/>
      <c r="P311" s="76"/>
      <c r="Q311" s="76"/>
      <c r="R311" s="106"/>
      <c r="S311" s="48">
        <v>1</v>
      </c>
      <c r="T311" s="48">
        <v>0</v>
      </c>
      <c r="U311" s="49">
        <v>0</v>
      </c>
      <c r="V311" s="49">
        <v>0.170017</v>
      </c>
      <c r="W311" s="107"/>
      <c r="X311" s="50"/>
      <c r="Y311" s="50"/>
      <c r="Z311" s="49">
        <v>0</v>
      </c>
      <c r="AA311" s="71">
        <v>311</v>
      </c>
      <c r="AB311" s="71"/>
      <c r="AC311" s="72"/>
      <c r="AD311" s="79" t="s">
        <v>2747</v>
      </c>
      <c r="AE311" s="79" t="s">
        <v>3191</v>
      </c>
      <c r="AF311" s="79" t="s">
        <v>3556</v>
      </c>
      <c r="AG311" s="79" t="s">
        <v>1538</v>
      </c>
      <c r="AH311" s="79" t="s">
        <v>4113</v>
      </c>
      <c r="AI311" s="79">
        <v>4577</v>
      </c>
      <c r="AJ311" s="79">
        <v>22</v>
      </c>
      <c r="AK311" s="79">
        <v>284</v>
      </c>
      <c r="AL311" s="79">
        <v>0</v>
      </c>
      <c r="AM311" s="79" t="s">
        <v>2092</v>
      </c>
      <c r="AN311" s="114" t="str">
        <f>HYPERLINK("https://www.youtube.com/watch?v=_vTQLr6aik4")</f>
        <v>https://www.youtube.com/watch?v=_vTQLr6aik4</v>
      </c>
      <c r="AO311" s="78" t="str">
        <f>REPLACE(INDEX(GroupVertices[Group],MATCH(Vertices[[#This Row],[Vertex]],GroupVertices[Vertex],0)),1,1,"")</f>
        <v>oc Snipes</v>
      </c>
      <c r="AP311" s="2"/>
      <c r="AQ311" s="3"/>
      <c r="AR311" s="3"/>
      <c r="AS311" s="3"/>
      <c r="AT311" s="3"/>
    </row>
    <row r="312" spans="1:46" ht="15">
      <c r="A312" s="64" t="s">
        <v>2271</v>
      </c>
      <c r="B312" s="65"/>
      <c r="C312" s="65"/>
      <c r="D312" s="66">
        <v>150</v>
      </c>
      <c r="E312" s="102">
        <v>97.85714285714286</v>
      </c>
      <c r="F312" s="98" t="str">
        <f>HYPERLINK("https://i.ytimg.com/vi/096P11KbN1I/default.jpg")</f>
        <v>https://i.ytimg.com/vi/096P11KbN1I/default.jpg</v>
      </c>
      <c r="G312" s="100"/>
      <c r="H312" s="69" t="s">
        <v>2748</v>
      </c>
      <c r="I312" s="70"/>
      <c r="J312" s="104" t="s">
        <v>159</v>
      </c>
      <c r="K312" s="69" t="s">
        <v>2748</v>
      </c>
      <c r="L312" s="105">
        <v>1</v>
      </c>
      <c r="M312" s="74">
        <v>3037.98876953125</v>
      </c>
      <c r="N312" s="74">
        <v>2560.4423828125</v>
      </c>
      <c r="O312" s="75"/>
      <c r="P312" s="76"/>
      <c r="Q312" s="76"/>
      <c r="R312" s="106"/>
      <c r="S312" s="48">
        <v>1</v>
      </c>
      <c r="T312" s="48">
        <v>0</v>
      </c>
      <c r="U312" s="49">
        <v>0</v>
      </c>
      <c r="V312" s="49">
        <v>0.170017</v>
      </c>
      <c r="W312" s="107"/>
      <c r="X312" s="50"/>
      <c r="Y312" s="50"/>
      <c r="Z312" s="49">
        <v>0</v>
      </c>
      <c r="AA312" s="71">
        <v>312</v>
      </c>
      <c r="AB312" s="71"/>
      <c r="AC312" s="72"/>
      <c r="AD312" s="79" t="s">
        <v>2748</v>
      </c>
      <c r="AE312" s="79" t="s">
        <v>3193</v>
      </c>
      <c r="AF312" s="79" t="s">
        <v>3556</v>
      </c>
      <c r="AG312" s="79" t="s">
        <v>1538</v>
      </c>
      <c r="AH312" s="79" t="s">
        <v>4114</v>
      </c>
      <c r="AI312" s="79">
        <v>1187</v>
      </c>
      <c r="AJ312" s="79">
        <v>13</v>
      </c>
      <c r="AK312" s="79">
        <v>60</v>
      </c>
      <c r="AL312" s="79">
        <v>0</v>
      </c>
      <c r="AM312" s="79" t="s">
        <v>2092</v>
      </c>
      <c r="AN312" s="114" t="str">
        <f>HYPERLINK("https://www.youtube.com/watch?v=096P11KbN1I")</f>
        <v>https://www.youtube.com/watch?v=096P11KbN1I</v>
      </c>
      <c r="AO312" s="78" t="str">
        <f>REPLACE(INDEX(GroupVertices[Group],MATCH(Vertices[[#This Row],[Vertex]],GroupVertices[Vertex],0)),1,1,"")</f>
        <v>oc Snipes</v>
      </c>
      <c r="AP312" s="2"/>
      <c r="AQ312" s="3"/>
      <c r="AR312" s="3"/>
      <c r="AS312" s="3"/>
      <c r="AT312" s="3"/>
    </row>
    <row r="313" spans="1:46" ht="15">
      <c r="A313" s="64" t="s">
        <v>2272</v>
      </c>
      <c r="B313" s="65"/>
      <c r="C313" s="65"/>
      <c r="D313" s="66">
        <v>150</v>
      </c>
      <c r="E313" s="102">
        <v>97.85714285714286</v>
      </c>
      <c r="F313" s="98" t="str">
        <f>HYPERLINK("https://i.ytimg.com/vi/S2YY9jDr-6A/default.jpg")</f>
        <v>https://i.ytimg.com/vi/S2YY9jDr-6A/default.jpg</v>
      </c>
      <c r="G313" s="100"/>
      <c r="H313" s="69" t="s">
        <v>2749</v>
      </c>
      <c r="I313" s="70"/>
      <c r="J313" s="104" t="s">
        <v>159</v>
      </c>
      <c r="K313" s="69" t="s">
        <v>2749</v>
      </c>
      <c r="L313" s="105">
        <v>1</v>
      </c>
      <c r="M313" s="74">
        <v>4165.42138671875</v>
      </c>
      <c r="N313" s="74">
        <v>3106.121337890625</v>
      </c>
      <c r="O313" s="75"/>
      <c r="P313" s="76"/>
      <c r="Q313" s="76"/>
      <c r="R313" s="106"/>
      <c r="S313" s="48">
        <v>1</v>
      </c>
      <c r="T313" s="48">
        <v>0</v>
      </c>
      <c r="U313" s="49">
        <v>0</v>
      </c>
      <c r="V313" s="49">
        <v>0.170017</v>
      </c>
      <c r="W313" s="107"/>
      <c r="X313" s="50"/>
      <c r="Y313" s="50"/>
      <c r="Z313" s="49">
        <v>0</v>
      </c>
      <c r="AA313" s="71">
        <v>313</v>
      </c>
      <c r="AB313" s="71"/>
      <c r="AC313" s="72"/>
      <c r="AD313" s="79" t="s">
        <v>2749</v>
      </c>
      <c r="AE313" s="79" t="s">
        <v>3194</v>
      </c>
      <c r="AF313" s="79" t="s">
        <v>3556</v>
      </c>
      <c r="AG313" s="79" t="s">
        <v>1538</v>
      </c>
      <c r="AH313" s="79" t="s">
        <v>4115</v>
      </c>
      <c r="AI313" s="79">
        <v>4369</v>
      </c>
      <c r="AJ313" s="79">
        <v>58</v>
      </c>
      <c r="AK313" s="79">
        <v>322</v>
      </c>
      <c r="AL313" s="79">
        <v>0</v>
      </c>
      <c r="AM313" s="79" t="s">
        <v>2092</v>
      </c>
      <c r="AN313" s="114" t="str">
        <f>HYPERLINK("https://www.youtube.com/watch?v=S2YY9jDr-6A")</f>
        <v>https://www.youtube.com/watch?v=S2YY9jDr-6A</v>
      </c>
      <c r="AO313" s="78" t="str">
        <f>REPLACE(INDEX(GroupVertices[Group],MATCH(Vertices[[#This Row],[Vertex]],GroupVertices[Vertex],0)),1,1,"")</f>
        <v>oc Snipes</v>
      </c>
      <c r="AP313" s="2"/>
      <c r="AQ313" s="3"/>
      <c r="AR313" s="3"/>
      <c r="AS313" s="3"/>
      <c r="AT313" s="3"/>
    </row>
    <row r="314" spans="1:46" ht="15">
      <c r="A314" s="64" t="s">
        <v>350</v>
      </c>
      <c r="B314" s="65"/>
      <c r="C314" s="65"/>
      <c r="D314" s="66">
        <v>150</v>
      </c>
      <c r="E314" s="102">
        <v>97.85714285714286</v>
      </c>
      <c r="F314" s="98" t="str">
        <f>HYPERLINK("https://i.ytimg.com/vi/rRGiqnBlar8/default.jpg")</f>
        <v>https://i.ytimg.com/vi/rRGiqnBlar8/default.jpg</v>
      </c>
      <c r="G314" s="100"/>
      <c r="H314" s="69" t="s">
        <v>752</v>
      </c>
      <c r="I314" s="70"/>
      <c r="J314" s="104" t="s">
        <v>159</v>
      </c>
      <c r="K314" s="69" t="s">
        <v>752</v>
      </c>
      <c r="L314" s="105">
        <v>1</v>
      </c>
      <c r="M314" s="74">
        <v>2747.8935546875</v>
      </c>
      <c r="N314" s="74">
        <v>2957.06884765625</v>
      </c>
      <c r="O314" s="75"/>
      <c r="P314" s="76"/>
      <c r="Q314" s="76"/>
      <c r="R314" s="106"/>
      <c r="S314" s="48">
        <v>1</v>
      </c>
      <c r="T314" s="48">
        <v>0</v>
      </c>
      <c r="U314" s="49">
        <v>0</v>
      </c>
      <c r="V314" s="49">
        <v>0.170017</v>
      </c>
      <c r="W314" s="107"/>
      <c r="X314" s="50"/>
      <c r="Y314" s="50"/>
      <c r="Z314" s="49">
        <v>0</v>
      </c>
      <c r="AA314" s="71">
        <v>314</v>
      </c>
      <c r="AB314" s="71"/>
      <c r="AC314" s="72"/>
      <c r="AD314" s="79" t="s">
        <v>752</v>
      </c>
      <c r="AE314" s="79" t="s">
        <v>1109</v>
      </c>
      <c r="AF314" s="79"/>
      <c r="AG314" s="79" t="s">
        <v>1530</v>
      </c>
      <c r="AH314" s="79" t="s">
        <v>1808</v>
      </c>
      <c r="AI314" s="79">
        <v>24133</v>
      </c>
      <c r="AJ314" s="79">
        <v>47</v>
      </c>
      <c r="AK314" s="79">
        <v>572</v>
      </c>
      <c r="AL314" s="79">
        <v>0</v>
      </c>
      <c r="AM314" s="79" t="s">
        <v>2092</v>
      </c>
      <c r="AN314" s="114" t="str">
        <f>HYPERLINK("https://www.youtube.com/watch?v=rRGiqnBlar8")</f>
        <v>https://www.youtube.com/watch?v=rRGiqnBlar8</v>
      </c>
      <c r="AO314" s="78" t="str">
        <f>REPLACE(INDEX(GroupVertices[Group],MATCH(Vertices[[#This Row],[Vertex]],GroupVertices[Vertex],0)),1,1,"")</f>
        <v>DDitude Magazine</v>
      </c>
      <c r="AP314" s="2"/>
      <c r="AQ314" s="3"/>
      <c r="AR314" s="3"/>
      <c r="AS314" s="3"/>
      <c r="AT314" s="3"/>
    </row>
    <row r="315" spans="1:46" ht="15">
      <c r="A315" s="64" t="s">
        <v>280</v>
      </c>
      <c r="B315" s="65"/>
      <c r="C315" s="65"/>
      <c r="D315" s="66">
        <v>150</v>
      </c>
      <c r="E315" s="102">
        <v>97.85714285714286</v>
      </c>
      <c r="F315" s="98" t="str">
        <f>HYPERLINK("https://i.ytimg.com/vi/5EckUtwkfo8/default.jpg")</f>
        <v>https://i.ytimg.com/vi/5EckUtwkfo8/default.jpg</v>
      </c>
      <c r="G315" s="100"/>
      <c r="H315" s="69" t="s">
        <v>673</v>
      </c>
      <c r="I315" s="70"/>
      <c r="J315" s="104" t="s">
        <v>159</v>
      </c>
      <c r="K315" s="69" t="s">
        <v>673</v>
      </c>
      <c r="L315" s="105">
        <v>1</v>
      </c>
      <c r="M315" s="74">
        <v>3674.927734375</v>
      </c>
      <c r="N315" s="74">
        <v>3063.074462890625</v>
      </c>
      <c r="O315" s="75"/>
      <c r="P315" s="76"/>
      <c r="Q315" s="76"/>
      <c r="R315" s="106"/>
      <c r="S315" s="48">
        <v>1</v>
      </c>
      <c r="T315" s="48">
        <v>0</v>
      </c>
      <c r="U315" s="49">
        <v>0</v>
      </c>
      <c r="V315" s="49">
        <v>0.170017</v>
      </c>
      <c r="W315" s="107"/>
      <c r="X315" s="50"/>
      <c r="Y315" s="50"/>
      <c r="Z315" s="49">
        <v>0</v>
      </c>
      <c r="AA315" s="71">
        <v>315</v>
      </c>
      <c r="AB315" s="71"/>
      <c r="AC315" s="72"/>
      <c r="AD315" s="79" t="s">
        <v>673</v>
      </c>
      <c r="AE315" s="79" t="s">
        <v>1063</v>
      </c>
      <c r="AF315" s="79" t="s">
        <v>1326</v>
      </c>
      <c r="AG315" s="79" t="s">
        <v>1539</v>
      </c>
      <c r="AH315" s="79" t="s">
        <v>1726</v>
      </c>
      <c r="AI315" s="79">
        <v>188676</v>
      </c>
      <c r="AJ315" s="79">
        <v>735</v>
      </c>
      <c r="AK315" s="79">
        <v>5428</v>
      </c>
      <c r="AL315" s="79">
        <v>0</v>
      </c>
      <c r="AM315" s="79" t="s">
        <v>2092</v>
      </c>
      <c r="AN315" s="114" t="str">
        <f>HYPERLINK("https://www.youtube.com/watch?v=5EckUtwkfo8")</f>
        <v>https://www.youtube.com/watch?v=5EckUtwkfo8</v>
      </c>
      <c r="AO315" s="78" t="str">
        <f>REPLACE(INDEX(GroupVertices[Group],MATCH(Vertices[[#This Row],[Vertex]],GroupVertices[Vertex],0)),1,1,"")</f>
        <v>ive On Purpose TV</v>
      </c>
      <c r="AP315" s="2"/>
      <c r="AQ315" s="3"/>
      <c r="AR315" s="3"/>
      <c r="AS315" s="3"/>
      <c r="AT315" s="3"/>
    </row>
    <row r="316" spans="1:46" ht="15">
      <c r="A316" s="64" t="s">
        <v>279</v>
      </c>
      <c r="B316" s="65"/>
      <c r="C316" s="65"/>
      <c r="D316" s="66">
        <v>150</v>
      </c>
      <c r="E316" s="102">
        <v>97.85714285714286</v>
      </c>
      <c r="F316" s="98" t="str">
        <f>HYPERLINK("https://i.ytimg.com/vi/dTxLxs8WEXc/default.jpg")</f>
        <v>https://i.ytimg.com/vi/dTxLxs8WEXc/default.jpg</v>
      </c>
      <c r="G316" s="100"/>
      <c r="H316" s="69" t="s">
        <v>671</v>
      </c>
      <c r="I316" s="70"/>
      <c r="J316" s="104" t="s">
        <v>159</v>
      </c>
      <c r="K316" s="69" t="s">
        <v>671</v>
      </c>
      <c r="L316" s="105">
        <v>1</v>
      </c>
      <c r="M316" s="74">
        <v>3547.545654296875</v>
      </c>
      <c r="N316" s="74">
        <v>4390.93212890625</v>
      </c>
      <c r="O316" s="75"/>
      <c r="P316" s="76"/>
      <c r="Q316" s="76"/>
      <c r="R316" s="106"/>
      <c r="S316" s="48">
        <v>1</v>
      </c>
      <c r="T316" s="48">
        <v>0</v>
      </c>
      <c r="U316" s="49">
        <v>0</v>
      </c>
      <c r="V316" s="49">
        <v>0.170017</v>
      </c>
      <c r="W316" s="107"/>
      <c r="X316" s="50"/>
      <c r="Y316" s="50"/>
      <c r="Z316" s="49">
        <v>0</v>
      </c>
      <c r="AA316" s="71">
        <v>316</v>
      </c>
      <c r="AB316" s="71"/>
      <c r="AC316" s="72"/>
      <c r="AD316" s="79" t="s">
        <v>671</v>
      </c>
      <c r="AE316" s="79" t="s">
        <v>3195</v>
      </c>
      <c r="AF316" s="79" t="s">
        <v>1324</v>
      </c>
      <c r="AG316" s="79" t="s">
        <v>1537</v>
      </c>
      <c r="AH316" s="79" t="s">
        <v>1724</v>
      </c>
      <c r="AI316" s="79">
        <v>16978</v>
      </c>
      <c r="AJ316" s="79">
        <v>68</v>
      </c>
      <c r="AK316" s="79">
        <v>0</v>
      </c>
      <c r="AL316" s="79">
        <v>0</v>
      </c>
      <c r="AM316" s="79" t="s">
        <v>2092</v>
      </c>
      <c r="AN316" s="114" t="str">
        <f>HYPERLINK("https://www.youtube.com/watch?v=dTxLxs8WEXc")</f>
        <v>https://www.youtube.com/watch?v=dTxLxs8WEXc</v>
      </c>
      <c r="AO316" s="78" t="str">
        <f>REPLACE(INDEX(GroupVertices[Group],MATCH(Vertices[[#This Row],[Vertex]],GroupVertices[Vertex],0)),1,1,"")</f>
        <v>hirp</v>
      </c>
      <c r="AP316" s="2"/>
      <c r="AQ316" s="3"/>
      <c r="AR316" s="3"/>
      <c r="AS316" s="3"/>
      <c r="AT316" s="3"/>
    </row>
    <row r="317" spans="1:46" ht="15">
      <c r="A317" s="64" t="s">
        <v>2273</v>
      </c>
      <c r="B317" s="65"/>
      <c r="C317" s="65"/>
      <c r="D317" s="66">
        <v>150</v>
      </c>
      <c r="E317" s="102">
        <v>97.85714285714286</v>
      </c>
      <c r="F317" s="98" t="str">
        <f>HYPERLINK("https://i.ytimg.com/vi/W2yrI7-AbIQ/default.jpg")</f>
        <v>https://i.ytimg.com/vi/W2yrI7-AbIQ/default.jpg</v>
      </c>
      <c r="G317" s="100"/>
      <c r="H317" s="69" t="s">
        <v>2750</v>
      </c>
      <c r="I317" s="70"/>
      <c r="J317" s="104" t="s">
        <v>159</v>
      </c>
      <c r="K317" s="69" t="s">
        <v>2750</v>
      </c>
      <c r="L317" s="105">
        <v>1</v>
      </c>
      <c r="M317" s="74">
        <v>2695.54931640625</v>
      </c>
      <c r="N317" s="74">
        <v>3861.126708984375</v>
      </c>
      <c r="O317" s="75"/>
      <c r="P317" s="76"/>
      <c r="Q317" s="76"/>
      <c r="R317" s="106"/>
      <c r="S317" s="48">
        <v>1</v>
      </c>
      <c r="T317" s="48">
        <v>0</v>
      </c>
      <c r="U317" s="49">
        <v>0</v>
      </c>
      <c r="V317" s="49">
        <v>0.170017</v>
      </c>
      <c r="W317" s="107"/>
      <c r="X317" s="50"/>
      <c r="Y317" s="50"/>
      <c r="Z317" s="49">
        <v>0</v>
      </c>
      <c r="AA317" s="71">
        <v>317</v>
      </c>
      <c r="AB317" s="71"/>
      <c r="AC317" s="72"/>
      <c r="AD317" s="79" t="s">
        <v>2750</v>
      </c>
      <c r="AE317" s="79" t="s">
        <v>3196</v>
      </c>
      <c r="AF317" s="79" t="s">
        <v>3556</v>
      </c>
      <c r="AG317" s="79" t="s">
        <v>1538</v>
      </c>
      <c r="AH317" s="79" t="s">
        <v>4116</v>
      </c>
      <c r="AI317" s="79">
        <v>7229</v>
      </c>
      <c r="AJ317" s="79">
        <v>50</v>
      </c>
      <c r="AK317" s="79">
        <v>316</v>
      </c>
      <c r="AL317" s="79">
        <v>0</v>
      </c>
      <c r="AM317" s="79" t="s">
        <v>2092</v>
      </c>
      <c r="AN317" s="114" t="str">
        <f>HYPERLINK("https://www.youtube.com/watch?v=W2yrI7-AbIQ")</f>
        <v>https://www.youtube.com/watch?v=W2yrI7-AbIQ</v>
      </c>
      <c r="AO317" s="78" t="str">
        <f>REPLACE(INDEX(GroupVertices[Group],MATCH(Vertices[[#This Row],[Vertex]],GroupVertices[Vertex],0)),1,1,"")</f>
        <v>oc Snipes</v>
      </c>
      <c r="AP317" s="2"/>
      <c r="AQ317" s="3"/>
      <c r="AR317" s="3"/>
      <c r="AS317" s="3"/>
      <c r="AT317" s="3"/>
    </row>
    <row r="318" spans="1:46" ht="15">
      <c r="A318" s="64" t="s">
        <v>2274</v>
      </c>
      <c r="B318" s="65"/>
      <c r="C318" s="65"/>
      <c r="D318" s="66">
        <v>150</v>
      </c>
      <c r="E318" s="102">
        <v>97.85714285714286</v>
      </c>
      <c r="F318" s="98" t="str">
        <f>HYPERLINK("https://i.ytimg.com/vi/H_ZY_ZwYHDc/default.jpg")</f>
        <v>https://i.ytimg.com/vi/H_ZY_ZwYHDc/default.jpg</v>
      </c>
      <c r="G318" s="100"/>
      <c r="H318" s="69" t="s">
        <v>2751</v>
      </c>
      <c r="I318" s="70"/>
      <c r="J318" s="104" t="s">
        <v>159</v>
      </c>
      <c r="K318" s="69" t="s">
        <v>2751</v>
      </c>
      <c r="L318" s="105">
        <v>1</v>
      </c>
      <c r="M318" s="74">
        <v>3638.6171875</v>
      </c>
      <c r="N318" s="74">
        <v>4712.17236328125</v>
      </c>
      <c r="O318" s="75"/>
      <c r="P318" s="76"/>
      <c r="Q318" s="76"/>
      <c r="R318" s="106"/>
      <c r="S318" s="48">
        <v>1</v>
      </c>
      <c r="T318" s="48">
        <v>0</v>
      </c>
      <c r="U318" s="49">
        <v>0</v>
      </c>
      <c r="V318" s="49">
        <v>0.170017</v>
      </c>
      <c r="W318" s="107"/>
      <c r="X318" s="50"/>
      <c r="Y318" s="50"/>
      <c r="Z318" s="49">
        <v>0</v>
      </c>
      <c r="AA318" s="71">
        <v>318</v>
      </c>
      <c r="AB318" s="71"/>
      <c r="AC318" s="72"/>
      <c r="AD318" s="79" t="s">
        <v>2751</v>
      </c>
      <c r="AE318" s="79" t="s">
        <v>3197</v>
      </c>
      <c r="AF318" s="79" t="s">
        <v>3556</v>
      </c>
      <c r="AG318" s="79" t="s">
        <v>1538</v>
      </c>
      <c r="AH318" s="79" t="s">
        <v>4117</v>
      </c>
      <c r="AI318" s="79">
        <v>2487</v>
      </c>
      <c r="AJ318" s="79">
        <v>24</v>
      </c>
      <c r="AK318" s="79">
        <v>176</v>
      </c>
      <c r="AL318" s="79">
        <v>0</v>
      </c>
      <c r="AM318" s="79" t="s">
        <v>2092</v>
      </c>
      <c r="AN318" s="114" t="str">
        <f>HYPERLINK("https://www.youtube.com/watch?v=H_ZY_ZwYHDc")</f>
        <v>https://www.youtube.com/watch?v=H_ZY_ZwYHDc</v>
      </c>
      <c r="AO318" s="78" t="str">
        <f>REPLACE(INDEX(GroupVertices[Group],MATCH(Vertices[[#This Row],[Vertex]],GroupVertices[Vertex],0)),1,1,"")</f>
        <v>oc Snipes</v>
      </c>
      <c r="AP318" s="2"/>
      <c r="AQ318" s="3"/>
      <c r="AR318" s="3"/>
      <c r="AS318" s="3"/>
      <c r="AT318" s="3"/>
    </row>
    <row r="319" spans="1:46" ht="15">
      <c r="A319" s="64" t="s">
        <v>2275</v>
      </c>
      <c r="B319" s="65"/>
      <c r="C319" s="65"/>
      <c r="D319" s="66">
        <v>150</v>
      </c>
      <c r="E319" s="102">
        <v>97.85714285714286</v>
      </c>
      <c r="F319" s="98" t="str">
        <f>HYPERLINK("https://i.ytimg.com/vi/_1wMaedQ-yY/default.jpg")</f>
        <v>https://i.ytimg.com/vi/_1wMaedQ-yY/default.jpg</v>
      </c>
      <c r="G319" s="100"/>
      <c r="H319" s="69" t="s">
        <v>2752</v>
      </c>
      <c r="I319" s="70"/>
      <c r="J319" s="104" t="s">
        <v>159</v>
      </c>
      <c r="K319" s="69" t="s">
        <v>2752</v>
      </c>
      <c r="L319" s="105">
        <v>1</v>
      </c>
      <c r="M319" s="74">
        <v>3882.2900390625</v>
      </c>
      <c r="N319" s="74">
        <v>3831.80859375</v>
      </c>
      <c r="O319" s="75"/>
      <c r="P319" s="76"/>
      <c r="Q319" s="76"/>
      <c r="R319" s="106"/>
      <c r="S319" s="48">
        <v>1</v>
      </c>
      <c r="T319" s="48">
        <v>0</v>
      </c>
      <c r="U319" s="49">
        <v>0</v>
      </c>
      <c r="V319" s="49">
        <v>0.170017</v>
      </c>
      <c r="W319" s="107"/>
      <c r="X319" s="50"/>
      <c r="Y319" s="50"/>
      <c r="Z319" s="49">
        <v>0</v>
      </c>
      <c r="AA319" s="71">
        <v>319</v>
      </c>
      <c r="AB319" s="71"/>
      <c r="AC319" s="72"/>
      <c r="AD319" s="79" t="s">
        <v>2752</v>
      </c>
      <c r="AE319" s="79" t="s">
        <v>3198</v>
      </c>
      <c r="AF319" s="79" t="s">
        <v>3556</v>
      </c>
      <c r="AG319" s="79" t="s">
        <v>1538</v>
      </c>
      <c r="AH319" s="79" t="s">
        <v>4118</v>
      </c>
      <c r="AI319" s="79">
        <v>1517</v>
      </c>
      <c r="AJ319" s="79">
        <v>9</v>
      </c>
      <c r="AK319" s="79">
        <v>89</v>
      </c>
      <c r="AL319" s="79">
        <v>0</v>
      </c>
      <c r="AM319" s="79" t="s">
        <v>2092</v>
      </c>
      <c r="AN319" s="114" t="str">
        <f>HYPERLINK("https://www.youtube.com/watch?v=_1wMaedQ-yY")</f>
        <v>https://www.youtube.com/watch?v=_1wMaedQ-yY</v>
      </c>
      <c r="AO319" s="78" t="str">
        <f>REPLACE(INDEX(GroupVertices[Group],MATCH(Vertices[[#This Row],[Vertex]],GroupVertices[Vertex],0)),1,1,"")</f>
        <v>oc Snipes</v>
      </c>
      <c r="AP319" s="2"/>
      <c r="AQ319" s="3"/>
      <c r="AR319" s="3"/>
      <c r="AS319" s="3"/>
      <c r="AT319" s="3"/>
    </row>
    <row r="320" spans="1:46" ht="15">
      <c r="A320" s="64" t="s">
        <v>2276</v>
      </c>
      <c r="B320" s="65"/>
      <c r="C320" s="65"/>
      <c r="D320" s="66">
        <v>150</v>
      </c>
      <c r="E320" s="102">
        <v>97.85714285714286</v>
      </c>
      <c r="F320" s="98" t="str">
        <f>HYPERLINK("https://i.ytimg.com/vi/TdGOZNpKBK8/default.jpg")</f>
        <v>https://i.ytimg.com/vi/TdGOZNpKBK8/default.jpg</v>
      </c>
      <c r="G320" s="100"/>
      <c r="H320" s="69" t="s">
        <v>2753</v>
      </c>
      <c r="I320" s="70"/>
      <c r="J320" s="104" t="s">
        <v>159</v>
      </c>
      <c r="K320" s="69" t="s">
        <v>2753</v>
      </c>
      <c r="L320" s="105">
        <v>1</v>
      </c>
      <c r="M320" s="74">
        <v>2636.951904296875</v>
      </c>
      <c r="N320" s="74">
        <v>3587.133056640625</v>
      </c>
      <c r="O320" s="75"/>
      <c r="P320" s="76"/>
      <c r="Q320" s="76"/>
      <c r="R320" s="106"/>
      <c r="S320" s="48">
        <v>1</v>
      </c>
      <c r="T320" s="48">
        <v>0</v>
      </c>
      <c r="U320" s="49">
        <v>0</v>
      </c>
      <c r="V320" s="49">
        <v>0.170017</v>
      </c>
      <c r="W320" s="107"/>
      <c r="X320" s="50"/>
      <c r="Y320" s="50"/>
      <c r="Z320" s="49">
        <v>0</v>
      </c>
      <c r="AA320" s="71">
        <v>320</v>
      </c>
      <c r="AB320" s="71"/>
      <c r="AC320" s="72"/>
      <c r="AD320" s="79" t="s">
        <v>2753</v>
      </c>
      <c r="AE320" s="79" t="s">
        <v>3191</v>
      </c>
      <c r="AF320" s="79" t="s">
        <v>3556</v>
      </c>
      <c r="AG320" s="79" t="s">
        <v>1538</v>
      </c>
      <c r="AH320" s="79" t="s">
        <v>4119</v>
      </c>
      <c r="AI320" s="79">
        <v>707</v>
      </c>
      <c r="AJ320" s="79">
        <v>5</v>
      </c>
      <c r="AK320" s="79">
        <v>87</v>
      </c>
      <c r="AL320" s="79">
        <v>0</v>
      </c>
      <c r="AM320" s="79" t="s">
        <v>2092</v>
      </c>
      <c r="AN320" s="114" t="str">
        <f>HYPERLINK("https://www.youtube.com/watch?v=TdGOZNpKBK8")</f>
        <v>https://www.youtube.com/watch?v=TdGOZNpKBK8</v>
      </c>
      <c r="AO320" s="78" t="str">
        <f>REPLACE(INDEX(GroupVertices[Group],MATCH(Vertices[[#This Row],[Vertex]],GroupVertices[Vertex],0)),1,1,"")</f>
        <v>oc Snipes</v>
      </c>
      <c r="AP320" s="2"/>
      <c r="AQ320" s="3"/>
      <c r="AR320" s="3"/>
      <c r="AS320" s="3"/>
      <c r="AT320" s="3"/>
    </row>
    <row r="321" spans="1:46" ht="15">
      <c r="A321" s="64" t="s">
        <v>2277</v>
      </c>
      <c r="B321" s="65"/>
      <c r="C321" s="65"/>
      <c r="D321" s="66">
        <v>150</v>
      </c>
      <c r="E321" s="102">
        <v>97.85714285714286</v>
      </c>
      <c r="F321" s="98" t="str">
        <f>HYPERLINK("https://i.ytimg.com/vi/Kf-ISR73864/default.jpg")</f>
        <v>https://i.ytimg.com/vi/Kf-ISR73864/default.jpg</v>
      </c>
      <c r="G321" s="100"/>
      <c r="H321" s="69" t="s">
        <v>2754</v>
      </c>
      <c r="I321" s="70"/>
      <c r="J321" s="104" t="s">
        <v>159</v>
      </c>
      <c r="K321" s="69" t="s">
        <v>2754</v>
      </c>
      <c r="L321" s="105">
        <v>1</v>
      </c>
      <c r="M321" s="74">
        <v>3658.547607421875</v>
      </c>
      <c r="N321" s="74">
        <v>2619.487060546875</v>
      </c>
      <c r="O321" s="75"/>
      <c r="P321" s="76"/>
      <c r="Q321" s="76"/>
      <c r="R321" s="106"/>
      <c r="S321" s="48">
        <v>1</v>
      </c>
      <c r="T321" s="48">
        <v>0</v>
      </c>
      <c r="U321" s="49">
        <v>0</v>
      </c>
      <c r="V321" s="49">
        <v>0.170017</v>
      </c>
      <c r="W321" s="107"/>
      <c r="X321" s="50"/>
      <c r="Y321" s="50"/>
      <c r="Z321" s="49">
        <v>0</v>
      </c>
      <c r="AA321" s="71">
        <v>321</v>
      </c>
      <c r="AB321" s="71"/>
      <c r="AC321" s="72"/>
      <c r="AD321" s="79" t="s">
        <v>2754</v>
      </c>
      <c r="AE321" s="79" t="s">
        <v>3191</v>
      </c>
      <c r="AF321" s="79" t="s">
        <v>3556</v>
      </c>
      <c r="AG321" s="79" t="s">
        <v>1538</v>
      </c>
      <c r="AH321" s="79" t="s">
        <v>4120</v>
      </c>
      <c r="AI321" s="79">
        <v>1640</v>
      </c>
      <c r="AJ321" s="79">
        <v>26</v>
      </c>
      <c r="AK321" s="79">
        <v>112</v>
      </c>
      <c r="AL321" s="79">
        <v>0</v>
      </c>
      <c r="AM321" s="79" t="s">
        <v>2092</v>
      </c>
      <c r="AN321" s="114" t="str">
        <f>HYPERLINK("https://www.youtube.com/watch?v=Kf-ISR73864")</f>
        <v>https://www.youtube.com/watch?v=Kf-ISR73864</v>
      </c>
      <c r="AO321" s="78" t="str">
        <f>REPLACE(INDEX(GroupVertices[Group],MATCH(Vertices[[#This Row],[Vertex]],GroupVertices[Vertex],0)),1,1,"")</f>
        <v>oc Snipes</v>
      </c>
      <c r="AP321" s="2"/>
      <c r="AQ321" s="3"/>
      <c r="AR321" s="3"/>
      <c r="AS321" s="3"/>
      <c r="AT321" s="3"/>
    </row>
    <row r="322" spans="1:46" ht="15">
      <c r="A322" s="64" t="s">
        <v>2278</v>
      </c>
      <c r="B322" s="65"/>
      <c r="C322" s="65"/>
      <c r="D322" s="66">
        <v>150</v>
      </c>
      <c r="E322" s="102">
        <v>97.85714285714286</v>
      </c>
      <c r="F322" s="98" t="str">
        <f>HYPERLINK("https://i.ytimg.com/vi/O8cEy7uP5Qw/default.jpg")</f>
        <v>https://i.ytimg.com/vi/O8cEy7uP5Qw/default.jpg</v>
      </c>
      <c r="G322" s="100"/>
      <c r="H322" s="69" t="s">
        <v>2755</v>
      </c>
      <c r="I322" s="70"/>
      <c r="J322" s="104" t="s">
        <v>159</v>
      </c>
      <c r="K322" s="69" t="s">
        <v>2755</v>
      </c>
      <c r="L322" s="105">
        <v>1</v>
      </c>
      <c r="M322" s="74">
        <v>4037.71240234375</v>
      </c>
      <c r="N322" s="74">
        <v>2458.81494140625</v>
      </c>
      <c r="O322" s="75"/>
      <c r="P322" s="76"/>
      <c r="Q322" s="76"/>
      <c r="R322" s="106"/>
      <c r="S322" s="48">
        <v>1</v>
      </c>
      <c r="T322" s="48">
        <v>0</v>
      </c>
      <c r="U322" s="49">
        <v>0</v>
      </c>
      <c r="V322" s="49">
        <v>0.170017</v>
      </c>
      <c r="W322" s="107"/>
      <c r="X322" s="50"/>
      <c r="Y322" s="50"/>
      <c r="Z322" s="49">
        <v>0</v>
      </c>
      <c r="AA322" s="71">
        <v>322</v>
      </c>
      <c r="AB322" s="71"/>
      <c r="AC322" s="72"/>
      <c r="AD322" s="79" t="s">
        <v>2755</v>
      </c>
      <c r="AE322" s="79" t="s">
        <v>3199</v>
      </c>
      <c r="AF322" s="79" t="s">
        <v>3556</v>
      </c>
      <c r="AG322" s="79" t="s">
        <v>1538</v>
      </c>
      <c r="AH322" s="79" t="s">
        <v>4121</v>
      </c>
      <c r="AI322" s="79">
        <v>16395</v>
      </c>
      <c r="AJ322" s="79">
        <v>73</v>
      </c>
      <c r="AK322" s="79">
        <v>590</v>
      </c>
      <c r="AL322" s="79">
        <v>0</v>
      </c>
      <c r="AM322" s="79" t="s">
        <v>2092</v>
      </c>
      <c r="AN322" s="114" t="str">
        <f>HYPERLINK("https://www.youtube.com/watch?v=O8cEy7uP5Qw")</f>
        <v>https://www.youtube.com/watch?v=O8cEy7uP5Qw</v>
      </c>
      <c r="AO322" s="78" t="str">
        <f>REPLACE(INDEX(GroupVertices[Group],MATCH(Vertices[[#This Row],[Vertex]],GroupVertices[Vertex],0)),1,1,"")</f>
        <v>oc Snipes</v>
      </c>
      <c r="AP322" s="2"/>
      <c r="AQ322" s="3"/>
      <c r="AR322" s="3"/>
      <c r="AS322" s="3"/>
      <c r="AT322" s="3"/>
    </row>
    <row r="323" spans="1:46" ht="15">
      <c r="A323" s="64" t="s">
        <v>2279</v>
      </c>
      <c r="B323" s="65"/>
      <c r="C323" s="65"/>
      <c r="D323" s="66">
        <v>150</v>
      </c>
      <c r="E323" s="102">
        <v>97.85714285714286</v>
      </c>
      <c r="F323" s="98" t="str">
        <f>HYPERLINK("https://i.ytimg.com/vi/8B4MVIzbww4/default.jpg")</f>
        <v>https://i.ytimg.com/vi/8B4MVIzbww4/default.jpg</v>
      </c>
      <c r="G323" s="100"/>
      <c r="H323" s="69" t="s">
        <v>2756</v>
      </c>
      <c r="I323" s="70"/>
      <c r="J323" s="104" t="s">
        <v>159</v>
      </c>
      <c r="K323" s="69" t="s">
        <v>2756</v>
      </c>
      <c r="L323" s="105">
        <v>1</v>
      </c>
      <c r="M323" s="74">
        <v>2812.252197265625</v>
      </c>
      <c r="N323" s="74">
        <v>3435.072509765625</v>
      </c>
      <c r="O323" s="75"/>
      <c r="P323" s="76"/>
      <c r="Q323" s="76"/>
      <c r="R323" s="106"/>
      <c r="S323" s="48">
        <v>1</v>
      </c>
      <c r="T323" s="48">
        <v>0</v>
      </c>
      <c r="U323" s="49">
        <v>0</v>
      </c>
      <c r="V323" s="49">
        <v>0.170017</v>
      </c>
      <c r="W323" s="107"/>
      <c r="X323" s="50"/>
      <c r="Y323" s="50"/>
      <c r="Z323" s="49">
        <v>0</v>
      </c>
      <c r="AA323" s="71">
        <v>323</v>
      </c>
      <c r="AB323" s="71"/>
      <c r="AC323" s="72"/>
      <c r="AD323" s="79" t="s">
        <v>2756</v>
      </c>
      <c r="AE323" s="79" t="s">
        <v>3200</v>
      </c>
      <c r="AF323" s="79" t="s">
        <v>3556</v>
      </c>
      <c r="AG323" s="79" t="s">
        <v>1538</v>
      </c>
      <c r="AH323" s="79" t="s">
        <v>4122</v>
      </c>
      <c r="AI323" s="79">
        <v>9741</v>
      </c>
      <c r="AJ323" s="79">
        <v>69</v>
      </c>
      <c r="AK323" s="79">
        <v>433</v>
      </c>
      <c r="AL323" s="79">
        <v>0</v>
      </c>
      <c r="AM323" s="79" t="s">
        <v>2092</v>
      </c>
      <c r="AN323" s="114" t="str">
        <f>HYPERLINK("https://www.youtube.com/watch?v=8B4MVIzbww4")</f>
        <v>https://www.youtube.com/watch?v=8B4MVIzbww4</v>
      </c>
      <c r="AO323" s="78" t="str">
        <f>REPLACE(INDEX(GroupVertices[Group],MATCH(Vertices[[#This Row],[Vertex]],GroupVertices[Vertex],0)),1,1,"")</f>
        <v>oc Snipes</v>
      </c>
      <c r="AP323" s="2"/>
      <c r="AQ323" s="3"/>
      <c r="AR323" s="3"/>
      <c r="AS323" s="3"/>
      <c r="AT323" s="3"/>
    </row>
    <row r="324" spans="1:46" ht="15">
      <c r="A324" s="64" t="s">
        <v>2280</v>
      </c>
      <c r="B324" s="65"/>
      <c r="C324" s="65"/>
      <c r="D324" s="66">
        <v>150</v>
      </c>
      <c r="E324" s="102">
        <v>97.85714285714286</v>
      </c>
      <c r="F324" s="98" t="str">
        <f>HYPERLINK("https://i.ytimg.com/vi/8YyVsh6VaUA/default.jpg")</f>
        <v>https://i.ytimg.com/vi/8YyVsh6VaUA/default.jpg</v>
      </c>
      <c r="G324" s="100"/>
      <c r="H324" s="69" t="s">
        <v>2757</v>
      </c>
      <c r="I324" s="70"/>
      <c r="J324" s="104" t="s">
        <v>159</v>
      </c>
      <c r="K324" s="69" t="s">
        <v>2757</v>
      </c>
      <c r="L324" s="105">
        <v>1</v>
      </c>
      <c r="M324" s="74">
        <v>4148.751953125</v>
      </c>
      <c r="N324" s="74">
        <v>4006.8291015625</v>
      </c>
      <c r="O324" s="75"/>
      <c r="P324" s="76"/>
      <c r="Q324" s="76"/>
      <c r="R324" s="106"/>
      <c r="S324" s="48">
        <v>1</v>
      </c>
      <c r="T324" s="48">
        <v>0</v>
      </c>
      <c r="U324" s="49">
        <v>0</v>
      </c>
      <c r="V324" s="49">
        <v>0.170017</v>
      </c>
      <c r="W324" s="107"/>
      <c r="X324" s="50"/>
      <c r="Y324" s="50"/>
      <c r="Z324" s="49">
        <v>0</v>
      </c>
      <c r="AA324" s="71">
        <v>324</v>
      </c>
      <c r="AB324" s="71"/>
      <c r="AC324" s="72"/>
      <c r="AD324" s="79" t="s">
        <v>2757</v>
      </c>
      <c r="AE324" s="79" t="s">
        <v>3201</v>
      </c>
      <c r="AF324" s="79" t="s">
        <v>3556</v>
      </c>
      <c r="AG324" s="79" t="s">
        <v>1538</v>
      </c>
      <c r="AH324" s="79" t="s">
        <v>4123</v>
      </c>
      <c r="AI324" s="79">
        <v>5925</v>
      </c>
      <c r="AJ324" s="79">
        <v>40</v>
      </c>
      <c r="AK324" s="79">
        <v>291</v>
      </c>
      <c r="AL324" s="79">
        <v>0</v>
      </c>
      <c r="AM324" s="79" t="s">
        <v>2092</v>
      </c>
      <c r="AN324" s="114" t="str">
        <f>HYPERLINK("https://www.youtube.com/watch?v=8YyVsh6VaUA")</f>
        <v>https://www.youtube.com/watch?v=8YyVsh6VaUA</v>
      </c>
      <c r="AO324" s="78" t="str">
        <f>REPLACE(INDEX(GroupVertices[Group],MATCH(Vertices[[#This Row],[Vertex]],GroupVertices[Vertex],0)),1,1,"")</f>
        <v>oc Snipes</v>
      </c>
      <c r="AP324" s="2"/>
      <c r="AQ324" s="3"/>
      <c r="AR324" s="3"/>
      <c r="AS324" s="3"/>
      <c r="AT324" s="3"/>
    </row>
    <row r="325" spans="1:46" ht="15">
      <c r="A325" s="64" t="s">
        <v>2281</v>
      </c>
      <c r="B325" s="65"/>
      <c r="C325" s="65"/>
      <c r="D325" s="66">
        <v>150</v>
      </c>
      <c r="E325" s="102">
        <v>97.85714285714286</v>
      </c>
      <c r="F325" s="98" t="str">
        <f>HYPERLINK("https://i.ytimg.com/vi/nuh5uW2MdYw/default.jpg")</f>
        <v>https://i.ytimg.com/vi/nuh5uW2MdYw/default.jpg</v>
      </c>
      <c r="G325" s="100"/>
      <c r="H325" s="69" t="s">
        <v>2758</v>
      </c>
      <c r="I325" s="70"/>
      <c r="J325" s="104" t="s">
        <v>159</v>
      </c>
      <c r="K325" s="69" t="s">
        <v>2758</v>
      </c>
      <c r="L325" s="105">
        <v>1</v>
      </c>
      <c r="M325" s="74">
        <v>4358.95556640625</v>
      </c>
      <c r="N325" s="74">
        <v>4157.82177734375</v>
      </c>
      <c r="O325" s="75"/>
      <c r="P325" s="76"/>
      <c r="Q325" s="76"/>
      <c r="R325" s="106"/>
      <c r="S325" s="48">
        <v>1</v>
      </c>
      <c r="T325" s="48">
        <v>0</v>
      </c>
      <c r="U325" s="49">
        <v>0</v>
      </c>
      <c r="V325" s="49">
        <v>0.170017</v>
      </c>
      <c r="W325" s="107"/>
      <c r="X325" s="50"/>
      <c r="Y325" s="50"/>
      <c r="Z325" s="49">
        <v>0</v>
      </c>
      <c r="AA325" s="71">
        <v>325</v>
      </c>
      <c r="AB325" s="71"/>
      <c r="AC325" s="72"/>
      <c r="AD325" s="79" t="s">
        <v>2758</v>
      </c>
      <c r="AE325" s="79" t="s">
        <v>3191</v>
      </c>
      <c r="AF325" s="79" t="s">
        <v>3556</v>
      </c>
      <c r="AG325" s="79" t="s">
        <v>1538</v>
      </c>
      <c r="AH325" s="79" t="s">
        <v>4124</v>
      </c>
      <c r="AI325" s="79">
        <v>4480</v>
      </c>
      <c r="AJ325" s="79">
        <v>33</v>
      </c>
      <c r="AK325" s="79">
        <v>326</v>
      </c>
      <c r="AL325" s="79">
        <v>0</v>
      </c>
      <c r="AM325" s="79" t="s">
        <v>2092</v>
      </c>
      <c r="AN325" s="114" t="str">
        <f>HYPERLINK("https://www.youtube.com/watch?v=nuh5uW2MdYw")</f>
        <v>https://www.youtube.com/watch?v=nuh5uW2MdYw</v>
      </c>
      <c r="AO325" s="78" t="str">
        <f>REPLACE(INDEX(GroupVertices[Group],MATCH(Vertices[[#This Row],[Vertex]],GroupVertices[Vertex],0)),1,1,"")</f>
        <v>oc Snipes</v>
      </c>
      <c r="AP325" s="2"/>
      <c r="AQ325" s="3"/>
      <c r="AR325" s="3"/>
      <c r="AS325" s="3"/>
      <c r="AT325" s="3"/>
    </row>
    <row r="326" spans="1:46" ht="15">
      <c r="A326" s="64" t="s">
        <v>2282</v>
      </c>
      <c r="B326" s="65"/>
      <c r="C326" s="65"/>
      <c r="D326" s="66">
        <v>150</v>
      </c>
      <c r="E326" s="102">
        <v>97.85714285714286</v>
      </c>
      <c r="F326" s="98" t="str">
        <f>HYPERLINK("https://i.ytimg.com/vi/7G3EBQAE06M/default.jpg")</f>
        <v>https://i.ytimg.com/vi/7G3EBQAE06M/default.jpg</v>
      </c>
      <c r="G326" s="100"/>
      <c r="H326" s="69" t="s">
        <v>2759</v>
      </c>
      <c r="I326" s="70"/>
      <c r="J326" s="104" t="s">
        <v>159</v>
      </c>
      <c r="K326" s="69" t="s">
        <v>2759</v>
      </c>
      <c r="L326" s="105">
        <v>1</v>
      </c>
      <c r="M326" s="74">
        <v>3345.423583984375</v>
      </c>
      <c r="N326" s="74">
        <v>2651.681640625</v>
      </c>
      <c r="O326" s="75"/>
      <c r="P326" s="76"/>
      <c r="Q326" s="76"/>
      <c r="R326" s="106"/>
      <c r="S326" s="48">
        <v>1</v>
      </c>
      <c r="T326" s="48">
        <v>0</v>
      </c>
      <c r="U326" s="49">
        <v>0</v>
      </c>
      <c r="V326" s="49">
        <v>0.170017</v>
      </c>
      <c r="W326" s="107"/>
      <c r="X326" s="50"/>
      <c r="Y326" s="50"/>
      <c r="Z326" s="49">
        <v>0</v>
      </c>
      <c r="AA326" s="71">
        <v>326</v>
      </c>
      <c r="AB326" s="71"/>
      <c r="AC326" s="72"/>
      <c r="AD326" s="79" t="s">
        <v>2759</v>
      </c>
      <c r="AE326" s="79" t="s">
        <v>3191</v>
      </c>
      <c r="AF326" s="79" t="s">
        <v>3556</v>
      </c>
      <c r="AG326" s="79" t="s">
        <v>1538</v>
      </c>
      <c r="AH326" s="79" t="s">
        <v>4125</v>
      </c>
      <c r="AI326" s="79">
        <v>2989</v>
      </c>
      <c r="AJ326" s="79">
        <v>28</v>
      </c>
      <c r="AK326" s="79">
        <v>186</v>
      </c>
      <c r="AL326" s="79">
        <v>0</v>
      </c>
      <c r="AM326" s="79" t="s">
        <v>2092</v>
      </c>
      <c r="AN326" s="114" t="str">
        <f>HYPERLINK("https://www.youtube.com/watch?v=7G3EBQAE06M")</f>
        <v>https://www.youtube.com/watch?v=7G3EBQAE06M</v>
      </c>
      <c r="AO326" s="78" t="str">
        <f>REPLACE(INDEX(GroupVertices[Group],MATCH(Vertices[[#This Row],[Vertex]],GroupVertices[Vertex],0)),1,1,"")</f>
        <v>oc Snipes</v>
      </c>
      <c r="AP326" s="2"/>
      <c r="AQ326" s="3"/>
      <c r="AR326" s="3"/>
      <c r="AS326" s="3"/>
      <c r="AT326" s="3"/>
    </row>
    <row r="327" spans="1:46" ht="15">
      <c r="A327" s="64" t="s">
        <v>572</v>
      </c>
      <c r="B327" s="65"/>
      <c r="C327" s="65"/>
      <c r="D327" s="66">
        <v>150</v>
      </c>
      <c r="E327" s="102">
        <v>97.85714285714286</v>
      </c>
      <c r="F327" s="98" t="str">
        <f>HYPERLINK("https://i.ytimg.com/vi/LHsVx80aC-c/default.jpg")</f>
        <v>https://i.ytimg.com/vi/LHsVx80aC-c/default.jpg</v>
      </c>
      <c r="G327" s="100"/>
      <c r="H327" s="69" t="s">
        <v>996</v>
      </c>
      <c r="I327" s="70"/>
      <c r="J327" s="104" t="s">
        <v>159</v>
      </c>
      <c r="K327" s="69" t="s">
        <v>996</v>
      </c>
      <c r="L327" s="105">
        <v>1</v>
      </c>
      <c r="M327" s="74">
        <v>3415.8076171875</v>
      </c>
      <c r="N327" s="74">
        <v>4703.43212890625</v>
      </c>
      <c r="O327" s="75"/>
      <c r="P327" s="76"/>
      <c r="Q327" s="76"/>
      <c r="R327" s="106"/>
      <c r="S327" s="48">
        <v>1</v>
      </c>
      <c r="T327" s="48">
        <v>0</v>
      </c>
      <c r="U327" s="49">
        <v>0</v>
      </c>
      <c r="V327" s="49">
        <v>0.170017</v>
      </c>
      <c r="W327" s="107"/>
      <c r="X327" s="50"/>
      <c r="Y327" s="50"/>
      <c r="Z327" s="49">
        <v>0</v>
      </c>
      <c r="AA327" s="71">
        <v>327</v>
      </c>
      <c r="AB327" s="71"/>
      <c r="AC327" s="72"/>
      <c r="AD327" s="79" t="s">
        <v>996</v>
      </c>
      <c r="AE327" s="79" t="s">
        <v>1268</v>
      </c>
      <c r="AF327" s="79"/>
      <c r="AG327" s="79" t="s">
        <v>1530</v>
      </c>
      <c r="AH327" s="79" t="s">
        <v>2053</v>
      </c>
      <c r="AI327" s="79">
        <v>24633</v>
      </c>
      <c r="AJ327" s="79">
        <v>99</v>
      </c>
      <c r="AK327" s="79">
        <v>569</v>
      </c>
      <c r="AL327" s="79">
        <v>0</v>
      </c>
      <c r="AM327" s="79" t="s">
        <v>2092</v>
      </c>
      <c r="AN327" s="114" t="str">
        <f>HYPERLINK("https://www.youtube.com/watch?v=LHsVx80aC-c")</f>
        <v>https://www.youtube.com/watch?v=LHsVx80aC-c</v>
      </c>
      <c r="AO327" s="78" t="str">
        <f>REPLACE(INDEX(GroupVertices[Group],MATCH(Vertices[[#This Row],[Vertex]],GroupVertices[Vertex],0)),1,1,"")</f>
        <v>DDitude Magazine</v>
      </c>
      <c r="AP327" s="2"/>
      <c r="AQ327" s="3"/>
      <c r="AR327" s="3"/>
      <c r="AS327" s="3"/>
      <c r="AT327" s="3"/>
    </row>
    <row r="328" spans="1:46" ht="15">
      <c r="A328" s="64" t="s">
        <v>2283</v>
      </c>
      <c r="B328" s="65"/>
      <c r="C328" s="65"/>
      <c r="D328" s="66">
        <v>150</v>
      </c>
      <c r="E328" s="102">
        <v>97.85714285714286</v>
      </c>
      <c r="F328" s="98" t="str">
        <f>HYPERLINK("https://i.ytimg.com/vi/iAjTdPgFH5U/default.jpg")</f>
        <v>https://i.ytimg.com/vi/iAjTdPgFH5U/default.jpg</v>
      </c>
      <c r="G328" s="100"/>
      <c r="H328" s="69" t="s">
        <v>2760</v>
      </c>
      <c r="I328" s="70"/>
      <c r="J328" s="104" t="s">
        <v>159</v>
      </c>
      <c r="K328" s="69" t="s">
        <v>2760</v>
      </c>
      <c r="L328" s="105">
        <v>1</v>
      </c>
      <c r="M328" s="74">
        <v>3005.8232421875</v>
      </c>
      <c r="N328" s="74">
        <v>2981.319580078125</v>
      </c>
      <c r="O328" s="75"/>
      <c r="P328" s="76"/>
      <c r="Q328" s="76"/>
      <c r="R328" s="106"/>
      <c r="S328" s="48">
        <v>1</v>
      </c>
      <c r="T328" s="48">
        <v>0</v>
      </c>
      <c r="U328" s="49">
        <v>0</v>
      </c>
      <c r="V328" s="49">
        <v>0.170017</v>
      </c>
      <c r="W328" s="107"/>
      <c r="X328" s="50"/>
      <c r="Y328" s="50"/>
      <c r="Z328" s="49">
        <v>0</v>
      </c>
      <c r="AA328" s="71">
        <v>328</v>
      </c>
      <c r="AB328" s="71"/>
      <c r="AC328" s="72"/>
      <c r="AD328" s="79" t="s">
        <v>2760</v>
      </c>
      <c r="AE328" s="79" t="s">
        <v>3202</v>
      </c>
      <c r="AF328" s="79" t="s">
        <v>3556</v>
      </c>
      <c r="AG328" s="79" t="s">
        <v>1538</v>
      </c>
      <c r="AH328" s="79" t="s">
        <v>4126</v>
      </c>
      <c r="AI328" s="79">
        <v>4658</v>
      </c>
      <c r="AJ328" s="79">
        <v>28</v>
      </c>
      <c r="AK328" s="79">
        <v>211</v>
      </c>
      <c r="AL328" s="79">
        <v>0</v>
      </c>
      <c r="AM328" s="79" t="s">
        <v>2092</v>
      </c>
      <c r="AN328" s="114" t="str">
        <f>HYPERLINK("https://www.youtube.com/watch?v=iAjTdPgFH5U")</f>
        <v>https://www.youtube.com/watch?v=iAjTdPgFH5U</v>
      </c>
      <c r="AO328" s="78" t="str">
        <f>REPLACE(INDEX(GroupVertices[Group],MATCH(Vertices[[#This Row],[Vertex]],GroupVertices[Vertex],0)),1,1,"")</f>
        <v>oc Snipes</v>
      </c>
      <c r="AP328" s="2"/>
      <c r="AQ328" s="3"/>
      <c r="AR328" s="3"/>
      <c r="AS328" s="3"/>
      <c r="AT328" s="3"/>
    </row>
    <row r="329" spans="1:46" ht="15">
      <c r="A329" s="64" t="s">
        <v>2284</v>
      </c>
      <c r="B329" s="65"/>
      <c r="C329" s="65"/>
      <c r="D329" s="66">
        <v>150</v>
      </c>
      <c r="E329" s="102">
        <v>97.85714285714286</v>
      </c>
      <c r="F329" s="98" t="str">
        <f>HYPERLINK("https://i.ytimg.com/vi/6qrLOSiNQG0/default.jpg")</f>
        <v>https://i.ytimg.com/vi/6qrLOSiNQG0/default.jpg</v>
      </c>
      <c r="G329" s="100"/>
      <c r="H329" s="69" t="s">
        <v>2761</v>
      </c>
      <c r="I329" s="70"/>
      <c r="J329" s="104" t="s">
        <v>159</v>
      </c>
      <c r="K329" s="69" t="s">
        <v>2761</v>
      </c>
      <c r="L329" s="105">
        <v>1</v>
      </c>
      <c r="M329" s="74">
        <v>3556.423095703125</v>
      </c>
      <c r="N329" s="74">
        <v>3998.745849609375</v>
      </c>
      <c r="O329" s="75"/>
      <c r="P329" s="76"/>
      <c r="Q329" s="76"/>
      <c r="R329" s="106"/>
      <c r="S329" s="48">
        <v>1</v>
      </c>
      <c r="T329" s="48">
        <v>0</v>
      </c>
      <c r="U329" s="49">
        <v>0</v>
      </c>
      <c r="V329" s="49">
        <v>0.170017</v>
      </c>
      <c r="W329" s="107"/>
      <c r="X329" s="50"/>
      <c r="Y329" s="50"/>
      <c r="Z329" s="49">
        <v>0</v>
      </c>
      <c r="AA329" s="71">
        <v>329</v>
      </c>
      <c r="AB329" s="71"/>
      <c r="AC329" s="72"/>
      <c r="AD329" s="79" t="s">
        <v>2761</v>
      </c>
      <c r="AE329" s="79" t="s">
        <v>3203</v>
      </c>
      <c r="AF329" s="79" t="s">
        <v>3558</v>
      </c>
      <c r="AG329" s="79" t="s">
        <v>1538</v>
      </c>
      <c r="AH329" s="79" t="s">
        <v>4127</v>
      </c>
      <c r="AI329" s="79">
        <v>7705</v>
      </c>
      <c r="AJ329" s="79">
        <v>36</v>
      </c>
      <c r="AK329" s="79">
        <v>246</v>
      </c>
      <c r="AL329" s="79">
        <v>0</v>
      </c>
      <c r="AM329" s="79" t="s">
        <v>2092</v>
      </c>
      <c r="AN329" s="114" t="str">
        <f>HYPERLINK("https://www.youtube.com/watch?v=6qrLOSiNQG0")</f>
        <v>https://www.youtube.com/watch?v=6qrLOSiNQG0</v>
      </c>
      <c r="AO329" s="78" t="str">
        <f>REPLACE(INDEX(GroupVertices[Group],MATCH(Vertices[[#This Row],[Vertex]],GroupVertices[Vertex],0)),1,1,"")</f>
        <v>oc Snipes</v>
      </c>
      <c r="AP329" s="2"/>
      <c r="AQ329" s="3"/>
      <c r="AR329" s="3"/>
      <c r="AS329" s="3"/>
      <c r="AT329" s="3"/>
    </row>
    <row r="330" spans="1:46" ht="15">
      <c r="A330" s="64" t="s">
        <v>403</v>
      </c>
      <c r="B330" s="65"/>
      <c r="C330" s="65"/>
      <c r="D330" s="66">
        <v>150</v>
      </c>
      <c r="E330" s="102">
        <v>97.85714285714286</v>
      </c>
      <c r="F330" s="98" t="str">
        <f>HYPERLINK("https://i.ytimg.com/vi/f_VSxl7w22E/default.jpg")</f>
        <v>https://i.ytimg.com/vi/f_VSxl7w22E/default.jpg</v>
      </c>
      <c r="G330" s="100"/>
      <c r="H330" s="69" t="s">
        <v>815</v>
      </c>
      <c r="I330" s="70"/>
      <c r="J330" s="104" t="s">
        <v>159</v>
      </c>
      <c r="K330" s="69" t="s">
        <v>815</v>
      </c>
      <c r="L330" s="105">
        <v>1</v>
      </c>
      <c r="M330" s="74">
        <v>9128.939453125</v>
      </c>
      <c r="N330" s="74">
        <v>1545.611572265625</v>
      </c>
      <c r="O330" s="75"/>
      <c r="P330" s="76"/>
      <c r="Q330" s="76"/>
      <c r="R330" s="106"/>
      <c r="S330" s="48">
        <v>1</v>
      </c>
      <c r="T330" s="48">
        <v>0</v>
      </c>
      <c r="U330" s="49">
        <v>0</v>
      </c>
      <c r="V330" s="49">
        <v>0.007035</v>
      </c>
      <c r="W330" s="107"/>
      <c r="X330" s="50"/>
      <c r="Y330" s="50"/>
      <c r="Z330" s="49">
        <v>0</v>
      </c>
      <c r="AA330" s="71">
        <v>330</v>
      </c>
      <c r="AB330" s="71"/>
      <c r="AC330" s="72"/>
      <c r="AD330" s="79" t="s">
        <v>815</v>
      </c>
      <c r="AE330" s="79"/>
      <c r="AF330" s="79"/>
      <c r="AG330" s="79" t="s">
        <v>1596</v>
      </c>
      <c r="AH330" s="79" t="s">
        <v>1871</v>
      </c>
      <c r="AI330" s="79">
        <v>3</v>
      </c>
      <c r="AJ330" s="79">
        <v>0</v>
      </c>
      <c r="AK330" s="79">
        <v>0</v>
      </c>
      <c r="AL330" s="79">
        <v>0</v>
      </c>
      <c r="AM330" s="79" t="s">
        <v>2092</v>
      </c>
      <c r="AN330" s="114" t="str">
        <f>HYPERLINK("https://www.youtube.com/watch?v=f_VSxl7w22E")</f>
        <v>https://www.youtube.com/watch?v=f_VSxl7w22E</v>
      </c>
      <c r="AO330" s="78" t="str">
        <f>REPLACE(INDEX(GroupVertices[Group],MATCH(Vertices[[#This Row],[Vertex]],GroupVertices[Vertex],0)),1,1,"")</f>
        <v>rickricardo guerrerodaquilema</v>
      </c>
      <c r="AP330" s="2"/>
      <c r="AQ330" s="3"/>
      <c r="AR330" s="3"/>
      <c r="AS330" s="3"/>
      <c r="AT330" s="3"/>
    </row>
    <row r="331" spans="1:46" ht="15">
      <c r="A331" s="64" t="s">
        <v>404</v>
      </c>
      <c r="B331" s="65"/>
      <c r="C331" s="65"/>
      <c r="D331" s="66">
        <v>150</v>
      </c>
      <c r="E331" s="102">
        <v>97.85714285714286</v>
      </c>
      <c r="F331" s="98" t="str">
        <f>HYPERLINK("https://i.ytimg.com/vi/U5SIXiaJ4_c/default.jpg")</f>
        <v>https://i.ytimg.com/vi/U5SIXiaJ4_c/default.jpg</v>
      </c>
      <c r="G331" s="100"/>
      <c r="H331" s="69" t="s">
        <v>816</v>
      </c>
      <c r="I331" s="70"/>
      <c r="J331" s="104" t="s">
        <v>159</v>
      </c>
      <c r="K331" s="69" t="s">
        <v>816</v>
      </c>
      <c r="L331" s="105">
        <v>1</v>
      </c>
      <c r="M331" s="74">
        <v>7898.30078125</v>
      </c>
      <c r="N331" s="74">
        <v>1689.762939453125</v>
      </c>
      <c r="O331" s="75"/>
      <c r="P331" s="76"/>
      <c r="Q331" s="76"/>
      <c r="R331" s="106"/>
      <c r="S331" s="48">
        <v>1</v>
      </c>
      <c r="T331" s="48">
        <v>0</v>
      </c>
      <c r="U331" s="49">
        <v>0</v>
      </c>
      <c r="V331" s="49">
        <v>0.007035</v>
      </c>
      <c r="W331" s="107"/>
      <c r="X331" s="50"/>
      <c r="Y331" s="50"/>
      <c r="Z331" s="49">
        <v>0</v>
      </c>
      <c r="AA331" s="71">
        <v>331</v>
      </c>
      <c r="AB331" s="71"/>
      <c r="AC331" s="72"/>
      <c r="AD331" s="79" t="s">
        <v>816</v>
      </c>
      <c r="AE331" s="79"/>
      <c r="AF331" s="79"/>
      <c r="AG331" s="79" t="s">
        <v>1597</v>
      </c>
      <c r="AH331" s="79" t="s">
        <v>1872</v>
      </c>
      <c r="AI331" s="79">
        <v>3</v>
      </c>
      <c r="AJ331" s="79">
        <v>0</v>
      </c>
      <c r="AK331" s="79">
        <v>0</v>
      </c>
      <c r="AL331" s="79">
        <v>0</v>
      </c>
      <c r="AM331" s="79" t="s">
        <v>2092</v>
      </c>
      <c r="AN331" s="114" t="str">
        <f>HYPERLINK("https://www.youtube.com/watch?v=U5SIXiaJ4_c")</f>
        <v>https://www.youtube.com/watch?v=U5SIXiaJ4_c</v>
      </c>
      <c r="AO331" s="78" t="str">
        <f>REPLACE(INDEX(GroupVertices[Group],MATCH(Vertices[[#This Row],[Vertex]],GroupVertices[Vertex],0)),1,1,"")</f>
        <v>lemon Joseph</v>
      </c>
      <c r="AP331" s="2"/>
      <c r="AQ331" s="3"/>
      <c r="AR331" s="3"/>
      <c r="AS331" s="3"/>
      <c r="AT331" s="3"/>
    </row>
    <row r="332" spans="1:46" ht="15">
      <c r="A332" s="64" t="s">
        <v>402</v>
      </c>
      <c r="B332" s="65"/>
      <c r="C332" s="65"/>
      <c r="D332" s="66">
        <v>150</v>
      </c>
      <c r="E332" s="102">
        <v>97.85714285714286</v>
      </c>
      <c r="F332" s="98" t="str">
        <f>HYPERLINK("https://i.ytimg.com/vi/JWw2w1P-ySE/default.jpg")</f>
        <v>https://i.ytimg.com/vi/JWw2w1P-ySE/default.jpg</v>
      </c>
      <c r="G332" s="100"/>
      <c r="H332" s="69" t="s">
        <v>814</v>
      </c>
      <c r="I332" s="70"/>
      <c r="J332" s="104" t="s">
        <v>159</v>
      </c>
      <c r="K332" s="69" t="s">
        <v>814</v>
      </c>
      <c r="L332" s="105">
        <v>1</v>
      </c>
      <c r="M332" s="74">
        <v>7790.3857421875</v>
      </c>
      <c r="N332" s="74">
        <v>1464.0430908203125</v>
      </c>
      <c r="O332" s="75"/>
      <c r="P332" s="76"/>
      <c r="Q332" s="76"/>
      <c r="R332" s="106"/>
      <c r="S332" s="48">
        <v>1</v>
      </c>
      <c r="T332" s="48">
        <v>0</v>
      </c>
      <c r="U332" s="49">
        <v>0</v>
      </c>
      <c r="V332" s="49">
        <v>0.007035</v>
      </c>
      <c r="W332" s="107"/>
      <c r="X332" s="50"/>
      <c r="Y332" s="50"/>
      <c r="Z332" s="49">
        <v>0</v>
      </c>
      <c r="AA332" s="71">
        <v>332</v>
      </c>
      <c r="AB332" s="71"/>
      <c r="AC332" s="72"/>
      <c r="AD332" s="79" t="s">
        <v>814</v>
      </c>
      <c r="AE332" s="79"/>
      <c r="AF332" s="79"/>
      <c r="AG332" s="79" t="s">
        <v>1595</v>
      </c>
      <c r="AH332" s="79" t="s">
        <v>1870</v>
      </c>
      <c r="AI332" s="79">
        <v>2</v>
      </c>
      <c r="AJ332" s="79">
        <v>0</v>
      </c>
      <c r="AK332" s="79">
        <v>0</v>
      </c>
      <c r="AL332" s="79">
        <v>0</v>
      </c>
      <c r="AM332" s="79" t="s">
        <v>2092</v>
      </c>
      <c r="AN332" s="114" t="str">
        <f>HYPERLINK("https://www.youtube.com/watch?v=JWw2w1P-ySE")</f>
        <v>https://www.youtube.com/watch?v=JWw2w1P-ySE</v>
      </c>
      <c r="AO332" s="78" t="str">
        <f>REPLACE(INDEX(GroupVertices[Group],MATCH(Vertices[[#This Row],[Vertex]],GroupVertices[Vertex],0)),1,1,"")</f>
        <v>arry Xie</v>
      </c>
      <c r="AP332" s="2"/>
      <c r="AQ332" s="3"/>
      <c r="AR332" s="3"/>
      <c r="AS332" s="3"/>
      <c r="AT332" s="3"/>
    </row>
    <row r="333" spans="1:46" ht="15">
      <c r="A333" s="64" t="s">
        <v>405</v>
      </c>
      <c r="B333" s="65"/>
      <c r="C333" s="65"/>
      <c r="D333" s="66">
        <v>150</v>
      </c>
      <c r="E333" s="102">
        <v>97.85714285714286</v>
      </c>
      <c r="F333" s="98" t="str">
        <f>HYPERLINK("https://i.ytimg.com/vi/BRnzhPd0a_A/default.jpg")</f>
        <v>https://i.ytimg.com/vi/BRnzhPd0a_A/default.jpg</v>
      </c>
      <c r="G333" s="100"/>
      <c r="H333" s="69" t="s">
        <v>817</v>
      </c>
      <c r="I333" s="70"/>
      <c r="J333" s="104" t="s">
        <v>159</v>
      </c>
      <c r="K333" s="69" t="s">
        <v>817</v>
      </c>
      <c r="L333" s="105">
        <v>1</v>
      </c>
      <c r="M333" s="74">
        <v>8137.17529296875</v>
      </c>
      <c r="N333" s="74">
        <v>1889.4603271484375</v>
      </c>
      <c r="O333" s="75"/>
      <c r="P333" s="76"/>
      <c r="Q333" s="76"/>
      <c r="R333" s="106"/>
      <c r="S333" s="48">
        <v>1</v>
      </c>
      <c r="T333" s="48">
        <v>0</v>
      </c>
      <c r="U333" s="49">
        <v>0</v>
      </c>
      <c r="V333" s="49">
        <v>0.007035</v>
      </c>
      <c r="W333" s="107"/>
      <c r="X333" s="50"/>
      <c r="Y333" s="50"/>
      <c r="Z333" s="49">
        <v>0</v>
      </c>
      <c r="AA333" s="71">
        <v>333</v>
      </c>
      <c r="AB333" s="71"/>
      <c r="AC333" s="72"/>
      <c r="AD333" s="79" t="s">
        <v>817</v>
      </c>
      <c r="AE333" s="79" t="s">
        <v>1146</v>
      </c>
      <c r="AF333" s="79"/>
      <c r="AG333" s="79" t="s">
        <v>1598</v>
      </c>
      <c r="AH333" s="79" t="s">
        <v>1873</v>
      </c>
      <c r="AI333" s="79">
        <v>30</v>
      </c>
      <c r="AJ333" s="79">
        <v>0</v>
      </c>
      <c r="AK333" s="79">
        <v>0</v>
      </c>
      <c r="AL333" s="79">
        <v>0</v>
      </c>
      <c r="AM333" s="79" t="s">
        <v>2092</v>
      </c>
      <c r="AN333" s="114" t="str">
        <f>HYPERLINK("https://www.youtube.com/watch?v=BRnzhPd0a_A")</f>
        <v>https://www.youtube.com/watch?v=BRnzhPd0a_A</v>
      </c>
      <c r="AO333" s="78" t="str">
        <f>REPLACE(INDEX(GroupVertices[Group],MATCH(Vertices[[#This Row],[Vertex]],GroupVertices[Vertex],0)),1,1,"")</f>
        <v>ditya Sharma</v>
      </c>
      <c r="AP333" s="2"/>
      <c r="AQ333" s="3"/>
      <c r="AR333" s="3"/>
      <c r="AS333" s="3"/>
      <c r="AT333" s="3"/>
    </row>
    <row r="334" spans="1:46" ht="15">
      <c r="A334" s="64" t="s">
        <v>406</v>
      </c>
      <c r="B334" s="65"/>
      <c r="C334" s="65"/>
      <c r="D334" s="66">
        <v>150</v>
      </c>
      <c r="E334" s="102">
        <v>97.85714285714286</v>
      </c>
      <c r="F334" s="98" t="str">
        <f>HYPERLINK("https://i.ytimg.com/vi/cWbC66USN0g/default.jpg")</f>
        <v>https://i.ytimg.com/vi/cWbC66USN0g/default.jpg</v>
      </c>
      <c r="G334" s="100"/>
      <c r="H334" s="69" t="s">
        <v>818</v>
      </c>
      <c r="I334" s="70"/>
      <c r="J334" s="104" t="s">
        <v>159</v>
      </c>
      <c r="K334" s="69" t="s">
        <v>818</v>
      </c>
      <c r="L334" s="105">
        <v>1</v>
      </c>
      <c r="M334" s="74">
        <v>8448.2197265625</v>
      </c>
      <c r="N334" s="74">
        <v>1757.0220947265625</v>
      </c>
      <c r="O334" s="75"/>
      <c r="P334" s="76"/>
      <c r="Q334" s="76"/>
      <c r="R334" s="106"/>
      <c r="S334" s="48">
        <v>1</v>
      </c>
      <c r="T334" s="48">
        <v>0</v>
      </c>
      <c r="U334" s="49">
        <v>0</v>
      </c>
      <c r="V334" s="49">
        <v>0.007035</v>
      </c>
      <c r="W334" s="107"/>
      <c r="X334" s="50"/>
      <c r="Y334" s="50"/>
      <c r="Z334" s="49">
        <v>0</v>
      </c>
      <c r="AA334" s="71">
        <v>334</v>
      </c>
      <c r="AB334" s="71"/>
      <c r="AC334" s="72"/>
      <c r="AD334" s="79" t="s">
        <v>818</v>
      </c>
      <c r="AE334" s="79" t="s">
        <v>1147</v>
      </c>
      <c r="AF334" s="79" t="s">
        <v>1390</v>
      </c>
      <c r="AG334" s="79" t="s">
        <v>1599</v>
      </c>
      <c r="AH334" s="79" t="s">
        <v>1874</v>
      </c>
      <c r="AI334" s="79">
        <v>27</v>
      </c>
      <c r="AJ334" s="79">
        <v>0</v>
      </c>
      <c r="AK334" s="79">
        <v>0</v>
      </c>
      <c r="AL334" s="79">
        <v>0</v>
      </c>
      <c r="AM334" s="79" t="s">
        <v>2092</v>
      </c>
      <c r="AN334" s="114" t="str">
        <f>HYPERLINK("https://www.youtube.com/watch?v=cWbC66USN0g")</f>
        <v>https://www.youtube.com/watch?v=cWbC66USN0g</v>
      </c>
      <c r="AO334" s="78" t="str">
        <f>REPLACE(INDEX(GroupVertices[Group],MATCH(Vertices[[#This Row],[Vertex]],GroupVertices[Vertex],0)),1,1,"")</f>
        <v>hmad Shaharudin Abdul Latiff</v>
      </c>
      <c r="AP334" s="2"/>
      <c r="AQ334" s="3"/>
      <c r="AR334" s="3"/>
      <c r="AS334" s="3"/>
      <c r="AT334" s="3"/>
    </row>
    <row r="335" spans="1:46" ht="15">
      <c r="A335" s="64" t="s">
        <v>409</v>
      </c>
      <c r="B335" s="65"/>
      <c r="C335" s="65"/>
      <c r="D335" s="66">
        <v>150</v>
      </c>
      <c r="E335" s="102">
        <v>97.85714285714286</v>
      </c>
      <c r="F335" s="98" t="str">
        <f>HYPERLINK("https://i.ytimg.com/vi/lY-YLxOD6BQ/default.jpg")</f>
        <v>https://i.ytimg.com/vi/lY-YLxOD6BQ/default.jpg</v>
      </c>
      <c r="G335" s="100"/>
      <c r="H335" s="69" t="s">
        <v>821</v>
      </c>
      <c r="I335" s="70"/>
      <c r="J335" s="104" t="s">
        <v>159</v>
      </c>
      <c r="K335" s="69" t="s">
        <v>821</v>
      </c>
      <c r="L335" s="105">
        <v>1</v>
      </c>
      <c r="M335" s="74">
        <v>9059.841796875</v>
      </c>
      <c r="N335" s="74">
        <v>1334.8193359375</v>
      </c>
      <c r="O335" s="75"/>
      <c r="P335" s="76"/>
      <c r="Q335" s="76"/>
      <c r="R335" s="106"/>
      <c r="S335" s="48">
        <v>1</v>
      </c>
      <c r="T335" s="48">
        <v>0</v>
      </c>
      <c r="U335" s="49">
        <v>0</v>
      </c>
      <c r="V335" s="49">
        <v>0.007035</v>
      </c>
      <c r="W335" s="107"/>
      <c r="X335" s="50"/>
      <c r="Y335" s="50"/>
      <c r="Z335" s="49">
        <v>0</v>
      </c>
      <c r="AA335" s="71">
        <v>335</v>
      </c>
      <c r="AB335" s="71"/>
      <c r="AC335" s="72"/>
      <c r="AD335" s="79" t="s">
        <v>821</v>
      </c>
      <c r="AE335" s="79" t="s">
        <v>1150</v>
      </c>
      <c r="AF335" s="79"/>
      <c r="AG335" s="79" t="s">
        <v>1602</v>
      </c>
      <c r="AH335" s="79" t="s">
        <v>1877</v>
      </c>
      <c r="AI335" s="79">
        <v>42</v>
      </c>
      <c r="AJ335" s="79">
        <v>0</v>
      </c>
      <c r="AK335" s="79">
        <v>4</v>
      </c>
      <c r="AL335" s="79">
        <v>0</v>
      </c>
      <c r="AM335" s="79" t="s">
        <v>2092</v>
      </c>
      <c r="AN335" s="114" t="str">
        <f>HYPERLINK("https://www.youtube.com/watch?v=lY-YLxOD6BQ")</f>
        <v>https://www.youtube.com/watch?v=lY-YLxOD6BQ</v>
      </c>
      <c r="AO335" s="78" t="str">
        <f>REPLACE(INDEX(GroupVertices[Group],MATCH(Vertices[[#This Row],[Vertex]],GroupVertices[Vertex],0)),1,1,"")</f>
        <v>rofessor K Analyzes</v>
      </c>
      <c r="AP335" s="2"/>
      <c r="AQ335" s="3"/>
      <c r="AR335" s="3"/>
      <c r="AS335" s="3"/>
      <c r="AT335" s="3"/>
    </row>
    <row r="336" spans="1:46" ht="15">
      <c r="A336" s="64" t="s">
        <v>408</v>
      </c>
      <c r="B336" s="65"/>
      <c r="C336" s="65"/>
      <c r="D336" s="66">
        <v>150</v>
      </c>
      <c r="E336" s="102">
        <v>97.85714285714286</v>
      </c>
      <c r="F336" s="98" t="str">
        <f>HYPERLINK("https://i.ytimg.com/vi/t3bXO8A9iDg/default.jpg")</f>
        <v>https://i.ytimg.com/vi/t3bXO8A9iDg/default.jpg</v>
      </c>
      <c r="G336" s="100"/>
      <c r="H336" s="69" t="s">
        <v>820</v>
      </c>
      <c r="I336" s="70"/>
      <c r="J336" s="104" t="s">
        <v>159</v>
      </c>
      <c r="K336" s="69" t="s">
        <v>820</v>
      </c>
      <c r="L336" s="105">
        <v>1</v>
      </c>
      <c r="M336" s="74">
        <v>8522.634765625</v>
      </c>
      <c r="N336" s="74">
        <v>1106.211181640625</v>
      </c>
      <c r="O336" s="75"/>
      <c r="P336" s="76"/>
      <c r="Q336" s="76"/>
      <c r="R336" s="106"/>
      <c r="S336" s="48">
        <v>1</v>
      </c>
      <c r="T336" s="48">
        <v>0</v>
      </c>
      <c r="U336" s="49">
        <v>0</v>
      </c>
      <c r="V336" s="49">
        <v>0.007035</v>
      </c>
      <c r="W336" s="107"/>
      <c r="X336" s="50"/>
      <c r="Y336" s="50"/>
      <c r="Z336" s="49">
        <v>0</v>
      </c>
      <c r="AA336" s="71">
        <v>336</v>
      </c>
      <c r="AB336" s="71"/>
      <c r="AC336" s="72"/>
      <c r="AD336" s="79" t="s">
        <v>820</v>
      </c>
      <c r="AE336" s="79" t="s">
        <v>1149</v>
      </c>
      <c r="AF336" s="79"/>
      <c r="AG336" s="79" t="s">
        <v>1601</v>
      </c>
      <c r="AH336" s="79" t="s">
        <v>1876</v>
      </c>
      <c r="AI336" s="79">
        <v>24</v>
      </c>
      <c r="AJ336" s="79">
        <v>0</v>
      </c>
      <c r="AK336" s="79">
        <v>0</v>
      </c>
      <c r="AL336" s="79">
        <v>0</v>
      </c>
      <c r="AM336" s="79" t="s">
        <v>2092</v>
      </c>
      <c r="AN336" s="114" t="str">
        <f>HYPERLINK("https://www.youtube.com/watch?v=t3bXO8A9iDg")</f>
        <v>https://www.youtube.com/watch?v=t3bXO8A9iDg</v>
      </c>
      <c r="AO336" s="78" t="str">
        <f>REPLACE(INDEX(GroupVertices[Group],MATCH(Vertices[[#This Row],[Vertex]],GroupVertices[Vertex],0)),1,1,"")</f>
        <v>ornell International Arbitration Society</v>
      </c>
      <c r="AP336" s="2"/>
      <c r="AQ336" s="3"/>
      <c r="AR336" s="3"/>
      <c r="AS336" s="3"/>
      <c r="AT336" s="3"/>
    </row>
    <row r="337" spans="1:46" ht="15">
      <c r="A337" s="64" t="s">
        <v>407</v>
      </c>
      <c r="B337" s="65"/>
      <c r="C337" s="65"/>
      <c r="D337" s="66">
        <v>150</v>
      </c>
      <c r="E337" s="102">
        <v>97.85714285714286</v>
      </c>
      <c r="F337" s="98" t="str">
        <f>HYPERLINK("https://i.ytimg.com/vi/3sgWvQVJjSE/default.jpg")</f>
        <v>https://i.ytimg.com/vi/3sgWvQVJjSE/default.jpg</v>
      </c>
      <c r="G337" s="100"/>
      <c r="H337" s="69" t="s">
        <v>819</v>
      </c>
      <c r="I337" s="70"/>
      <c r="J337" s="104" t="s">
        <v>159</v>
      </c>
      <c r="K337" s="69" t="s">
        <v>819</v>
      </c>
      <c r="L337" s="105">
        <v>1</v>
      </c>
      <c r="M337" s="74">
        <v>8695.6728515625</v>
      </c>
      <c r="N337" s="74">
        <v>1925.0948486328125</v>
      </c>
      <c r="O337" s="75"/>
      <c r="P337" s="76"/>
      <c r="Q337" s="76"/>
      <c r="R337" s="106"/>
      <c r="S337" s="48">
        <v>1</v>
      </c>
      <c r="T337" s="48">
        <v>0</v>
      </c>
      <c r="U337" s="49">
        <v>0</v>
      </c>
      <c r="V337" s="49">
        <v>0.007035</v>
      </c>
      <c r="W337" s="107"/>
      <c r="X337" s="50"/>
      <c r="Y337" s="50"/>
      <c r="Z337" s="49">
        <v>0</v>
      </c>
      <c r="AA337" s="71">
        <v>337</v>
      </c>
      <c r="AB337" s="71"/>
      <c r="AC337" s="72"/>
      <c r="AD337" s="79" t="s">
        <v>819</v>
      </c>
      <c r="AE337" s="79" t="s">
        <v>1148</v>
      </c>
      <c r="AF337" s="79"/>
      <c r="AG337" s="79" t="s">
        <v>1600</v>
      </c>
      <c r="AH337" s="79" t="s">
        <v>1875</v>
      </c>
      <c r="AI337" s="79">
        <v>183</v>
      </c>
      <c r="AJ337" s="79">
        <v>0</v>
      </c>
      <c r="AK337" s="79">
        <v>5</v>
      </c>
      <c r="AL337" s="79">
        <v>0</v>
      </c>
      <c r="AM337" s="79" t="s">
        <v>2092</v>
      </c>
      <c r="AN337" s="114" t="str">
        <f>HYPERLINK("https://www.youtube.com/watch?v=3sgWvQVJjSE")</f>
        <v>https://www.youtube.com/watch?v=3sgWvQVJjSE</v>
      </c>
      <c r="AO337" s="78" t="str">
        <f>REPLACE(INDEX(GroupVertices[Group],MATCH(Vertices[[#This Row],[Vertex]],GroupVertices[Vertex],0)),1,1,"")</f>
        <v>SCTE Conhecimento &amp; Inovação</v>
      </c>
      <c r="AP337" s="2"/>
      <c r="AQ337" s="3"/>
      <c r="AR337" s="3"/>
      <c r="AS337" s="3"/>
      <c r="AT337" s="3"/>
    </row>
    <row r="338" spans="1:46" ht="15">
      <c r="A338" s="64" t="s">
        <v>400</v>
      </c>
      <c r="B338" s="65"/>
      <c r="C338" s="65"/>
      <c r="D338" s="66">
        <v>150</v>
      </c>
      <c r="E338" s="102">
        <v>97.85714285714286</v>
      </c>
      <c r="F338" s="98" t="str">
        <f>HYPERLINK("https://i.ytimg.com/vi/Kwa1H_u8NdQ/default.jpg")</f>
        <v>https://i.ytimg.com/vi/Kwa1H_u8NdQ/default.jpg</v>
      </c>
      <c r="G338" s="100"/>
      <c r="H338" s="69" t="s">
        <v>812</v>
      </c>
      <c r="I338" s="70"/>
      <c r="J338" s="104" t="s">
        <v>159</v>
      </c>
      <c r="K338" s="69" t="s">
        <v>812</v>
      </c>
      <c r="L338" s="105">
        <v>1</v>
      </c>
      <c r="M338" s="74">
        <v>8154.025390625</v>
      </c>
      <c r="N338" s="74">
        <v>1119.8173828125</v>
      </c>
      <c r="O338" s="75"/>
      <c r="P338" s="76"/>
      <c r="Q338" s="76"/>
      <c r="R338" s="106"/>
      <c r="S338" s="48">
        <v>1</v>
      </c>
      <c r="T338" s="48">
        <v>0</v>
      </c>
      <c r="U338" s="49">
        <v>0</v>
      </c>
      <c r="V338" s="49">
        <v>0.007035</v>
      </c>
      <c r="W338" s="107"/>
      <c r="X338" s="50"/>
      <c r="Y338" s="50"/>
      <c r="Z338" s="49">
        <v>0</v>
      </c>
      <c r="AA338" s="71">
        <v>338</v>
      </c>
      <c r="AB338" s="71"/>
      <c r="AC338" s="72"/>
      <c r="AD338" s="79" t="s">
        <v>812</v>
      </c>
      <c r="AE338" s="79" t="s">
        <v>1144</v>
      </c>
      <c r="AF338" s="79"/>
      <c r="AG338" s="79" t="s">
        <v>1594</v>
      </c>
      <c r="AH338" s="79" t="s">
        <v>1868</v>
      </c>
      <c r="AI338" s="79">
        <v>10</v>
      </c>
      <c r="AJ338" s="79">
        <v>0</v>
      </c>
      <c r="AK338" s="79">
        <v>0</v>
      </c>
      <c r="AL338" s="79">
        <v>0</v>
      </c>
      <c r="AM338" s="79" t="s">
        <v>2092</v>
      </c>
      <c r="AN338" s="114" t="str">
        <f>HYPERLINK("https://www.youtube.com/watch?v=Kwa1H_u8NdQ")</f>
        <v>https://www.youtube.com/watch?v=Kwa1H_u8NdQ</v>
      </c>
      <c r="AO338" s="78" t="str">
        <f>REPLACE(INDEX(GroupVertices[Group],MATCH(Vertices[[#This Row],[Vertex]],GroupVertices[Vertex],0)),1,1,"")</f>
        <v>hare IT</v>
      </c>
      <c r="AP338" s="2"/>
      <c r="AQ338" s="3"/>
      <c r="AR338" s="3"/>
      <c r="AS338" s="3"/>
      <c r="AT338" s="3"/>
    </row>
    <row r="339" spans="1:46" ht="15">
      <c r="A339" s="64" t="s">
        <v>410</v>
      </c>
      <c r="B339" s="65"/>
      <c r="C339" s="65"/>
      <c r="D339" s="66">
        <v>150</v>
      </c>
      <c r="E339" s="102">
        <v>97.85714285714286</v>
      </c>
      <c r="F339" s="98" t="str">
        <f>HYPERLINK("https://i.ytimg.com/vi/rxQ5OJD9lwQ/default.jpg")</f>
        <v>https://i.ytimg.com/vi/rxQ5OJD9lwQ/default.jpg</v>
      </c>
      <c r="G339" s="100"/>
      <c r="H339" s="69" t="s">
        <v>822</v>
      </c>
      <c r="I339" s="70"/>
      <c r="J339" s="104" t="s">
        <v>159</v>
      </c>
      <c r="K339" s="69" t="s">
        <v>822</v>
      </c>
      <c r="L339" s="105">
        <v>1</v>
      </c>
      <c r="M339" s="74">
        <v>8009.2705078125</v>
      </c>
      <c r="N339" s="74">
        <v>1307.3203125</v>
      </c>
      <c r="O339" s="75"/>
      <c r="P339" s="76"/>
      <c r="Q339" s="76"/>
      <c r="R339" s="106"/>
      <c r="S339" s="48">
        <v>1</v>
      </c>
      <c r="T339" s="48">
        <v>0</v>
      </c>
      <c r="U339" s="49">
        <v>0</v>
      </c>
      <c r="V339" s="49">
        <v>0.007035</v>
      </c>
      <c r="W339" s="107"/>
      <c r="X339" s="50"/>
      <c r="Y339" s="50"/>
      <c r="Z339" s="49">
        <v>0</v>
      </c>
      <c r="AA339" s="71">
        <v>339</v>
      </c>
      <c r="AB339" s="71"/>
      <c r="AC339" s="72"/>
      <c r="AD339" s="79" t="s">
        <v>822</v>
      </c>
      <c r="AE339" s="79" t="s">
        <v>1151</v>
      </c>
      <c r="AF339" s="79"/>
      <c r="AG339" s="79" t="s">
        <v>1603</v>
      </c>
      <c r="AH339" s="79" t="s">
        <v>1878</v>
      </c>
      <c r="AI339" s="79">
        <v>6</v>
      </c>
      <c r="AJ339" s="79">
        <v>0</v>
      </c>
      <c r="AK339" s="79">
        <v>0</v>
      </c>
      <c r="AL339" s="79">
        <v>0</v>
      </c>
      <c r="AM339" s="79" t="s">
        <v>2092</v>
      </c>
      <c r="AN339" s="114" t="str">
        <f>HYPERLINK("https://www.youtube.com/watch?v=rxQ5OJD9lwQ")</f>
        <v>https://www.youtube.com/watch?v=rxQ5OJD9lwQ</v>
      </c>
      <c r="AO339" s="78" t="str">
        <f>REPLACE(INDEX(GroupVertices[Group],MATCH(Vertices[[#This Row],[Vertex]],GroupVertices[Vertex],0)),1,1,"")</f>
        <v>everly Rodgers</v>
      </c>
      <c r="AP339" s="2"/>
      <c r="AQ339" s="3"/>
      <c r="AR339" s="3"/>
      <c r="AS339" s="3"/>
      <c r="AT339" s="3"/>
    </row>
    <row r="340" spans="1:46" ht="15">
      <c r="A340" s="64" t="s">
        <v>411</v>
      </c>
      <c r="B340" s="65"/>
      <c r="C340" s="65"/>
      <c r="D340" s="66">
        <v>150</v>
      </c>
      <c r="E340" s="102">
        <v>97.85714285714286</v>
      </c>
      <c r="F340" s="98" t="str">
        <f>HYPERLINK("https://i.ytimg.com/vi/1eWzD6vds4w/default.jpg")</f>
        <v>https://i.ytimg.com/vi/1eWzD6vds4w/default.jpg</v>
      </c>
      <c r="G340" s="100"/>
      <c r="H340" s="69" t="s">
        <v>823</v>
      </c>
      <c r="I340" s="70"/>
      <c r="J340" s="104" t="s">
        <v>159</v>
      </c>
      <c r="K340" s="69" t="s">
        <v>823</v>
      </c>
      <c r="L340" s="105">
        <v>1</v>
      </c>
      <c r="M340" s="74">
        <v>8848.65234375</v>
      </c>
      <c r="N340" s="74">
        <v>1164.877197265625</v>
      </c>
      <c r="O340" s="75"/>
      <c r="P340" s="76"/>
      <c r="Q340" s="76"/>
      <c r="R340" s="106"/>
      <c r="S340" s="48">
        <v>1</v>
      </c>
      <c r="T340" s="48">
        <v>0</v>
      </c>
      <c r="U340" s="49">
        <v>0</v>
      </c>
      <c r="V340" s="49">
        <v>0.007035</v>
      </c>
      <c r="W340" s="107"/>
      <c r="X340" s="50"/>
      <c r="Y340" s="50"/>
      <c r="Z340" s="49">
        <v>0</v>
      </c>
      <c r="AA340" s="71">
        <v>340</v>
      </c>
      <c r="AB340" s="71"/>
      <c r="AC340" s="72"/>
      <c r="AD340" s="79" t="s">
        <v>823</v>
      </c>
      <c r="AE340" s="79" t="s">
        <v>3204</v>
      </c>
      <c r="AF340" s="79" t="s">
        <v>1391</v>
      </c>
      <c r="AG340" s="79" t="s">
        <v>1604</v>
      </c>
      <c r="AH340" s="79" t="s">
        <v>1879</v>
      </c>
      <c r="AI340" s="79">
        <v>42</v>
      </c>
      <c r="AJ340" s="79">
        <v>0</v>
      </c>
      <c r="AK340" s="79">
        <v>1</v>
      </c>
      <c r="AL340" s="79">
        <v>0</v>
      </c>
      <c r="AM340" s="79" t="s">
        <v>2092</v>
      </c>
      <c r="AN340" s="114" t="str">
        <f>HYPERLINK("https://www.youtube.com/watch?v=1eWzD6vds4w")</f>
        <v>https://www.youtube.com/watch?v=1eWzD6vds4w</v>
      </c>
      <c r="AO340" s="78" t="str">
        <f>REPLACE(INDEX(GroupVertices[Group],MATCH(Vertices[[#This Row],[Vertex]],GroupVertices[Vertex],0)),1,1,"")</f>
        <v>enzie San</v>
      </c>
      <c r="AP340" s="2"/>
      <c r="AQ340" s="3"/>
      <c r="AR340" s="3"/>
      <c r="AS340" s="3"/>
      <c r="AT340" s="3"/>
    </row>
    <row r="341" spans="1:46" ht="15">
      <c r="A341" s="64" t="s">
        <v>401</v>
      </c>
      <c r="B341" s="65"/>
      <c r="C341" s="65"/>
      <c r="D341" s="66">
        <v>150</v>
      </c>
      <c r="E341" s="102">
        <v>97.85714285714286</v>
      </c>
      <c r="F341" s="98" t="str">
        <f>HYPERLINK("https://i.ytimg.com/vi/aku0QeDd2KQ/default.jpg")</f>
        <v>https://i.ytimg.com/vi/aku0QeDd2KQ/default.jpg</v>
      </c>
      <c r="G341" s="100"/>
      <c r="H341" s="69" t="s">
        <v>813</v>
      </c>
      <c r="I341" s="70"/>
      <c r="J341" s="104" t="s">
        <v>159</v>
      </c>
      <c r="K341" s="69" t="s">
        <v>813</v>
      </c>
      <c r="L341" s="105">
        <v>1</v>
      </c>
      <c r="M341" s="74">
        <v>8999.6708984375</v>
      </c>
      <c r="N341" s="74">
        <v>1751.223388671875</v>
      </c>
      <c r="O341" s="75"/>
      <c r="P341" s="76"/>
      <c r="Q341" s="76"/>
      <c r="R341" s="106"/>
      <c r="S341" s="48">
        <v>1</v>
      </c>
      <c r="T341" s="48">
        <v>0</v>
      </c>
      <c r="U341" s="49">
        <v>0</v>
      </c>
      <c r="V341" s="49">
        <v>0.007035</v>
      </c>
      <c r="W341" s="107"/>
      <c r="X341" s="50"/>
      <c r="Y341" s="50"/>
      <c r="Z341" s="49">
        <v>0</v>
      </c>
      <c r="AA341" s="71">
        <v>341</v>
      </c>
      <c r="AB341" s="71"/>
      <c r="AC341" s="72"/>
      <c r="AD341" s="79" t="s">
        <v>813</v>
      </c>
      <c r="AE341" s="79" t="s">
        <v>1145</v>
      </c>
      <c r="AF341" s="79"/>
      <c r="AG341" s="79" t="s">
        <v>1593</v>
      </c>
      <c r="AH341" s="79" t="s">
        <v>1869</v>
      </c>
      <c r="AI341" s="79">
        <v>122</v>
      </c>
      <c r="AJ341" s="79">
        <v>1</v>
      </c>
      <c r="AK341" s="79">
        <v>5</v>
      </c>
      <c r="AL341" s="79">
        <v>0</v>
      </c>
      <c r="AM341" s="79" t="s">
        <v>2092</v>
      </c>
      <c r="AN341" s="114" t="str">
        <f>HYPERLINK("https://www.youtube.com/watch?v=aku0QeDd2KQ")</f>
        <v>https://www.youtube.com/watch?v=aku0QeDd2KQ</v>
      </c>
      <c r="AO341" s="78" t="str">
        <f>REPLACE(INDEX(GroupVertices[Group],MATCH(Vertices[[#This Row],[Vertex]],GroupVertices[Vertex],0)),1,1,"")</f>
        <v>r. Nasar Khan</v>
      </c>
      <c r="AP341" s="2"/>
      <c r="AQ341" s="3"/>
      <c r="AR341" s="3"/>
      <c r="AS341" s="3"/>
      <c r="AT341" s="3"/>
    </row>
    <row r="342" spans="1:46" ht="15">
      <c r="A342" s="64" t="s">
        <v>2285</v>
      </c>
      <c r="B342" s="65"/>
      <c r="C342" s="65"/>
      <c r="D342" s="66">
        <v>150</v>
      </c>
      <c r="E342" s="102">
        <v>97.85714285714286</v>
      </c>
      <c r="F342" s="98" t="str">
        <f>HYPERLINK("https://i.ytimg.com/vi/GGlz21zjqrs/default.jpg")</f>
        <v>https://i.ytimg.com/vi/GGlz21zjqrs/default.jpg</v>
      </c>
      <c r="G342" s="100"/>
      <c r="H342" s="69" t="s">
        <v>2762</v>
      </c>
      <c r="I342" s="70"/>
      <c r="J342" s="104" t="s">
        <v>159</v>
      </c>
      <c r="K342" s="69" t="s">
        <v>2762</v>
      </c>
      <c r="L342" s="105">
        <v>1</v>
      </c>
      <c r="M342" s="74">
        <v>246.74354553222656</v>
      </c>
      <c r="N342" s="74">
        <v>5282.62646484375</v>
      </c>
      <c r="O342" s="75"/>
      <c r="P342" s="76"/>
      <c r="Q342" s="76"/>
      <c r="R342" s="106"/>
      <c r="S342" s="48">
        <v>1</v>
      </c>
      <c r="T342" s="48">
        <v>0</v>
      </c>
      <c r="U342" s="49">
        <v>0</v>
      </c>
      <c r="V342" s="49">
        <v>0.118391</v>
      </c>
      <c r="W342" s="107"/>
      <c r="X342" s="50"/>
      <c r="Y342" s="50"/>
      <c r="Z342" s="49">
        <v>0</v>
      </c>
      <c r="AA342" s="71">
        <v>342</v>
      </c>
      <c r="AB342" s="71"/>
      <c r="AC342" s="72"/>
      <c r="AD342" s="79" t="s">
        <v>2762</v>
      </c>
      <c r="AE342" s="79" t="s">
        <v>3205</v>
      </c>
      <c r="AF342" s="79"/>
      <c r="AG342" s="79" t="s">
        <v>3784</v>
      </c>
      <c r="AH342" s="79" t="s">
        <v>4128</v>
      </c>
      <c r="AI342" s="79">
        <v>7</v>
      </c>
      <c r="AJ342" s="79">
        <v>0</v>
      </c>
      <c r="AK342" s="79">
        <v>0</v>
      </c>
      <c r="AL342" s="79">
        <v>0</v>
      </c>
      <c r="AM342" s="79" t="s">
        <v>2092</v>
      </c>
      <c r="AN342" s="114" t="str">
        <f>HYPERLINK("https://www.youtube.com/watch?v=GGlz21zjqrs")</f>
        <v>https://www.youtube.com/watch?v=GGlz21zjqrs</v>
      </c>
      <c r="AO342" s="78" t="str">
        <f>REPLACE(INDEX(GroupVertices[Group],MATCH(Vertices[[#This Row],[Vertex]],GroupVertices[Vertex],0)),1,1,"")</f>
        <v>avid dindi</v>
      </c>
      <c r="AP342" s="2"/>
      <c r="AQ342" s="3"/>
      <c r="AR342" s="3"/>
      <c r="AS342" s="3"/>
      <c r="AT342" s="3"/>
    </row>
    <row r="343" spans="1:46" ht="15">
      <c r="A343" s="64" t="s">
        <v>470</v>
      </c>
      <c r="B343" s="65"/>
      <c r="C343" s="65"/>
      <c r="D343" s="66">
        <v>150</v>
      </c>
      <c r="E343" s="102">
        <v>97.85714285714286</v>
      </c>
      <c r="F343" s="98" t="str">
        <f>HYPERLINK("https://i.ytimg.com/vi/BoBxncrzB2E/default.jpg")</f>
        <v>https://i.ytimg.com/vi/BoBxncrzB2E/default.jpg</v>
      </c>
      <c r="G343" s="100"/>
      <c r="H343" s="69" t="s">
        <v>891</v>
      </c>
      <c r="I343" s="70"/>
      <c r="J343" s="104" t="s">
        <v>159</v>
      </c>
      <c r="K343" s="69" t="s">
        <v>891</v>
      </c>
      <c r="L343" s="105">
        <v>1</v>
      </c>
      <c r="M343" s="74">
        <v>170.4226837158203</v>
      </c>
      <c r="N343" s="74">
        <v>4832.65673828125</v>
      </c>
      <c r="O343" s="75"/>
      <c r="P343" s="76"/>
      <c r="Q343" s="76"/>
      <c r="R343" s="106"/>
      <c r="S343" s="48">
        <v>1</v>
      </c>
      <c r="T343" s="48">
        <v>0</v>
      </c>
      <c r="U343" s="49">
        <v>0</v>
      </c>
      <c r="V343" s="49">
        <v>0.118391</v>
      </c>
      <c r="W343" s="107"/>
      <c r="X343" s="50"/>
      <c r="Y343" s="50"/>
      <c r="Z343" s="49">
        <v>0</v>
      </c>
      <c r="AA343" s="71">
        <v>343</v>
      </c>
      <c r="AB343" s="71"/>
      <c r="AC343" s="72"/>
      <c r="AD343" s="79" t="s">
        <v>891</v>
      </c>
      <c r="AE343" s="79"/>
      <c r="AF343" s="79"/>
      <c r="AG343" s="79" t="s">
        <v>1641</v>
      </c>
      <c r="AH343" s="79" t="s">
        <v>1947</v>
      </c>
      <c r="AI343" s="79">
        <v>3</v>
      </c>
      <c r="AJ343" s="79">
        <v>0</v>
      </c>
      <c r="AK343" s="79">
        <v>0</v>
      </c>
      <c r="AL343" s="79">
        <v>0</v>
      </c>
      <c r="AM343" s="79" t="s">
        <v>2092</v>
      </c>
      <c r="AN343" s="114" t="str">
        <f>HYPERLINK("https://www.youtube.com/watch?v=BoBxncrzB2E")</f>
        <v>https://www.youtube.com/watch?v=BoBxncrzB2E</v>
      </c>
      <c r="AO343" s="78" t="str">
        <f>REPLACE(INDEX(GroupVertices[Group],MATCH(Vertices[[#This Row],[Vertex]],GroupVertices[Vertex],0)),1,1,"")</f>
        <v>uteLage - A guide to learner</v>
      </c>
      <c r="AP343" s="2"/>
      <c r="AQ343" s="3"/>
      <c r="AR343" s="3"/>
      <c r="AS343" s="3"/>
      <c r="AT343" s="3"/>
    </row>
    <row r="344" spans="1:46" ht="15">
      <c r="A344" s="64" t="s">
        <v>2286</v>
      </c>
      <c r="B344" s="65"/>
      <c r="C344" s="65"/>
      <c r="D344" s="66">
        <v>150</v>
      </c>
      <c r="E344" s="102">
        <v>97.85714285714286</v>
      </c>
      <c r="F344" s="98" t="str">
        <f>HYPERLINK("https://i.ytimg.com/vi/XdesOJMMs4k/default.jpg")</f>
        <v>https://i.ytimg.com/vi/XdesOJMMs4k/default.jpg</v>
      </c>
      <c r="G344" s="100"/>
      <c r="H344" s="69" t="s">
        <v>2763</v>
      </c>
      <c r="I344" s="70"/>
      <c r="J344" s="104" t="s">
        <v>159</v>
      </c>
      <c r="K344" s="69" t="s">
        <v>2763</v>
      </c>
      <c r="L344" s="105">
        <v>1</v>
      </c>
      <c r="M344" s="74">
        <v>323.39862060546875</v>
      </c>
      <c r="N344" s="74">
        <v>5413.9541015625</v>
      </c>
      <c r="O344" s="75"/>
      <c r="P344" s="76"/>
      <c r="Q344" s="76"/>
      <c r="R344" s="106"/>
      <c r="S344" s="48">
        <v>1</v>
      </c>
      <c r="T344" s="48">
        <v>0</v>
      </c>
      <c r="U344" s="49">
        <v>0</v>
      </c>
      <c r="V344" s="49">
        <v>0.118391</v>
      </c>
      <c r="W344" s="107"/>
      <c r="X344" s="50"/>
      <c r="Y344" s="50"/>
      <c r="Z344" s="49">
        <v>0</v>
      </c>
      <c r="AA344" s="71">
        <v>344</v>
      </c>
      <c r="AB344" s="71"/>
      <c r="AC344" s="72"/>
      <c r="AD344" s="79" t="s">
        <v>2763</v>
      </c>
      <c r="AE344" s="79" t="s">
        <v>3206</v>
      </c>
      <c r="AF344" s="79"/>
      <c r="AG344" s="79" t="s">
        <v>3785</v>
      </c>
      <c r="AH344" s="79" t="s">
        <v>4129</v>
      </c>
      <c r="AI344" s="79">
        <v>24</v>
      </c>
      <c r="AJ344" s="79">
        <v>0</v>
      </c>
      <c r="AK344" s="79">
        <v>0</v>
      </c>
      <c r="AL344" s="79">
        <v>0</v>
      </c>
      <c r="AM344" s="79" t="s">
        <v>2092</v>
      </c>
      <c r="AN344" s="114" t="str">
        <f>HYPERLINK("https://www.youtube.com/watch?v=XdesOJMMs4k")</f>
        <v>https://www.youtube.com/watch?v=XdesOJMMs4k</v>
      </c>
      <c r="AO344" s="78" t="str">
        <f>REPLACE(INDEX(GroupVertices[Group],MATCH(Vertices[[#This Row],[Vertex]],GroupVertices[Vertex],0)),1,1,"")</f>
        <v>PEC ZW</v>
      </c>
      <c r="AP344" s="2"/>
      <c r="AQ344" s="3"/>
      <c r="AR344" s="3"/>
      <c r="AS344" s="3"/>
      <c r="AT344" s="3"/>
    </row>
    <row r="345" spans="1:46" ht="15">
      <c r="A345" s="64" t="s">
        <v>471</v>
      </c>
      <c r="B345" s="65"/>
      <c r="C345" s="65"/>
      <c r="D345" s="66">
        <v>150</v>
      </c>
      <c r="E345" s="102">
        <v>97.85714285714286</v>
      </c>
      <c r="F345" s="98" t="str">
        <f>HYPERLINK("https://i.ytimg.com/vi/iy5WhowQ8AE/default.jpg")</f>
        <v>https://i.ytimg.com/vi/iy5WhowQ8AE/default.jpg</v>
      </c>
      <c r="G345" s="100"/>
      <c r="H345" s="69" t="s">
        <v>892</v>
      </c>
      <c r="I345" s="70"/>
      <c r="J345" s="104" t="s">
        <v>159</v>
      </c>
      <c r="K345" s="69" t="s">
        <v>892</v>
      </c>
      <c r="L345" s="105">
        <v>1</v>
      </c>
      <c r="M345" s="74">
        <v>177.8251953125</v>
      </c>
      <c r="N345" s="74">
        <v>5020.35205078125</v>
      </c>
      <c r="O345" s="75"/>
      <c r="P345" s="76"/>
      <c r="Q345" s="76"/>
      <c r="R345" s="106"/>
      <c r="S345" s="48">
        <v>1</v>
      </c>
      <c r="T345" s="48">
        <v>0</v>
      </c>
      <c r="U345" s="49">
        <v>0</v>
      </c>
      <c r="V345" s="49">
        <v>0.118391</v>
      </c>
      <c r="W345" s="107"/>
      <c r="X345" s="50"/>
      <c r="Y345" s="50"/>
      <c r="Z345" s="49">
        <v>0</v>
      </c>
      <c r="AA345" s="71">
        <v>345</v>
      </c>
      <c r="AB345" s="71"/>
      <c r="AC345" s="72"/>
      <c r="AD345" s="79" t="s">
        <v>892</v>
      </c>
      <c r="AE345" s="79" t="s">
        <v>1196</v>
      </c>
      <c r="AF345" s="79" t="s">
        <v>1407</v>
      </c>
      <c r="AG345" s="79" t="s">
        <v>1642</v>
      </c>
      <c r="AH345" s="79" t="s">
        <v>1948</v>
      </c>
      <c r="AI345" s="79">
        <v>1</v>
      </c>
      <c r="AJ345" s="79">
        <v>0</v>
      </c>
      <c r="AK345" s="79">
        <v>0</v>
      </c>
      <c r="AL345" s="79">
        <v>0</v>
      </c>
      <c r="AM345" s="79" t="s">
        <v>2092</v>
      </c>
      <c r="AN345" s="114" t="str">
        <f>HYPERLINK("https://www.youtube.com/watch?v=iy5WhowQ8AE")</f>
        <v>https://www.youtube.com/watch?v=iy5WhowQ8AE</v>
      </c>
      <c r="AO345" s="78" t="str">
        <f>REPLACE(INDEX(GroupVertices[Group],MATCH(Vertices[[#This Row],[Vertex]],GroupVertices[Vertex],0)),1,1,"")</f>
        <v>entre for Business &amp; Economic Research - CBER</v>
      </c>
      <c r="AP345" s="2"/>
      <c r="AQ345" s="3"/>
      <c r="AR345" s="3"/>
      <c r="AS345" s="3"/>
      <c r="AT345" s="3"/>
    </row>
    <row r="346" spans="1:46" ht="15">
      <c r="A346" s="64" t="s">
        <v>469</v>
      </c>
      <c r="B346" s="65"/>
      <c r="C346" s="65"/>
      <c r="D346" s="66">
        <v>150</v>
      </c>
      <c r="E346" s="102">
        <v>97.85714285714286</v>
      </c>
      <c r="F346" s="98" t="str">
        <f>HYPERLINK("https://i.ytimg.com/vi/mMESf_ruHgE/default.jpg")</f>
        <v>https://i.ytimg.com/vi/mMESf_ruHgE/default.jpg</v>
      </c>
      <c r="G346" s="100"/>
      <c r="H346" s="69" t="s">
        <v>890</v>
      </c>
      <c r="I346" s="70"/>
      <c r="J346" s="104" t="s">
        <v>159</v>
      </c>
      <c r="K346" s="69" t="s">
        <v>890</v>
      </c>
      <c r="L346" s="105">
        <v>1</v>
      </c>
      <c r="M346" s="74">
        <v>287.9417724609375</v>
      </c>
      <c r="N346" s="74">
        <v>5113.16552734375</v>
      </c>
      <c r="O346" s="75"/>
      <c r="P346" s="76"/>
      <c r="Q346" s="76"/>
      <c r="R346" s="106"/>
      <c r="S346" s="48">
        <v>1</v>
      </c>
      <c r="T346" s="48">
        <v>0</v>
      </c>
      <c r="U346" s="49">
        <v>0</v>
      </c>
      <c r="V346" s="49">
        <v>0.118391</v>
      </c>
      <c r="W346" s="107"/>
      <c r="X346" s="50"/>
      <c r="Y346" s="50"/>
      <c r="Z346" s="49">
        <v>0</v>
      </c>
      <c r="AA346" s="71">
        <v>346</v>
      </c>
      <c r="AB346" s="71"/>
      <c r="AC346" s="72"/>
      <c r="AD346" s="79" t="s">
        <v>890</v>
      </c>
      <c r="AE346" s="79" t="s">
        <v>1195</v>
      </c>
      <c r="AF346" s="79"/>
      <c r="AG346" s="79" t="s">
        <v>1640</v>
      </c>
      <c r="AH346" s="79" t="s">
        <v>1946</v>
      </c>
      <c r="AI346" s="79">
        <v>29</v>
      </c>
      <c r="AJ346" s="79">
        <v>0</v>
      </c>
      <c r="AK346" s="79">
        <v>3</v>
      </c>
      <c r="AL346" s="79">
        <v>0</v>
      </c>
      <c r="AM346" s="79" t="s">
        <v>2092</v>
      </c>
      <c r="AN346" s="114" t="str">
        <f>HYPERLINK("https://www.youtube.com/watch?v=mMESf_ruHgE")</f>
        <v>https://www.youtube.com/watch?v=mMESf_ruHgE</v>
      </c>
      <c r="AO346" s="78" t="str">
        <f>REPLACE(INDEX(GroupVertices[Group],MATCH(Vertices[[#This Row],[Vertex]],GroupVertices[Vertex],0)),1,1,"")</f>
        <v>MTV LASUCOM</v>
      </c>
      <c r="AP346" s="2"/>
      <c r="AQ346" s="3"/>
      <c r="AR346" s="3"/>
      <c r="AS346" s="3"/>
      <c r="AT346" s="3"/>
    </row>
    <row r="347" spans="1:46" ht="15">
      <c r="A347" s="64" t="s">
        <v>472</v>
      </c>
      <c r="B347" s="65"/>
      <c r="C347" s="65"/>
      <c r="D347" s="66">
        <v>150</v>
      </c>
      <c r="E347" s="102">
        <v>97.85714285714286</v>
      </c>
      <c r="F347" s="98" t="str">
        <f>HYPERLINK("https://i.ytimg.com/vi/NuucR7THLzM/default.jpg")</f>
        <v>https://i.ytimg.com/vi/NuucR7THLzM/default.jpg</v>
      </c>
      <c r="G347" s="100"/>
      <c r="H347" s="69" t="s">
        <v>893</v>
      </c>
      <c r="I347" s="70"/>
      <c r="J347" s="104" t="s">
        <v>159</v>
      </c>
      <c r="K347" s="69" t="s">
        <v>893</v>
      </c>
      <c r="L347" s="105">
        <v>1</v>
      </c>
      <c r="M347" s="74">
        <v>133.8554229736328</v>
      </c>
      <c r="N347" s="74">
        <v>4620.90869140625</v>
      </c>
      <c r="O347" s="75"/>
      <c r="P347" s="76"/>
      <c r="Q347" s="76"/>
      <c r="R347" s="106"/>
      <c r="S347" s="48">
        <v>1</v>
      </c>
      <c r="T347" s="48">
        <v>0</v>
      </c>
      <c r="U347" s="49">
        <v>0</v>
      </c>
      <c r="V347" s="49">
        <v>0.118391</v>
      </c>
      <c r="W347" s="107"/>
      <c r="X347" s="50"/>
      <c r="Y347" s="50"/>
      <c r="Z347" s="49">
        <v>0</v>
      </c>
      <c r="AA347" s="71">
        <v>347</v>
      </c>
      <c r="AB347" s="71"/>
      <c r="AC347" s="72"/>
      <c r="AD347" s="79" t="s">
        <v>893</v>
      </c>
      <c r="AE347" s="79" t="s">
        <v>893</v>
      </c>
      <c r="AF347" s="79"/>
      <c r="AG347" s="79" t="s">
        <v>1643</v>
      </c>
      <c r="AH347" s="79" t="s">
        <v>1949</v>
      </c>
      <c r="AI347" s="79">
        <v>18</v>
      </c>
      <c r="AJ347" s="79">
        <v>0</v>
      </c>
      <c r="AK347" s="79">
        <v>1</v>
      </c>
      <c r="AL347" s="79">
        <v>0</v>
      </c>
      <c r="AM347" s="79" t="s">
        <v>2092</v>
      </c>
      <c r="AN347" s="114" t="str">
        <f>HYPERLINK("https://www.youtube.com/watch?v=NuucR7THLzM")</f>
        <v>https://www.youtube.com/watch?v=NuucR7THLzM</v>
      </c>
      <c r="AO347" s="78" t="str">
        <f>REPLACE(INDEX(GroupVertices[Group],MATCH(Vertices[[#This Row],[Vertex]],GroupVertices[Vertex],0)),1,1,"")</f>
        <v>FROHUN Network</v>
      </c>
      <c r="AP347" s="2"/>
      <c r="AQ347" s="3"/>
      <c r="AR347" s="3"/>
      <c r="AS347" s="3"/>
      <c r="AT347" s="3"/>
    </row>
    <row r="348" spans="1:46" ht="15">
      <c r="A348" s="64" t="s">
        <v>2287</v>
      </c>
      <c r="B348" s="65"/>
      <c r="C348" s="65"/>
      <c r="D348" s="66">
        <v>150</v>
      </c>
      <c r="E348" s="102">
        <v>97.85714285714286</v>
      </c>
      <c r="F348" s="98" t="str">
        <f>HYPERLINK("https://i.ytimg.com/vi/FN3cNcnVz-g/default.jpg")</f>
        <v>https://i.ytimg.com/vi/FN3cNcnVz-g/default.jpg</v>
      </c>
      <c r="G348" s="100"/>
      <c r="H348" s="69" t="s">
        <v>2764</v>
      </c>
      <c r="I348" s="70"/>
      <c r="J348" s="104" t="s">
        <v>159</v>
      </c>
      <c r="K348" s="69" t="s">
        <v>2764</v>
      </c>
      <c r="L348" s="105">
        <v>1</v>
      </c>
      <c r="M348" s="74">
        <v>3909.208251953125</v>
      </c>
      <c r="N348" s="74">
        <v>1092.9935302734375</v>
      </c>
      <c r="O348" s="75"/>
      <c r="P348" s="76"/>
      <c r="Q348" s="76"/>
      <c r="R348" s="106"/>
      <c r="S348" s="48">
        <v>1</v>
      </c>
      <c r="T348" s="48">
        <v>0</v>
      </c>
      <c r="U348" s="49">
        <v>0</v>
      </c>
      <c r="V348" s="49">
        <v>0.107374</v>
      </c>
      <c r="W348" s="107"/>
      <c r="X348" s="50"/>
      <c r="Y348" s="50"/>
      <c r="Z348" s="49">
        <v>0</v>
      </c>
      <c r="AA348" s="71">
        <v>348</v>
      </c>
      <c r="AB348" s="71"/>
      <c r="AC348" s="72"/>
      <c r="AD348" s="79" t="s">
        <v>2764</v>
      </c>
      <c r="AE348" s="79"/>
      <c r="AF348" s="79"/>
      <c r="AG348" s="79" t="s">
        <v>3786</v>
      </c>
      <c r="AH348" s="79" t="s">
        <v>4130</v>
      </c>
      <c r="AI348" s="79">
        <v>538</v>
      </c>
      <c r="AJ348" s="79">
        <v>1</v>
      </c>
      <c r="AK348" s="79">
        <v>4</v>
      </c>
      <c r="AL348" s="79">
        <v>0</v>
      </c>
      <c r="AM348" s="79" t="s">
        <v>2092</v>
      </c>
      <c r="AN348" s="114" t="str">
        <f>HYPERLINK("https://www.youtube.com/watch?v=FN3cNcnVz-g")</f>
        <v>https://www.youtube.com/watch?v=FN3cNcnVz-g</v>
      </c>
      <c r="AO348" s="78" t="str">
        <f>REPLACE(INDEX(GroupVertices[Group],MATCH(Vertices[[#This Row],[Vertex]],GroupVertices[Vertex],0)),1,1,"")</f>
        <v>ibabrata Nayak</v>
      </c>
      <c r="AP348" s="2"/>
      <c r="AQ348" s="3"/>
      <c r="AR348" s="3"/>
      <c r="AS348" s="3"/>
      <c r="AT348" s="3"/>
    </row>
    <row r="349" spans="1:46" ht="15">
      <c r="A349" s="64" t="s">
        <v>2288</v>
      </c>
      <c r="B349" s="65"/>
      <c r="C349" s="65"/>
      <c r="D349" s="66">
        <v>150</v>
      </c>
      <c r="E349" s="102">
        <v>97.85714285714286</v>
      </c>
      <c r="F349" s="98" t="str">
        <f>HYPERLINK("https://i.ytimg.com/vi/1sKGw_rTBnc/default.jpg")</f>
        <v>https://i.ytimg.com/vi/1sKGw_rTBnc/default.jpg</v>
      </c>
      <c r="G349" s="100"/>
      <c r="H349" s="69" t="s">
        <v>2765</v>
      </c>
      <c r="I349" s="70"/>
      <c r="J349" s="104" t="s">
        <v>159</v>
      </c>
      <c r="K349" s="69" t="s">
        <v>2765</v>
      </c>
      <c r="L349" s="105">
        <v>1</v>
      </c>
      <c r="M349" s="74">
        <v>3886.128173828125</v>
      </c>
      <c r="N349" s="74">
        <v>2075.733154296875</v>
      </c>
      <c r="O349" s="75"/>
      <c r="P349" s="76"/>
      <c r="Q349" s="76"/>
      <c r="R349" s="106"/>
      <c r="S349" s="48">
        <v>1</v>
      </c>
      <c r="T349" s="48">
        <v>0</v>
      </c>
      <c r="U349" s="49">
        <v>0</v>
      </c>
      <c r="V349" s="49">
        <v>0.107374</v>
      </c>
      <c r="W349" s="107"/>
      <c r="X349" s="50"/>
      <c r="Y349" s="50"/>
      <c r="Z349" s="49">
        <v>0</v>
      </c>
      <c r="AA349" s="71">
        <v>349</v>
      </c>
      <c r="AB349" s="71"/>
      <c r="AC349" s="72"/>
      <c r="AD349" s="79" t="s">
        <v>2765</v>
      </c>
      <c r="AE349" s="79" t="s">
        <v>3208</v>
      </c>
      <c r="AF349" s="79"/>
      <c r="AG349" s="79" t="s">
        <v>3787</v>
      </c>
      <c r="AH349" s="79" t="s">
        <v>4131</v>
      </c>
      <c r="AI349" s="79">
        <v>184</v>
      </c>
      <c r="AJ349" s="79">
        <v>0</v>
      </c>
      <c r="AK349" s="79">
        <v>0</v>
      </c>
      <c r="AL349" s="79">
        <v>0</v>
      </c>
      <c r="AM349" s="79" t="s">
        <v>2092</v>
      </c>
      <c r="AN349" s="114" t="str">
        <f>HYPERLINK("https://www.youtube.com/watch?v=1sKGw_rTBnc")</f>
        <v>https://www.youtube.com/watch?v=1sKGw_rTBnc</v>
      </c>
      <c r="AO349" s="78" t="str">
        <f>REPLACE(INDEX(GroupVertices[Group],MATCH(Vertices[[#This Row],[Vertex]],GroupVertices[Vertex],0)),1,1,"")</f>
        <v>iran Kumari _xD83E__xDDE0_Psychology Notes in Hindi</v>
      </c>
      <c r="AP349" s="2"/>
      <c r="AQ349" s="3"/>
      <c r="AR349" s="3"/>
      <c r="AS349" s="3"/>
      <c r="AT349" s="3"/>
    </row>
    <row r="350" spans="1:46" ht="15">
      <c r="A350" s="64" t="s">
        <v>2289</v>
      </c>
      <c r="B350" s="65"/>
      <c r="C350" s="65"/>
      <c r="D350" s="66">
        <v>150</v>
      </c>
      <c r="E350" s="102">
        <v>97.85714285714286</v>
      </c>
      <c r="F350" s="98" t="str">
        <f>HYPERLINK("https://i.ytimg.com/vi/V0L2WgqrKbI/default.jpg")</f>
        <v>https://i.ytimg.com/vi/V0L2WgqrKbI/default.jpg</v>
      </c>
      <c r="G350" s="100"/>
      <c r="H350" s="69" t="s">
        <v>2766</v>
      </c>
      <c r="I350" s="70"/>
      <c r="J350" s="104" t="s">
        <v>159</v>
      </c>
      <c r="K350" s="69" t="s">
        <v>2766</v>
      </c>
      <c r="L350" s="105">
        <v>1</v>
      </c>
      <c r="M350" s="74">
        <v>3196.36865234375</v>
      </c>
      <c r="N350" s="74">
        <v>1714.655029296875</v>
      </c>
      <c r="O350" s="75"/>
      <c r="P350" s="76"/>
      <c r="Q350" s="76"/>
      <c r="R350" s="106"/>
      <c r="S350" s="48">
        <v>1</v>
      </c>
      <c r="T350" s="48">
        <v>0</v>
      </c>
      <c r="U350" s="49">
        <v>0</v>
      </c>
      <c r="V350" s="49">
        <v>0.107374</v>
      </c>
      <c r="W350" s="107"/>
      <c r="X350" s="50"/>
      <c r="Y350" s="50"/>
      <c r="Z350" s="49">
        <v>0</v>
      </c>
      <c r="AA350" s="71">
        <v>350</v>
      </c>
      <c r="AB350" s="71"/>
      <c r="AC350" s="72"/>
      <c r="AD350" s="79" t="s">
        <v>2766</v>
      </c>
      <c r="AE350" s="79" t="s">
        <v>3209</v>
      </c>
      <c r="AF350" s="79"/>
      <c r="AG350" s="79" t="s">
        <v>3788</v>
      </c>
      <c r="AH350" s="79" t="s">
        <v>4132</v>
      </c>
      <c r="AI350" s="79">
        <v>423</v>
      </c>
      <c r="AJ350" s="79">
        <v>0</v>
      </c>
      <c r="AK350" s="79">
        <v>10</v>
      </c>
      <c r="AL350" s="79">
        <v>0</v>
      </c>
      <c r="AM350" s="79" t="s">
        <v>2092</v>
      </c>
      <c r="AN350" s="114" t="str">
        <f>HYPERLINK("https://www.youtube.com/watch?v=V0L2WgqrKbI")</f>
        <v>https://www.youtube.com/watch?v=V0L2WgqrKbI</v>
      </c>
      <c r="AO350" s="78" t="str">
        <f>REPLACE(INDEX(GroupVertices[Group],MATCH(Vertices[[#This Row],[Vertex]],GroupVertices[Vertex],0)),1,1,"")</f>
        <v>V Natu</v>
      </c>
      <c r="AP350" s="2"/>
      <c r="AQ350" s="3"/>
      <c r="AR350" s="3"/>
      <c r="AS350" s="3"/>
      <c r="AT350" s="3"/>
    </row>
    <row r="351" spans="1:46" ht="15">
      <c r="A351" s="64" t="s">
        <v>2290</v>
      </c>
      <c r="B351" s="65"/>
      <c r="C351" s="65"/>
      <c r="D351" s="66">
        <v>150</v>
      </c>
      <c r="E351" s="102">
        <v>97.85714285714286</v>
      </c>
      <c r="F351" s="98" t="str">
        <f>HYPERLINK("https://i.ytimg.com/vi/G1OHQIyfYHc/default.jpg")</f>
        <v>https://i.ytimg.com/vi/G1OHQIyfYHc/default.jpg</v>
      </c>
      <c r="G351" s="100"/>
      <c r="H351" s="69" t="s">
        <v>2767</v>
      </c>
      <c r="I351" s="70"/>
      <c r="J351" s="104" t="s">
        <v>159</v>
      </c>
      <c r="K351" s="69" t="s">
        <v>2767</v>
      </c>
      <c r="L351" s="105">
        <v>1</v>
      </c>
      <c r="M351" s="74">
        <v>4388.98974609375</v>
      </c>
      <c r="N351" s="74">
        <v>628.4765014648438</v>
      </c>
      <c r="O351" s="75"/>
      <c r="P351" s="76"/>
      <c r="Q351" s="76"/>
      <c r="R351" s="106"/>
      <c r="S351" s="48">
        <v>1</v>
      </c>
      <c r="T351" s="48">
        <v>0</v>
      </c>
      <c r="U351" s="49">
        <v>0</v>
      </c>
      <c r="V351" s="49">
        <v>0.107374</v>
      </c>
      <c r="W351" s="107"/>
      <c r="X351" s="50"/>
      <c r="Y351" s="50"/>
      <c r="Z351" s="49">
        <v>0</v>
      </c>
      <c r="AA351" s="71">
        <v>351</v>
      </c>
      <c r="AB351" s="71"/>
      <c r="AC351" s="72"/>
      <c r="AD351" s="79" t="s">
        <v>2767</v>
      </c>
      <c r="AE351" s="79"/>
      <c r="AF351" s="79"/>
      <c r="AG351" s="79" t="s">
        <v>3789</v>
      </c>
      <c r="AH351" s="79" t="s">
        <v>4133</v>
      </c>
      <c r="AI351" s="79">
        <v>7</v>
      </c>
      <c r="AJ351" s="79">
        <v>0</v>
      </c>
      <c r="AK351" s="79">
        <v>0</v>
      </c>
      <c r="AL351" s="79">
        <v>0</v>
      </c>
      <c r="AM351" s="79" t="s">
        <v>2092</v>
      </c>
      <c r="AN351" s="114" t="str">
        <f>HYPERLINK("https://www.youtube.com/watch?v=G1OHQIyfYHc")</f>
        <v>https://www.youtube.com/watch?v=G1OHQIyfYHc</v>
      </c>
      <c r="AO351" s="78" t="str">
        <f>REPLACE(INDEX(GroupVertices[Group],MATCH(Vertices[[#This Row],[Vertex]],GroupVertices[Vertex],0)),1,1,"")</f>
        <v>OMETE</v>
      </c>
      <c r="AP351" s="2"/>
      <c r="AQ351" s="3"/>
      <c r="AR351" s="3"/>
      <c r="AS351" s="3"/>
      <c r="AT351" s="3"/>
    </row>
    <row r="352" spans="1:46" ht="15">
      <c r="A352" s="64" t="s">
        <v>2291</v>
      </c>
      <c r="B352" s="65"/>
      <c r="C352" s="65"/>
      <c r="D352" s="66">
        <v>150</v>
      </c>
      <c r="E352" s="102">
        <v>97.85714285714286</v>
      </c>
      <c r="F352" s="98" t="str">
        <f>HYPERLINK("https://i.ytimg.com/vi/Z_gmctuLHSM/default.jpg")</f>
        <v>https://i.ytimg.com/vi/Z_gmctuLHSM/default.jpg</v>
      </c>
      <c r="G352" s="100"/>
      <c r="H352" s="69" t="s">
        <v>2768</v>
      </c>
      <c r="I352" s="70"/>
      <c r="J352" s="104" t="s">
        <v>159</v>
      </c>
      <c r="K352" s="69" t="s">
        <v>2768</v>
      </c>
      <c r="L352" s="105">
        <v>1</v>
      </c>
      <c r="M352" s="74">
        <v>3096.017822265625</v>
      </c>
      <c r="N352" s="74">
        <v>1351.9942626953125</v>
      </c>
      <c r="O352" s="75"/>
      <c r="P352" s="76"/>
      <c r="Q352" s="76"/>
      <c r="R352" s="106"/>
      <c r="S352" s="48">
        <v>1</v>
      </c>
      <c r="T352" s="48">
        <v>0</v>
      </c>
      <c r="U352" s="49">
        <v>0</v>
      </c>
      <c r="V352" s="49">
        <v>0.107374</v>
      </c>
      <c r="W352" s="107"/>
      <c r="X352" s="50"/>
      <c r="Y352" s="50"/>
      <c r="Z352" s="49">
        <v>0</v>
      </c>
      <c r="AA352" s="71">
        <v>352</v>
      </c>
      <c r="AB352" s="71"/>
      <c r="AC352" s="72"/>
      <c r="AD352" s="79" t="s">
        <v>2768</v>
      </c>
      <c r="AE352" s="79" t="s">
        <v>3210</v>
      </c>
      <c r="AF352" s="79" t="s">
        <v>3559</v>
      </c>
      <c r="AG352" s="79" t="s">
        <v>3790</v>
      </c>
      <c r="AH352" s="79" t="s">
        <v>4134</v>
      </c>
      <c r="AI352" s="79">
        <v>48</v>
      </c>
      <c r="AJ352" s="79">
        <v>1</v>
      </c>
      <c r="AK352" s="79">
        <v>7</v>
      </c>
      <c r="AL352" s="79">
        <v>0</v>
      </c>
      <c r="AM352" s="79" t="s">
        <v>2092</v>
      </c>
      <c r="AN352" s="114" t="str">
        <f>HYPERLINK("https://www.youtube.com/watch?v=Z_gmctuLHSM")</f>
        <v>https://www.youtube.com/watch?v=Z_gmctuLHSM</v>
      </c>
      <c r="AO352" s="78" t="str">
        <f>REPLACE(INDEX(GroupVertices[Group],MATCH(Vertices[[#This Row],[Vertex]],GroupVertices[Vertex],0)),1,1,"")</f>
        <v>ellness by Farah 2</v>
      </c>
      <c r="AP352" s="2"/>
      <c r="AQ352" s="3"/>
      <c r="AR352" s="3"/>
      <c r="AS352" s="3"/>
      <c r="AT352" s="3"/>
    </row>
    <row r="353" spans="1:46" ht="15">
      <c r="A353" s="64" t="s">
        <v>2292</v>
      </c>
      <c r="B353" s="65"/>
      <c r="C353" s="65"/>
      <c r="D353" s="66">
        <v>150</v>
      </c>
      <c r="E353" s="102">
        <v>97.85714285714286</v>
      </c>
      <c r="F353" s="98" t="str">
        <f>HYPERLINK("https://i.ytimg.com/vi/NX6knqtJtEs/default.jpg")</f>
        <v>https://i.ytimg.com/vi/NX6knqtJtEs/default.jpg</v>
      </c>
      <c r="G353" s="100"/>
      <c r="H353" s="69" t="s">
        <v>2769</v>
      </c>
      <c r="I353" s="70"/>
      <c r="J353" s="104" t="s">
        <v>159</v>
      </c>
      <c r="K353" s="69" t="s">
        <v>2769</v>
      </c>
      <c r="L353" s="105">
        <v>1</v>
      </c>
      <c r="M353" s="74">
        <v>2667.633544921875</v>
      </c>
      <c r="N353" s="74">
        <v>884.944091796875</v>
      </c>
      <c r="O353" s="75"/>
      <c r="P353" s="76"/>
      <c r="Q353" s="76"/>
      <c r="R353" s="106"/>
      <c r="S353" s="48">
        <v>1</v>
      </c>
      <c r="T353" s="48">
        <v>0</v>
      </c>
      <c r="U353" s="49">
        <v>0</v>
      </c>
      <c r="V353" s="49">
        <v>0.107374</v>
      </c>
      <c r="W353" s="107"/>
      <c r="X353" s="50"/>
      <c r="Y353" s="50"/>
      <c r="Z353" s="49">
        <v>0</v>
      </c>
      <c r="AA353" s="71">
        <v>353</v>
      </c>
      <c r="AB353" s="71"/>
      <c r="AC353" s="72"/>
      <c r="AD353" s="79" t="s">
        <v>2769</v>
      </c>
      <c r="AE353" s="79" t="s">
        <v>3211</v>
      </c>
      <c r="AF353" s="79"/>
      <c r="AG353" s="79" t="s">
        <v>3791</v>
      </c>
      <c r="AH353" s="79" t="s">
        <v>4135</v>
      </c>
      <c r="AI353" s="79">
        <v>4552</v>
      </c>
      <c r="AJ353" s="79">
        <v>3</v>
      </c>
      <c r="AK353" s="79">
        <v>0</v>
      </c>
      <c r="AL353" s="79">
        <v>0</v>
      </c>
      <c r="AM353" s="79" t="s">
        <v>2092</v>
      </c>
      <c r="AN353" s="114" t="str">
        <f>HYPERLINK("https://www.youtube.com/watch?v=NX6knqtJtEs")</f>
        <v>https://www.youtube.com/watch?v=NX6knqtJtEs</v>
      </c>
      <c r="AO353" s="78" t="str">
        <f>REPLACE(INDEX(GroupVertices[Group],MATCH(Vertices[[#This Row],[Vertex]],GroupVertices[Vertex],0)),1,1,"")</f>
        <v>hikha ClassEdge - History</v>
      </c>
      <c r="AP353" s="2"/>
      <c r="AQ353" s="3"/>
      <c r="AR353" s="3"/>
      <c r="AS353" s="3"/>
      <c r="AT353" s="3"/>
    </row>
    <row r="354" spans="1:46" ht="15">
      <c r="A354" s="64" t="s">
        <v>2293</v>
      </c>
      <c r="B354" s="65"/>
      <c r="C354" s="65"/>
      <c r="D354" s="66">
        <v>150</v>
      </c>
      <c r="E354" s="102">
        <v>97.85714285714286</v>
      </c>
      <c r="F354" s="98" t="str">
        <f>HYPERLINK("https://i.ytimg.com/vi/J4ZMHi4dj2s/default.jpg")</f>
        <v>https://i.ytimg.com/vi/J4ZMHi4dj2s/default.jpg</v>
      </c>
      <c r="G354" s="100"/>
      <c r="H354" s="69" t="s">
        <v>2770</v>
      </c>
      <c r="I354" s="70"/>
      <c r="J354" s="104" t="s">
        <v>159</v>
      </c>
      <c r="K354" s="69" t="s">
        <v>2770</v>
      </c>
      <c r="L354" s="105">
        <v>1</v>
      </c>
      <c r="M354" s="74">
        <v>2636.951904296875</v>
      </c>
      <c r="N354" s="74">
        <v>1210.810302734375</v>
      </c>
      <c r="O354" s="75"/>
      <c r="P354" s="76"/>
      <c r="Q354" s="76"/>
      <c r="R354" s="106"/>
      <c r="S354" s="48">
        <v>1</v>
      </c>
      <c r="T354" s="48">
        <v>0</v>
      </c>
      <c r="U354" s="49">
        <v>0</v>
      </c>
      <c r="V354" s="49">
        <v>0.107374</v>
      </c>
      <c r="W354" s="107"/>
      <c r="X354" s="50"/>
      <c r="Y354" s="50"/>
      <c r="Z354" s="49">
        <v>0</v>
      </c>
      <c r="AA354" s="71">
        <v>354</v>
      </c>
      <c r="AB354" s="71"/>
      <c r="AC354" s="72"/>
      <c r="AD354" s="79" t="s">
        <v>2770</v>
      </c>
      <c r="AE354" s="79" t="s">
        <v>3212</v>
      </c>
      <c r="AF354" s="79" t="s">
        <v>3560</v>
      </c>
      <c r="AG354" s="79" t="s">
        <v>3792</v>
      </c>
      <c r="AH354" s="79" t="s">
        <v>4136</v>
      </c>
      <c r="AI354" s="79">
        <v>39</v>
      </c>
      <c r="AJ354" s="79">
        <v>2</v>
      </c>
      <c r="AK354" s="79">
        <v>5</v>
      </c>
      <c r="AL354" s="79">
        <v>0</v>
      </c>
      <c r="AM354" s="79" t="s">
        <v>2092</v>
      </c>
      <c r="AN354" s="114" t="str">
        <f>HYPERLINK("https://www.youtube.com/watch?v=J4ZMHi4dj2s")</f>
        <v>https://www.youtube.com/watch?v=J4ZMHi4dj2s</v>
      </c>
      <c r="AO354" s="78" t="str">
        <f>REPLACE(INDEX(GroupVertices[Group],MATCH(Vertices[[#This Row],[Vertex]],GroupVertices[Vertex],0)),1,1,"")</f>
        <v>sychology academia</v>
      </c>
      <c r="AP354" s="2"/>
      <c r="AQ354" s="3"/>
      <c r="AR354" s="3"/>
      <c r="AS354" s="3"/>
      <c r="AT354" s="3"/>
    </row>
    <row r="355" spans="1:46" ht="15">
      <c r="A355" s="64" t="s">
        <v>2294</v>
      </c>
      <c r="B355" s="65"/>
      <c r="C355" s="65"/>
      <c r="D355" s="66">
        <v>150</v>
      </c>
      <c r="E355" s="102">
        <v>97.85714285714286</v>
      </c>
      <c r="F355" s="98" t="str">
        <f>HYPERLINK("https://i.ytimg.com/vi/hloRUe32gS8/default.jpg")</f>
        <v>https://i.ytimg.com/vi/hloRUe32gS8/default.jpg</v>
      </c>
      <c r="G355" s="100"/>
      <c r="H355" s="69" t="s">
        <v>2771</v>
      </c>
      <c r="I355" s="70"/>
      <c r="J355" s="104" t="s">
        <v>159</v>
      </c>
      <c r="K355" s="69" t="s">
        <v>2771</v>
      </c>
      <c r="L355" s="105">
        <v>1</v>
      </c>
      <c r="M355" s="74">
        <v>4054.410888671875</v>
      </c>
      <c r="N355" s="74">
        <v>260.5405578613281</v>
      </c>
      <c r="O355" s="75"/>
      <c r="P355" s="76"/>
      <c r="Q355" s="76"/>
      <c r="R355" s="106"/>
      <c r="S355" s="48">
        <v>1</v>
      </c>
      <c r="T355" s="48">
        <v>0</v>
      </c>
      <c r="U355" s="49">
        <v>0</v>
      </c>
      <c r="V355" s="49">
        <v>0.107374</v>
      </c>
      <c r="W355" s="107"/>
      <c r="X355" s="50"/>
      <c r="Y355" s="50"/>
      <c r="Z355" s="49">
        <v>0</v>
      </c>
      <c r="AA355" s="71">
        <v>355</v>
      </c>
      <c r="AB355" s="71"/>
      <c r="AC355" s="72"/>
      <c r="AD355" s="79" t="s">
        <v>2771</v>
      </c>
      <c r="AE355" s="79" t="s">
        <v>3213</v>
      </c>
      <c r="AF355" s="79"/>
      <c r="AG355" s="79" t="s">
        <v>3793</v>
      </c>
      <c r="AH355" s="79" t="s">
        <v>4137</v>
      </c>
      <c r="AI355" s="79">
        <v>146</v>
      </c>
      <c r="AJ355" s="79">
        <v>0</v>
      </c>
      <c r="AK355" s="79">
        <v>11</v>
      </c>
      <c r="AL355" s="79">
        <v>0</v>
      </c>
      <c r="AM355" s="79" t="s">
        <v>2092</v>
      </c>
      <c r="AN355" s="114" t="str">
        <f>HYPERLINK("https://www.youtube.com/watch?v=hloRUe32gS8")</f>
        <v>https://www.youtube.com/watch?v=hloRUe32gS8</v>
      </c>
      <c r="AO355" s="78" t="str">
        <f>REPLACE(INDEX(GroupVertices[Group],MATCH(Vertices[[#This Row],[Vertex]],GroupVertices[Vertex],0)),1,1,"")</f>
        <v>evansh Sharma</v>
      </c>
      <c r="AP355" s="2"/>
      <c r="AQ355" s="3"/>
      <c r="AR355" s="3"/>
      <c r="AS355" s="3"/>
      <c r="AT355" s="3"/>
    </row>
    <row r="356" spans="1:46" ht="15">
      <c r="A356" s="64" t="s">
        <v>2295</v>
      </c>
      <c r="B356" s="65"/>
      <c r="C356" s="65"/>
      <c r="D356" s="66">
        <v>150</v>
      </c>
      <c r="E356" s="102">
        <v>97.85714285714286</v>
      </c>
      <c r="F356" s="98" t="str">
        <f>HYPERLINK("https://i.ytimg.com/vi/a0mZkFgHhEQ/default.jpg")</f>
        <v>https://i.ytimg.com/vi/a0mZkFgHhEQ/default.jpg</v>
      </c>
      <c r="G356" s="100"/>
      <c r="H356" s="69" t="s">
        <v>2772</v>
      </c>
      <c r="I356" s="70"/>
      <c r="J356" s="104" t="s">
        <v>159</v>
      </c>
      <c r="K356" s="69" t="s">
        <v>2772</v>
      </c>
      <c r="L356" s="105">
        <v>1</v>
      </c>
      <c r="M356" s="74">
        <v>4146.33349609375</v>
      </c>
      <c r="N356" s="74">
        <v>827.7968139648438</v>
      </c>
      <c r="O356" s="75"/>
      <c r="P356" s="76"/>
      <c r="Q356" s="76"/>
      <c r="R356" s="106"/>
      <c r="S356" s="48">
        <v>1</v>
      </c>
      <c r="T356" s="48">
        <v>0</v>
      </c>
      <c r="U356" s="49">
        <v>0</v>
      </c>
      <c r="V356" s="49">
        <v>0.107374</v>
      </c>
      <c r="W356" s="107"/>
      <c r="X356" s="50"/>
      <c r="Y356" s="50"/>
      <c r="Z356" s="49">
        <v>0</v>
      </c>
      <c r="AA356" s="71">
        <v>356</v>
      </c>
      <c r="AB356" s="71"/>
      <c r="AC356" s="72"/>
      <c r="AD356" s="79" t="s">
        <v>2772</v>
      </c>
      <c r="AE356" s="79" t="s">
        <v>3214</v>
      </c>
      <c r="AF356" s="79"/>
      <c r="AG356" s="79" t="s">
        <v>3794</v>
      </c>
      <c r="AH356" s="79" t="s">
        <v>4138</v>
      </c>
      <c r="AI356" s="79">
        <v>37796</v>
      </c>
      <c r="AJ356" s="79">
        <v>20</v>
      </c>
      <c r="AK356" s="79">
        <v>652</v>
      </c>
      <c r="AL356" s="79">
        <v>0</v>
      </c>
      <c r="AM356" s="79" t="s">
        <v>2092</v>
      </c>
      <c r="AN356" s="114" t="str">
        <f>HYPERLINK("https://www.youtube.com/watch?v=a0mZkFgHhEQ")</f>
        <v>https://www.youtube.com/watch?v=a0mZkFgHhEQ</v>
      </c>
      <c r="AO356" s="78" t="str">
        <f>REPLACE(INDEX(GroupVertices[Group],MATCH(Vertices[[#This Row],[Vertex]],GroupVertices[Vertex],0)),1,1,"")</f>
        <v>mart _xD83E__xDD13_ Study</v>
      </c>
      <c r="AP356" s="2"/>
      <c r="AQ356" s="3"/>
      <c r="AR356" s="3"/>
      <c r="AS356" s="3"/>
      <c r="AT356" s="3"/>
    </row>
    <row r="357" spans="1:46" ht="15">
      <c r="A357" s="64" t="s">
        <v>2296</v>
      </c>
      <c r="B357" s="65"/>
      <c r="C357" s="65"/>
      <c r="D357" s="66">
        <v>150</v>
      </c>
      <c r="E357" s="102">
        <v>97.85714285714286</v>
      </c>
      <c r="F357" s="98" t="str">
        <f>HYPERLINK("https://i.ytimg.com/vi/UAg2MwMzKYc/default.jpg")</f>
        <v>https://i.ytimg.com/vi/UAg2MwMzKYc/default.jpg</v>
      </c>
      <c r="G357" s="100"/>
      <c r="H357" s="69" t="s">
        <v>2773</v>
      </c>
      <c r="I357" s="70"/>
      <c r="J357" s="104" t="s">
        <v>159</v>
      </c>
      <c r="K357" s="69" t="s">
        <v>2773</v>
      </c>
      <c r="L357" s="105">
        <v>1</v>
      </c>
      <c r="M357" s="74">
        <v>2954.320556640625</v>
      </c>
      <c r="N357" s="74">
        <v>382.9002990722656</v>
      </c>
      <c r="O357" s="75"/>
      <c r="P357" s="76"/>
      <c r="Q357" s="76"/>
      <c r="R357" s="106"/>
      <c r="S357" s="48">
        <v>1</v>
      </c>
      <c r="T357" s="48">
        <v>0</v>
      </c>
      <c r="U357" s="49">
        <v>0</v>
      </c>
      <c r="V357" s="49">
        <v>0.107374</v>
      </c>
      <c r="W357" s="107"/>
      <c r="X357" s="50"/>
      <c r="Y357" s="50"/>
      <c r="Z357" s="49">
        <v>0</v>
      </c>
      <c r="AA357" s="71">
        <v>357</v>
      </c>
      <c r="AB357" s="71"/>
      <c r="AC357" s="72"/>
      <c r="AD357" s="79" t="s">
        <v>2773</v>
      </c>
      <c r="AE357" s="79" t="s">
        <v>3215</v>
      </c>
      <c r="AF357" s="79" t="s">
        <v>3561</v>
      </c>
      <c r="AG357" s="79" t="s">
        <v>3795</v>
      </c>
      <c r="AH357" s="79" t="s">
        <v>4139</v>
      </c>
      <c r="AI357" s="79">
        <v>20</v>
      </c>
      <c r="AJ357" s="79">
        <v>3</v>
      </c>
      <c r="AK357" s="79">
        <v>4</v>
      </c>
      <c r="AL357" s="79">
        <v>0</v>
      </c>
      <c r="AM357" s="79" t="s">
        <v>2092</v>
      </c>
      <c r="AN357" s="114" t="str">
        <f>HYPERLINK("https://www.youtube.com/watch?v=UAg2MwMzKYc")</f>
        <v>https://www.youtube.com/watch?v=UAg2MwMzKYc</v>
      </c>
      <c r="AO357" s="78" t="str">
        <f>REPLACE(INDEX(GroupVertices[Group],MATCH(Vertices[[#This Row],[Vertex]],GroupVertices[Vertex],0)),1,1,"")</f>
        <v>etiino Foundation</v>
      </c>
      <c r="AP357" s="2"/>
      <c r="AQ357" s="3"/>
      <c r="AR357" s="3"/>
      <c r="AS357" s="3"/>
      <c r="AT357" s="3"/>
    </row>
    <row r="358" spans="1:46" ht="15">
      <c r="A358" s="64" t="s">
        <v>2297</v>
      </c>
      <c r="B358" s="65"/>
      <c r="C358" s="65"/>
      <c r="D358" s="66">
        <v>150</v>
      </c>
      <c r="E358" s="102">
        <v>97.85714285714286</v>
      </c>
      <c r="F358" s="98" t="str">
        <f>HYPERLINK("https://i.ytimg.com/vi/Y2qr53ZQkoo/default.jpg")</f>
        <v>https://i.ytimg.com/vi/Y2qr53ZQkoo/default.jpg</v>
      </c>
      <c r="G358" s="100"/>
      <c r="H358" s="69" t="s">
        <v>2774</v>
      </c>
      <c r="I358" s="70"/>
      <c r="J358" s="104" t="s">
        <v>159</v>
      </c>
      <c r="K358" s="69" t="s">
        <v>2774</v>
      </c>
      <c r="L358" s="105">
        <v>1</v>
      </c>
      <c r="M358" s="74">
        <v>2871.516845703125</v>
      </c>
      <c r="N358" s="74">
        <v>1106.949462890625</v>
      </c>
      <c r="O358" s="75"/>
      <c r="P358" s="76"/>
      <c r="Q358" s="76"/>
      <c r="R358" s="106"/>
      <c r="S358" s="48">
        <v>1</v>
      </c>
      <c r="T358" s="48">
        <v>0</v>
      </c>
      <c r="U358" s="49">
        <v>0</v>
      </c>
      <c r="V358" s="49">
        <v>0.107374</v>
      </c>
      <c r="W358" s="107"/>
      <c r="X358" s="50"/>
      <c r="Y358" s="50"/>
      <c r="Z358" s="49">
        <v>0</v>
      </c>
      <c r="AA358" s="71">
        <v>358</v>
      </c>
      <c r="AB358" s="71"/>
      <c r="AC358" s="72"/>
      <c r="AD358" s="79" t="s">
        <v>2774</v>
      </c>
      <c r="AE358" s="79" t="s">
        <v>3216</v>
      </c>
      <c r="AF358" s="79"/>
      <c r="AG358" s="79" t="s">
        <v>3796</v>
      </c>
      <c r="AH358" s="79" t="s">
        <v>4140</v>
      </c>
      <c r="AI358" s="79">
        <v>75</v>
      </c>
      <c r="AJ358" s="79">
        <v>7</v>
      </c>
      <c r="AK358" s="79">
        <v>23</v>
      </c>
      <c r="AL358" s="79">
        <v>0</v>
      </c>
      <c r="AM358" s="79" t="s">
        <v>2092</v>
      </c>
      <c r="AN358" s="114" t="str">
        <f>HYPERLINK("https://www.youtube.com/watch?v=Y2qr53ZQkoo")</f>
        <v>https://www.youtube.com/watch?v=Y2qr53ZQkoo</v>
      </c>
      <c r="AO358" s="78" t="str">
        <f>REPLACE(INDEX(GroupVertices[Group],MATCH(Vertices[[#This Row],[Vertex]],GroupVertices[Vertex],0)),1,1,"")</f>
        <v>asy Study With Mehak</v>
      </c>
      <c r="AP358" s="2"/>
      <c r="AQ358" s="3"/>
      <c r="AR358" s="3"/>
      <c r="AS358" s="3"/>
      <c r="AT358" s="3"/>
    </row>
    <row r="359" spans="1:46" ht="15">
      <c r="A359" s="64" t="s">
        <v>2298</v>
      </c>
      <c r="B359" s="65"/>
      <c r="C359" s="65"/>
      <c r="D359" s="66">
        <v>150</v>
      </c>
      <c r="E359" s="102">
        <v>97.85714285714286</v>
      </c>
      <c r="F359" s="98" t="str">
        <f>HYPERLINK("https://i.ytimg.com/vi/wQvLCgTiEB0/default.jpg")</f>
        <v>https://i.ytimg.com/vi/wQvLCgTiEB0/default.jpg</v>
      </c>
      <c r="G359" s="100"/>
      <c r="H359" s="69" t="s">
        <v>2775</v>
      </c>
      <c r="I359" s="70"/>
      <c r="J359" s="104" t="s">
        <v>159</v>
      </c>
      <c r="K359" s="69" t="s">
        <v>2775</v>
      </c>
      <c r="L359" s="105">
        <v>1</v>
      </c>
      <c r="M359" s="74">
        <v>3836.527587890625</v>
      </c>
      <c r="N359" s="74">
        <v>164.30844116210938</v>
      </c>
      <c r="O359" s="75"/>
      <c r="P359" s="76"/>
      <c r="Q359" s="76"/>
      <c r="R359" s="106"/>
      <c r="S359" s="48">
        <v>1</v>
      </c>
      <c r="T359" s="48">
        <v>0</v>
      </c>
      <c r="U359" s="49">
        <v>0</v>
      </c>
      <c r="V359" s="49">
        <v>0.107374</v>
      </c>
      <c r="W359" s="107"/>
      <c r="X359" s="50"/>
      <c r="Y359" s="50"/>
      <c r="Z359" s="49">
        <v>0</v>
      </c>
      <c r="AA359" s="71">
        <v>359</v>
      </c>
      <c r="AB359" s="71"/>
      <c r="AC359" s="72"/>
      <c r="AD359" s="79" t="s">
        <v>2775</v>
      </c>
      <c r="AE359" s="79"/>
      <c r="AF359" s="79"/>
      <c r="AG359" s="79" t="s">
        <v>3794</v>
      </c>
      <c r="AH359" s="79" t="s">
        <v>4141</v>
      </c>
      <c r="AI359" s="79">
        <v>40</v>
      </c>
      <c r="AJ359" s="79">
        <v>0</v>
      </c>
      <c r="AK359" s="79">
        <v>0</v>
      </c>
      <c r="AL359" s="79">
        <v>0</v>
      </c>
      <c r="AM359" s="79" t="s">
        <v>2092</v>
      </c>
      <c r="AN359" s="114" t="str">
        <f>HYPERLINK("https://www.youtube.com/watch?v=wQvLCgTiEB0")</f>
        <v>https://www.youtube.com/watch?v=wQvLCgTiEB0</v>
      </c>
      <c r="AO359" s="78" t="str">
        <f>REPLACE(INDEX(GroupVertices[Group],MATCH(Vertices[[#This Row],[Vertex]],GroupVertices[Vertex],0)),1,1,"")</f>
        <v>mart _xD83E__xDD13_ Study</v>
      </c>
      <c r="AP359" s="2"/>
      <c r="AQ359" s="3"/>
      <c r="AR359" s="3"/>
      <c r="AS359" s="3"/>
      <c r="AT359" s="3"/>
    </row>
    <row r="360" spans="1:46" ht="15">
      <c r="A360" s="64" t="s">
        <v>2299</v>
      </c>
      <c r="B360" s="65"/>
      <c r="C360" s="65"/>
      <c r="D360" s="66">
        <v>150</v>
      </c>
      <c r="E360" s="102">
        <v>97.85714285714286</v>
      </c>
      <c r="F360" s="98" t="str">
        <f>HYPERLINK("https://i.ytimg.com/vi/tQr_s23FFH0/default.jpg")</f>
        <v>https://i.ytimg.com/vi/tQr_s23FFH0/default.jpg</v>
      </c>
      <c r="G360" s="100"/>
      <c r="H360" s="69" t="s">
        <v>2776</v>
      </c>
      <c r="I360" s="70"/>
      <c r="J360" s="104" t="s">
        <v>159</v>
      </c>
      <c r="K360" s="69" t="s">
        <v>2776</v>
      </c>
      <c r="L360" s="105">
        <v>1</v>
      </c>
      <c r="M360" s="74">
        <v>3494.204833984375</v>
      </c>
      <c r="N360" s="74">
        <v>1509.644775390625</v>
      </c>
      <c r="O360" s="75"/>
      <c r="P360" s="76"/>
      <c r="Q360" s="76"/>
      <c r="R360" s="106"/>
      <c r="S360" s="48">
        <v>1</v>
      </c>
      <c r="T360" s="48">
        <v>0</v>
      </c>
      <c r="U360" s="49">
        <v>0</v>
      </c>
      <c r="V360" s="49">
        <v>0.107374</v>
      </c>
      <c r="W360" s="107"/>
      <c r="X360" s="50"/>
      <c r="Y360" s="50"/>
      <c r="Z360" s="49">
        <v>0</v>
      </c>
      <c r="AA360" s="71">
        <v>360</v>
      </c>
      <c r="AB360" s="71"/>
      <c r="AC360" s="72"/>
      <c r="AD360" s="79" t="s">
        <v>2776</v>
      </c>
      <c r="AE360" s="79" t="s">
        <v>3217</v>
      </c>
      <c r="AF360" s="79" t="s">
        <v>3562</v>
      </c>
      <c r="AG360" s="79" t="s">
        <v>3797</v>
      </c>
      <c r="AH360" s="79" t="s">
        <v>4142</v>
      </c>
      <c r="AI360" s="79">
        <v>4</v>
      </c>
      <c r="AJ360" s="79">
        <v>0</v>
      </c>
      <c r="AK360" s="79">
        <v>0</v>
      </c>
      <c r="AL360" s="79">
        <v>0</v>
      </c>
      <c r="AM360" s="79" t="s">
        <v>2092</v>
      </c>
      <c r="AN360" s="114" t="str">
        <f>HYPERLINK("https://www.youtube.com/watch?v=tQr_s23FFH0")</f>
        <v>https://www.youtube.com/watch?v=tQr_s23FFH0</v>
      </c>
      <c r="AO360" s="78" t="str">
        <f>REPLACE(INDEX(GroupVertices[Group],MATCH(Vertices[[#This Row],[Vertex]],GroupVertices[Vertex],0)),1,1,"")</f>
        <v>verest Coaching Institute</v>
      </c>
      <c r="AP360" s="2"/>
      <c r="AQ360" s="3"/>
      <c r="AR360" s="3"/>
      <c r="AS360" s="3"/>
      <c r="AT360" s="3"/>
    </row>
    <row r="361" spans="1:46" ht="15">
      <c r="A361" s="64" t="s">
        <v>2300</v>
      </c>
      <c r="B361" s="65"/>
      <c r="C361" s="65"/>
      <c r="D361" s="66">
        <v>150</v>
      </c>
      <c r="E361" s="102">
        <v>97.85714285714286</v>
      </c>
      <c r="F361" s="98" t="str">
        <f>HYPERLINK("https://i.ytimg.com/vi/taW285HpARg/default.jpg")</f>
        <v>https://i.ytimg.com/vi/taW285HpARg/default.jpg</v>
      </c>
      <c r="G361" s="100"/>
      <c r="H361" s="69" t="s">
        <v>2777</v>
      </c>
      <c r="I361" s="70"/>
      <c r="J361" s="104" t="s">
        <v>159</v>
      </c>
      <c r="K361" s="69" t="s">
        <v>2777</v>
      </c>
      <c r="L361" s="105">
        <v>1</v>
      </c>
      <c r="M361" s="74">
        <v>3643.894775390625</v>
      </c>
      <c r="N361" s="74">
        <v>2140.590576171875</v>
      </c>
      <c r="O361" s="75"/>
      <c r="P361" s="76"/>
      <c r="Q361" s="76"/>
      <c r="R361" s="106"/>
      <c r="S361" s="48">
        <v>1</v>
      </c>
      <c r="T361" s="48">
        <v>0</v>
      </c>
      <c r="U361" s="49">
        <v>0</v>
      </c>
      <c r="V361" s="49">
        <v>0.107374</v>
      </c>
      <c r="W361" s="107"/>
      <c r="X361" s="50"/>
      <c r="Y361" s="50"/>
      <c r="Z361" s="49">
        <v>0</v>
      </c>
      <c r="AA361" s="71">
        <v>361</v>
      </c>
      <c r="AB361" s="71"/>
      <c r="AC361" s="72"/>
      <c r="AD361" s="79" t="s">
        <v>2777</v>
      </c>
      <c r="AE361" s="79" t="s">
        <v>3218</v>
      </c>
      <c r="AF361" s="79" t="s">
        <v>3563</v>
      </c>
      <c r="AG361" s="79" t="s">
        <v>3798</v>
      </c>
      <c r="AH361" s="79" t="s">
        <v>4143</v>
      </c>
      <c r="AI361" s="79">
        <v>3244</v>
      </c>
      <c r="AJ361" s="79">
        <v>8</v>
      </c>
      <c r="AK361" s="79">
        <v>91</v>
      </c>
      <c r="AL361" s="79">
        <v>0</v>
      </c>
      <c r="AM361" s="79" t="s">
        <v>2092</v>
      </c>
      <c r="AN361" s="114" t="str">
        <f>HYPERLINK("https://www.youtube.com/watch?v=taW285HpARg")</f>
        <v>https://www.youtube.com/watch?v=taW285HpARg</v>
      </c>
      <c r="AO361" s="78" t="str">
        <f>REPLACE(INDEX(GroupVertices[Group],MATCH(Vertices[[#This Row],[Vertex]],GroupVertices[Vertex],0)),1,1,"")</f>
        <v>dushine IAS</v>
      </c>
      <c r="AP361" s="2"/>
      <c r="AQ361" s="3"/>
      <c r="AR361" s="3"/>
      <c r="AS361" s="3"/>
      <c r="AT361" s="3"/>
    </row>
    <row r="362" spans="1:46" ht="15">
      <c r="A362" s="64" t="s">
        <v>2301</v>
      </c>
      <c r="B362" s="65"/>
      <c r="C362" s="65"/>
      <c r="D362" s="66">
        <v>150</v>
      </c>
      <c r="E362" s="102">
        <v>97.85714285714286</v>
      </c>
      <c r="F362" s="98" t="str">
        <f>HYPERLINK("https://i.ytimg.com/vi/5yyyVN7hlaE/default.jpg")</f>
        <v>https://i.ytimg.com/vi/5yyyVN7hlaE/default.jpg</v>
      </c>
      <c r="G362" s="100"/>
      <c r="H362" s="69" t="s">
        <v>2778</v>
      </c>
      <c r="I362" s="70"/>
      <c r="J362" s="104" t="s">
        <v>159</v>
      </c>
      <c r="K362" s="69" t="s">
        <v>2778</v>
      </c>
      <c r="L362" s="105">
        <v>1</v>
      </c>
      <c r="M362" s="74">
        <v>3162.611083984375</v>
      </c>
      <c r="N362" s="74">
        <v>211.7138214111328</v>
      </c>
      <c r="O362" s="75"/>
      <c r="P362" s="76"/>
      <c r="Q362" s="76"/>
      <c r="R362" s="106"/>
      <c r="S362" s="48">
        <v>1</v>
      </c>
      <c r="T362" s="48">
        <v>0</v>
      </c>
      <c r="U362" s="49">
        <v>0</v>
      </c>
      <c r="V362" s="49">
        <v>0.107374</v>
      </c>
      <c r="W362" s="107"/>
      <c r="X362" s="50"/>
      <c r="Y362" s="50"/>
      <c r="Z362" s="49">
        <v>0</v>
      </c>
      <c r="AA362" s="71">
        <v>362</v>
      </c>
      <c r="AB362" s="71"/>
      <c r="AC362" s="72"/>
      <c r="AD362" s="79" t="s">
        <v>2778</v>
      </c>
      <c r="AE362" s="79"/>
      <c r="AF362" s="79"/>
      <c r="AG362" s="79" t="s">
        <v>3799</v>
      </c>
      <c r="AH362" s="79" t="s">
        <v>4144</v>
      </c>
      <c r="AI362" s="79">
        <v>5</v>
      </c>
      <c r="AJ362" s="79">
        <v>0</v>
      </c>
      <c r="AK362" s="79">
        <v>0</v>
      </c>
      <c r="AL362" s="79">
        <v>0</v>
      </c>
      <c r="AM362" s="79" t="s">
        <v>2092</v>
      </c>
      <c r="AN362" s="114" t="str">
        <f>HYPERLINK("https://www.youtube.com/watch?v=5yyyVN7hlaE")</f>
        <v>https://www.youtube.com/watch?v=5yyyVN7hlaE</v>
      </c>
      <c r="AO362" s="78" t="str">
        <f>REPLACE(INDEX(GroupVertices[Group],MATCH(Vertices[[#This Row],[Vertex]],GroupVertices[Vertex],0)),1,1,"")</f>
        <v>bse Hindi with MathuraDas</v>
      </c>
      <c r="AP362" s="2"/>
      <c r="AQ362" s="3"/>
      <c r="AR362" s="3"/>
      <c r="AS362" s="3"/>
      <c r="AT362" s="3"/>
    </row>
    <row r="363" spans="1:46" ht="15">
      <c r="A363" s="64" t="s">
        <v>2302</v>
      </c>
      <c r="B363" s="65"/>
      <c r="C363" s="65"/>
      <c r="D363" s="66">
        <v>150</v>
      </c>
      <c r="E363" s="102">
        <v>97.85714285714286</v>
      </c>
      <c r="F363" s="98" t="str">
        <f>HYPERLINK("https://i.ytimg.com/vi/DO6ecfvOdDw/default.jpg")</f>
        <v>https://i.ytimg.com/vi/DO6ecfvOdDw/default.jpg</v>
      </c>
      <c r="G363" s="100"/>
      <c r="H363" s="69" t="s">
        <v>2779</v>
      </c>
      <c r="I363" s="70"/>
      <c r="J363" s="104" t="s">
        <v>159</v>
      </c>
      <c r="K363" s="69" t="s">
        <v>2779</v>
      </c>
      <c r="L363" s="105">
        <v>1</v>
      </c>
      <c r="M363" s="74">
        <v>3405.851806640625</v>
      </c>
      <c r="N363" s="74">
        <v>143.66378784179688</v>
      </c>
      <c r="O363" s="75"/>
      <c r="P363" s="76"/>
      <c r="Q363" s="76"/>
      <c r="R363" s="106"/>
      <c r="S363" s="48">
        <v>1</v>
      </c>
      <c r="T363" s="48">
        <v>0</v>
      </c>
      <c r="U363" s="49">
        <v>0</v>
      </c>
      <c r="V363" s="49">
        <v>0.107374</v>
      </c>
      <c r="W363" s="107"/>
      <c r="X363" s="50"/>
      <c r="Y363" s="50"/>
      <c r="Z363" s="49">
        <v>0</v>
      </c>
      <c r="AA363" s="71">
        <v>363</v>
      </c>
      <c r="AB363" s="71"/>
      <c r="AC363" s="72"/>
      <c r="AD363" s="79" t="s">
        <v>2779</v>
      </c>
      <c r="AE363" s="79" t="s">
        <v>3219</v>
      </c>
      <c r="AF363" s="79"/>
      <c r="AG363" s="79" t="s">
        <v>3800</v>
      </c>
      <c r="AH363" s="79" t="s">
        <v>4145</v>
      </c>
      <c r="AI363" s="79">
        <v>4296</v>
      </c>
      <c r="AJ363" s="79">
        <v>2</v>
      </c>
      <c r="AK363" s="79">
        <v>69</v>
      </c>
      <c r="AL363" s="79">
        <v>0</v>
      </c>
      <c r="AM363" s="79" t="s">
        <v>2092</v>
      </c>
      <c r="AN363" s="114" t="str">
        <f>HYPERLINK("https://www.youtube.com/watch?v=DO6ecfvOdDw")</f>
        <v>https://www.youtube.com/watch?v=DO6ecfvOdDw</v>
      </c>
      <c r="AO363" s="78" t="str">
        <f>REPLACE(INDEX(GroupVertices[Group],MATCH(Vertices[[#This Row],[Vertex]],GroupVertices[Vertex],0)),1,1,"")</f>
        <v>iological World</v>
      </c>
      <c r="AP363" s="2"/>
      <c r="AQ363" s="3"/>
      <c r="AR363" s="3"/>
      <c r="AS363" s="3"/>
      <c r="AT363" s="3"/>
    </row>
    <row r="364" spans="1:46" ht="15">
      <c r="A364" s="64" t="s">
        <v>2303</v>
      </c>
      <c r="B364" s="65"/>
      <c r="C364" s="65"/>
      <c r="D364" s="66">
        <v>150</v>
      </c>
      <c r="E364" s="102">
        <v>97.85714285714286</v>
      </c>
      <c r="F364" s="98" t="str">
        <f>HYPERLINK("https://i.ytimg.com/vi/PsYje3kI4mA/default.jpg")</f>
        <v>https://i.ytimg.com/vi/PsYje3kI4mA/default.jpg</v>
      </c>
      <c r="G364" s="100"/>
      <c r="H364" s="69" t="s">
        <v>2780</v>
      </c>
      <c r="I364" s="70"/>
      <c r="J364" s="104" t="s">
        <v>159</v>
      </c>
      <c r="K364" s="69" t="s">
        <v>2780</v>
      </c>
      <c r="L364" s="105">
        <v>1</v>
      </c>
      <c r="M364" s="74">
        <v>4202.7724609375</v>
      </c>
      <c r="N364" s="74">
        <v>1292.212158203125</v>
      </c>
      <c r="O364" s="75"/>
      <c r="P364" s="76"/>
      <c r="Q364" s="76"/>
      <c r="R364" s="106"/>
      <c r="S364" s="48">
        <v>1</v>
      </c>
      <c r="T364" s="48">
        <v>0</v>
      </c>
      <c r="U364" s="49">
        <v>0</v>
      </c>
      <c r="V364" s="49">
        <v>0.107374</v>
      </c>
      <c r="W364" s="107"/>
      <c r="X364" s="50"/>
      <c r="Y364" s="50"/>
      <c r="Z364" s="49">
        <v>0</v>
      </c>
      <c r="AA364" s="71">
        <v>364</v>
      </c>
      <c r="AB364" s="71"/>
      <c r="AC364" s="72"/>
      <c r="AD364" s="79" t="s">
        <v>2780</v>
      </c>
      <c r="AE364" s="79" t="s">
        <v>3220</v>
      </c>
      <c r="AF364" s="79" t="s">
        <v>3502</v>
      </c>
      <c r="AG364" s="79" t="s">
        <v>3710</v>
      </c>
      <c r="AH364" s="79" t="s">
        <v>4146</v>
      </c>
      <c r="AI364" s="79">
        <v>10</v>
      </c>
      <c r="AJ364" s="79">
        <v>0</v>
      </c>
      <c r="AK364" s="79">
        <v>0</v>
      </c>
      <c r="AL364" s="79">
        <v>0</v>
      </c>
      <c r="AM364" s="79" t="s">
        <v>2092</v>
      </c>
      <c r="AN364" s="114" t="str">
        <f>HYPERLINK("https://www.youtube.com/watch?v=PsYje3kI4mA")</f>
        <v>https://www.youtube.com/watch?v=PsYje3kI4mA</v>
      </c>
      <c r="AO364" s="78" t="str">
        <f>REPLACE(INDEX(GroupVertices[Group],MATCH(Vertices[[#This Row],[Vertex]],GroupVertices[Vertex],0)),1,1,"")</f>
        <v>TUDY.PSYCHOLOGY</v>
      </c>
      <c r="AP364" s="2"/>
      <c r="AQ364" s="3"/>
      <c r="AR364" s="3"/>
      <c r="AS364" s="3"/>
      <c r="AT364" s="3"/>
    </row>
    <row r="365" spans="1:46" ht="15">
      <c r="A365" s="64" t="s">
        <v>2304</v>
      </c>
      <c r="B365" s="65"/>
      <c r="C365" s="65"/>
      <c r="D365" s="66">
        <v>150</v>
      </c>
      <c r="E365" s="102">
        <v>97.85714285714286</v>
      </c>
      <c r="F365" s="98" t="str">
        <f>HYPERLINK("https://i.ytimg.com/vi/CkP2t6c_TaI/default.jpg")</f>
        <v>https://i.ytimg.com/vi/CkP2t6c_TaI/default.jpg</v>
      </c>
      <c r="G365" s="100"/>
      <c r="H365" s="69" t="s">
        <v>2781</v>
      </c>
      <c r="I365" s="70"/>
      <c r="J365" s="104" t="s">
        <v>159</v>
      </c>
      <c r="K365" s="69" t="s">
        <v>2781</v>
      </c>
      <c r="L365" s="105">
        <v>1</v>
      </c>
      <c r="M365" s="74">
        <v>3652.55029296875</v>
      </c>
      <c r="N365" s="74">
        <v>1823.755859375</v>
      </c>
      <c r="O365" s="75"/>
      <c r="P365" s="76"/>
      <c r="Q365" s="76"/>
      <c r="R365" s="106"/>
      <c r="S365" s="48">
        <v>1</v>
      </c>
      <c r="T365" s="48">
        <v>0</v>
      </c>
      <c r="U365" s="49">
        <v>0</v>
      </c>
      <c r="V365" s="49">
        <v>0.107374</v>
      </c>
      <c r="W365" s="107"/>
      <c r="X365" s="50"/>
      <c r="Y365" s="50"/>
      <c r="Z365" s="49">
        <v>0</v>
      </c>
      <c r="AA365" s="71">
        <v>365</v>
      </c>
      <c r="AB365" s="71"/>
      <c r="AC365" s="72"/>
      <c r="AD365" s="79" t="s">
        <v>2781</v>
      </c>
      <c r="AE365" s="79" t="s">
        <v>3221</v>
      </c>
      <c r="AF365" s="79" t="s">
        <v>3564</v>
      </c>
      <c r="AG365" s="79" t="s">
        <v>3801</v>
      </c>
      <c r="AH365" s="79" t="s">
        <v>4147</v>
      </c>
      <c r="AI365" s="79">
        <v>764</v>
      </c>
      <c r="AJ365" s="79">
        <v>0</v>
      </c>
      <c r="AK365" s="79">
        <v>22</v>
      </c>
      <c r="AL365" s="79">
        <v>0</v>
      </c>
      <c r="AM365" s="79" t="s">
        <v>2092</v>
      </c>
      <c r="AN365" s="114" t="str">
        <f>HYPERLINK("https://www.youtube.com/watch?v=CkP2t6c_TaI")</f>
        <v>https://www.youtube.com/watch?v=CkP2t6c_TaI</v>
      </c>
      <c r="AO365" s="78" t="str">
        <f>REPLACE(INDEX(GroupVertices[Group],MATCH(Vertices[[#This Row],[Vertex]],GroupVertices[Vertex],0)),1,1,"")</f>
        <v>han Saddam</v>
      </c>
      <c r="AP365" s="2"/>
      <c r="AQ365" s="3"/>
      <c r="AR365" s="3"/>
      <c r="AS365" s="3"/>
      <c r="AT365" s="3"/>
    </row>
    <row r="366" spans="1:46" ht="15">
      <c r="A366" s="64" t="s">
        <v>2305</v>
      </c>
      <c r="B366" s="65"/>
      <c r="C366" s="65"/>
      <c r="D366" s="66">
        <v>150</v>
      </c>
      <c r="E366" s="102">
        <v>97.85714285714286</v>
      </c>
      <c r="F366" s="98" t="str">
        <f>HYPERLINK("https://i.ytimg.com/vi/DpIsNQovEcI/default.jpg")</f>
        <v>https://i.ytimg.com/vi/DpIsNQovEcI/default.jpg</v>
      </c>
      <c r="G366" s="100"/>
      <c r="H366" s="69" t="s">
        <v>2782</v>
      </c>
      <c r="I366" s="70"/>
      <c r="J366" s="104" t="s">
        <v>159</v>
      </c>
      <c r="K366" s="69" t="s">
        <v>2782</v>
      </c>
      <c r="L366" s="105">
        <v>1</v>
      </c>
      <c r="M366" s="74">
        <v>3274.086669921875</v>
      </c>
      <c r="N366" s="74">
        <v>485.7237548828125</v>
      </c>
      <c r="O366" s="75"/>
      <c r="P366" s="76"/>
      <c r="Q366" s="76"/>
      <c r="R366" s="106"/>
      <c r="S366" s="48">
        <v>1</v>
      </c>
      <c r="T366" s="48">
        <v>0</v>
      </c>
      <c r="U366" s="49">
        <v>0</v>
      </c>
      <c r="V366" s="49">
        <v>0.107374</v>
      </c>
      <c r="W366" s="107"/>
      <c r="X366" s="50"/>
      <c r="Y366" s="50"/>
      <c r="Z366" s="49">
        <v>0</v>
      </c>
      <c r="AA366" s="71">
        <v>366</v>
      </c>
      <c r="AB366" s="71"/>
      <c r="AC366" s="72"/>
      <c r="AD366" s="79" t="s">
        <v>2782</v>
      </c>
      <c r="AE366" s="79" t="s">
        <v>3222</v>
      </c>
      <c r="AF366" s="79" t="s">
        <v>3565</v>
      </c>
      <c r="AG366" s="79" t="s">
        <v>3802</v>
      </c>
      <c r="AH366" s="79" t="s">
        <v>4148</v>
      </c>
      <c r="AI366" s="79">
        <v>1170</v>
      </c>
      <c r="AJ366" s="79">
        <v>10</v>
      </c>
      <c r="AK366" s="79">
        <v>20</v>
      </c>
      <c r="AL366" s="79">
        <v>0</v>
      </c>
      <c r="AM366" s="79" t="s">
        <v>2092</v>
      </c>
      <c r="AN366" s="114" t="str">
        <f>HYPERLINK("https://www.youtube.com/watch?v=DpIsNQovEcI")</f>
        <v>https://www.youtube.com/watch?v=DpIsNQovEcI</v>
      </c>
      <c r="AO366" s="78" t="str">
        <f>REPLACE(INDEX(GroupVertices[Group],MATCH(Vertices[[#This Row],[Vertex]],GroupVertices[Vertex],0)),1,1,"")</f>
        <v>eremy Bassetti</v>
      </c>
      <c r="AP366" s="2"/>
      <c r="AQ366" s="3"/>
      <c r="AR366" s="3"/>
      <c r="AS366" s="3"/>
      <c r="AT366" s="3"/>
    </row>
    <row r="367" spans="1:46" ht="15">
      <c r="A367" s="64" t="s">
        <v>2306</v>
      </c>
      <c r="B367" s="65"/>
      <c r="C367" s="65"/>
      <c r="D367" s="66">
        <v>150</v>
      </c>
      <c r="E367" s="102">
        <v>97.85714285714286</v>
      </c>
      <c r="F367" s="98" t="str">
        <f>HYPERLINK("https://i.ytimg.com/vi/WvOsyEfMPlo/default_live.jpg")</f>
        <v>https://i.ytimg.com/vi/WvOsyEfMPlo/default_live.jpg</v>
      </c>
      <c r="G367" s="100"/>
      <c r="H367" s="69" t="s">
        <v>2783</v>
      </c>
      <c r="I367" s="70"/>
      <c r="J367" s="104" t="s">
        <v>159</v>
      </c>
      <c r="K367" s="69" t="s">
        <v>2783</v>
      </c>
      <c r="L367" s="105">
        <v>1</v>
      </c>
      <c r="M367" s="74">
        <v>3186.7333984375</v>
      </c>
      <c r="N367" s="74">
        <v>2039.65234375</v>
      </c>
      <c r="O367" s="75"/>
      <c r="P367" s="76"/>
      <c r="Q367" s="76"/>
      <c r="R367" s="106"/>
      <c r="S367" s="48">
        <v>1</v>
      </c>
      <c r="T367" s="48">
        <v>0</v>
      </c>
      <c r="U367" s="49">
        <v>0</v>
      </c>
      <c r="V367" s="49">
        <v>0.107374</v>
      </c>
      <c r="W367" s="107"/>
      <c r="X367" s="50"/>
      <c r="Y367" s="50"/>
      <c r="Z367" s="49">
        <v>0</v>
      </c>
      <c r="AA367" s="71">
        <v>367</v>
      </c>
      <c r="AB367" s="71"/>
      <c r="AC367" s="72"/>
      <c r="AD367" s="79" t="s">
        <v>2783</v>
      </c>
      <c r="AE367" s="79" t="s">
        <v>3223</v>
      </c>
      <c r="AF367" s="79" t="s">
        <v>3566</v>
      </c>
      <c r="AG367" s="79" t="s">
        <v>3803</v>
      </c>
      <c r="AH367" s="79" t="s">
        <v>4149</v>
      </c>
      <c r="AI367" s="79">
        <v>830</v>
      </c>
      <c r="AJ367" s="79">
        <v>0</v>
      </c>
      <c r="AK367" s="79">
        <v>142</v>
      </c>
      <c r="AL367" s="79">
        <v>0</v>
      </c>
      <c r="AM367" s="79" t="s">
        <v>2092</v>
      </c>
      <c r="AN367" s="114" t="str">
        <f>HYPERLINK("https://www.youtube.com/watch?v=WvOsyEfMPlo")</f>
        <v>https://www.youtube.com/watch?v=WvOsyEfMPlo</v>
      </c>
      <c r="AO367" s="78" t="str">
        <f>REPLACE(INDEX(GroupVertices[Group],MATCH(Vertices[[#This Row],[Vertex]],GroupVertices[Vertex],0)),1,1,"")</f>
        <v>nacademy Class 11 &amp; 12</v>
      </c>
      <c r="AP367" s="2"/>
      <c r="AQ367" s="3"/>
      <c r="AR367" s="3"/>
      <c r="AS367" s="3"/>
      <c r="AT367" s="3"/>
    </row>
    <row r="368" spans="1:46" ht="15">
      <c r="A368" s="64" t="s">
        <v>2307</v>
      </c>
      <c r="B368" s="65"/>
      <c r="C368" s="65"/>
      <c r="D368" s="66">
        <v>150</v>
      </c>
      <c r="E368" s="102">
        <v>97.85714285714286</v>
      </c>
      <c r="F368" s="98" t="str">
        <f>HYPERLINK("https://i.ytimg.com/vi/K7crM3EHP1I/default.jpg")</f>
        <v>https://i.ytimg.com/vi/K7crM3EHP1I/default.jpg</v>
      </c>
      <c r="G368" s="100"/>
      <c r="H368" s="69" t="s">
        <v>2784</v>
      </c>
      <c r="I368" s="70"/>
      <c r="J368" s="104" t="s">
        <v>159</v>
      </c>
      <c r="K368" s="69" t="s">
        <v>2784</v>
      </c>
      <c r="L368" s="105">
        <v>1</v>
      </c>
      <c r="M368" s="74">
        <v>2824.707763671875</v>
      </c>
      <c r="N368" s="74">
        <v>1681.3328857421875</v>
      </c>
      <c r="O368" s="75"/>
      <c r="P368" s="76"/>
      <c r="Q368" s="76"/>
      <c r="R368" s="106"/>
      <c r="S368" s="48">
        <v>1</v>
      </c>
      <c r="T368" s="48">
        <v>0</v>
      </c>
      <c r="U368" s="49">
        <v>0</v>
      </c>
      <c r="V368" s="49">
        <v>0.107374</v>
      </c>
      <c r="W368" s="107"/>
      <c r="X368" s="50"/>
      <c r="Y368" s="50"/>
      <c r="Z368" s="49">
        <v>0</v>
      </c>
      <c r="AA368" s="71">
        <v>368</v>
      </c>
      <c r="AB368" s="71"/>
      <c r="AC368" s="72"/>
      <c r="AD368" s="79" t="s">
        <v>2784</v>
      </c>
      <c r="AE368" s="79" t="s">
        <v>3224</v>
      </c>
      <c r="AF368" s="79" t="s">
        <v>3567</v>
      </c>
      <c r="AG368" s="79" t="s">
        <v>1535</v>
      </c>
      <c r="AH368" s="79" t="s">
        <v>4150</v>
      </c>
      <c r="AI368" s="79">
        <v>633</v>
      </c>
      <c r="AJ368" s="79">
        <v>0</v>
      </c>
      <c r="AK368" s="79">
        <v>8</v>
      </c>
      <c r="AL368" s="79">
        <v>0</v>
      </c>
      <c r="AM368" s="79" t="s">
        <v>2092</v>
      </c>
      <c r="AN368" s="114" t="str">
        <f>HYPERLINK("https://www.youtube.com/watch?v=K7crM3EHP1I")</f>
        <v>https://www.youtube.com/watch?v=K7crM3EHP1I</v>
      </c>
      <c r="AO368" s="78" t="str">
        <f>REPLACE(INDEX(GroupVertices[Group],MATCH(Vertices[[#This Row],[Vertex]],GroupVertices[Vertex],0)),1,1,"")</f>
        <v>agnet Brains</v>
      </c>
      <c r="AP368" s="2"/>
      <c r="AQ368" s="3"/>
      <c r="AR368" s="3"/>
      <c r="AS368" s="3"/>
      <c r="AT368" s="3"/>
    </row>
    <row r="369" spans="1:46" ht="15">
      <c r="A369" s="64" t="s">
        <v>2308</v>
      </c>
      <c r="B369" s="65"/>
      <c r="C369" s="65"/>
      <c r="D369" s="66">
        <v>150</v>
      </c>
      <c r="E369" s="102">
        <v>97.85714285714286</v>
      </c>
      <c r="F369" s="98" t="str">
        <f>HYPERLINK("https://i.ytimg.com/vi/8bNSnvKunXk/default.jpg")</f>
        <v>https://i.ytimg.com/vi/8bNSnvKunXk/default.jpg</v>
      </c>
      <c r="G369" s="100"/>
      <c r="H369" s="69" t="s">
        <v>2785</v>
      </c>
      <c r="I369" s="70"/>
      <c r="J369" s="104" t="s">
        <v>159</v>
      </c>
      <c r="K369" s="69" t="s">
        <v>2785</v>
      </c>
      <c r="L369" s="105">
        <v>1</v>
      </c>
      <c r="M369" s="74">
        <v>4067.26611328125</v>
      </c>
      <c r="N369" s="74">
        <v>1944.5662841796875</v>
      </c>
      <c r="O369" s="75"/>
      <c r="P369" s="76"/>
      <c r="Q369" s="76"/>
      <c r="R369" s="106"/>
      <c r="S369" s="48">
        <v>1</v>
      </c>
      <c r="T369" s="48">
        <v>0</v>
      </c>
      <c r="U369" s="49">
        <v>0</v>
      </c>
      <c r="V369" s="49">
        <v>0.107374</v>
      </c>
      <c r="W369" s="107"/>
      <c r="X369" s="50"/>
      <c r="Y369" s="50"/>
      <c r="Z369" s="49">
        <v>0</v>
      </c>
      <c r="AA369" s="71">
        <v>369</v>
      </c>
      <c r="AB369" s="71"/>
      <c r="AC369" s="72"/>
      <c r="AD369" s="79" t="s">
        <v>2785</v>
      </c>
      <c r="AE369" s="79" t="s">
        <v>3225</v>
      </c>
      <c r="AF369" s="79" t="s">
        <v>3568</v>
      </c>
      <c r="AG369" s="79" t="s">
        <v>1535</v>
      </c>
      <c r="AH369" s="79" t="s">
        <v>4151</v>
      </c>
      <c r="AI369" s="79">
        <v>728</v>
      </c>
      <c r="AJ369" s="79">
        <v>0</v>
      </c>
      <c r="AK369" s="79">
        <v>18</v>
      </c>
      <c r="AL369" s="79">
        <v>0</v>
      </c>
      <c r="AM369" s="79" t="s">
        <v>2092</v>
      </c>
      <c r="AN369" s="114" t="str">
        <f>HYPERLINK("https://www.youtube.com/watch?v=8bNSnvKunXk")</f>
        <v>https://www.youtube.com/watch?v=8bNSnvKunXk</v>
      </c>
      <c r="AO369" s="78" t="str">
        <f>REPLACE(INDEX(GroupVertices[Group],MATCH(Vertices[[#This Row],[Vertex]],GroupVertices[Vertex],0)),1,1,"")</f>
        <v>agnet Brains</v>
      </c>
      <c r="AP369" s="2"/>
      <c r="AQ369" s="3"/>
      <c r="AR369" s="3"/>
      <c r="AS369" s="3"/>
      <c r="AT369" s="3"/>
    </row>
    <row r="370" spans="1:46" ht="15">
      <c r="A370" s="64" t="s">
        <v>2309</v>
      </c>
      <c r="B370" s="65"/>
      <c r="C370" s="65"/>
      <c r="D370" s="66">
        <v>150</v>
      </c>
      <c r="E370" s="102">
        <v>97.85714285714286</v>
      </c>
      <c r="F370" s="98" t="str">
        <f>HYPERLINK("https://i.ytimg.com/vi/uakPbAEJX5g/default_live.jpg")</f>
        <v>https://i.ytimg.com/vi/uakPbAEJX5g/default_live.jpg</v>
      </c>
      <c r="G370" s="100"/>
      <c r="H370" s="69" t="s">
        <v>2786</v>
      </c>
      <c r="I370" s="70"/>
      <c r="J370" s="104" t="s">
        <v>159</v>
      </c>
      <c r="K370" s="69" t="s">
        <v>2786</v>
      </c>
      <c r="L370" s="105">
        <v>1</v>
      </c>
      <c r="M370" s="74">
        <v>3937.445068359375</v>
      </c>
      <c r="N370" s="74">
        <v>1571.0762939453125</v>
      </c>
      <c r="O370" s="75"/>
      <c r="P370" s="76"/>
      <c r="Q370" s="76"/>
      <c r="R370" s="106"/>
      <c r="S370" s="48">
        <v>1</v>
      </c>
      <c r="T370" s="48">
        <v>0</v>
      </c>
      <c r="U370" s="49">
        <v>0</v>
      </c>
      <c r="V370" s="49">
        <v>0.107374</v>
      </c>
      <c r="W370" s="107"/>
      <c r="X370" s="50"/>
      <c r="Y370" s="50"/>
      <c r="Z370" s="49">
        <v>0</v>
      </c>
      <c r="AA370" s="71">
        <v>370</v>
      </c>
      <c r="AB370" s="71"/>
      <c r="AC370" s="72"/>
      <c r="AD370" s="79" t="s">
        <v>2786</v>
      </c>
      <c r="AE370" s="79" t="s">
        <v>3226</v>
      </c>
      <c r="AF370" s="79" t="s">
        <v>3569</v>
      </c>
      <c r="AG370" s="79" t="s">
        <v>1535</v>
      </c>
      <c r="AH370" s="79" t="s">
        <v>4152</v>
      </c>
      <c r="AI370" s="79">
        <v>0</v>
      </c>
      <c r="AJ370" s="79">
        <v>0</v>
      </c>
      <c r="AK370" s="79">
        <v>15</v>
      </c>
      <c r="AL370" s="79">
        <v>0</v>
      </c>
      <c r="AM370" s="79" t="s">
        <v>2092</v>
      </c>
      <c r="AN370" s="114" t="str">
        <f>HYPERLINK("https://www.youtube.com/watch?v=uakPbAEJX5g")</f>
        <v>https://www.youtube.com/watch?v=uakPbAEJX5g</v>
      </c>
      <c r="AO370" s="78" t="str">
        <f>REPLACE(INDEX(GroupVertices[Group],MATCH(Vertices[[#This Row],[Vertex]],GroupVertices[Vertex],0)),1,1,"")</f>
        <v>agnet Brains</v>
      </c>
      <c r="AP370" s="2"/>
      <c r="AQ370" s="3"/>
      <c r="AR370" s="3"/>
      <c r="AS370" s="3"/>
      <c r="AT370" s="3"/>
    </row>
    <row r="371" spans="1:46" ht="15">
      <c r="A371" s="64" t="s">
        <v>2310</v>
      </c>
      <c r="B371" s="65"/>
      <c r="C371" s="65"/>
      <c r="D371" s="66">
        <v>150</v>
      </c>
      <c r="E371" s="102">
        <v>97.85714285714286</v>
      </c>
      <c r="F371" s="98" t="str">
        <f>HYPERLINK("https://i.ytimg.com/vi/WMQGLGKBjQ0/default.jpg")</f>
        <v>https://i.ytimg.com/vi/WMQGLGKBjQ0/default.jpg</v>
      </c>
      <c r="G371" s="100"/>
      <c r="H371" s="69" t="s">
        <v>2787</v>
      </c>
      <c r="I371" s="70"/>
      <c r="J371" s="104" t="s">
        <v>159</v>
      </c>
      <c r="K371" s="69" t="s">
        <v>2787</v>
      </c>
      <c r="L371" s="105">
        <v>1</v>
      </c>
      <c r="M371" s="74">
        <v>2771.438232421875</v>
      </c>
      <c r="N371" s="74">
        <v>596.8273315429688</v>
      </c>
      <c r="O371" s="75"/>
      <c r="P371" s="76"/>
      <c r="Q371" s="76"/>
      <c r="R371" s="106"/>
      <c r="S371" s="48">
        <v>1</v>
      </c>
      <c r="T371" s="48">
        <v>0</v>
      </c>
      <c r="U371" s="49">
        <v>0</v>
      </c>
      <c r="V371" s="49">
        <v>0.107374</v>
      </c>
      <c r="W371" s="107"/>
      <c r="X371" s="50"/>
      <c r="Y371" s="50"/>
      <c r="Z371" s="49">
        <v>0</v>
      </c>
      <c r="AA371" s="71">
        <v>371</v>
      </c>
      <c r="AB371" s="71"/>
      <c r="AC371" s="72"/>
      <c r="AD371" s="79" t="s">
        <v>2787</v>
      </c>
      <c r="AE371" s="79" t="s">
        <v>3227</v>
      </c>
      <c r="AF371" s="79" t="s">
        <v>3570</v>
      </c>
      <c r="AG371" s="79" t="s">
        <v>1535</v>
      </c>
      <c r="AH371" s="79" t="s">
        <v>4151</v>
      </c>
      <c r="AI371" s="79">
        <v>375</v>
      </c>
      <c r="AJ371" s="79">
        <v>0</v>
      </c>
      <c r="AK371" s="79">
        <v>16</v>
      </c>
      <c r="AL371" s="79">
        <v>0</v>
      </c>
      <c r="AM371" s="79" t="s">
        <v>2092</v>
      </c>
      <c r="AN371" s="114" t="str">
        <f>HYPERLINK("https://www.youtube.com/watch?v=WMQGLGKBjQ0")</f>
        <v>https://www.youtube.com/watch?v=WMQGLGKBjQ0</v>
      </c>
      <c r="AO371" s="78" t="str">
        <f>REPLACE(INDEX(GroupVertices[Group],MATCH(Vertices[[#This Row],[Vertex]],GroupVertices[Vertex],0)),1,1,"")</f>
        <v>agnet Brains</v>
      </c>
      <c r="AP371" s="2"/>
      <c r="AQ371" s="3"/>
      <c r="AR371" s="3"/>
      <c r="AS371" s="3"/>
      <c r="AT371" s="3"/>
    </row>
    <row r="372" spans="1:46" ht="15">
      <c r="A372" s="64" t="s">
        <v>2311</v>
      </c>
      <c r="B372" s="65"/>
      <c r="C372" s="65"/>
      <c r="D372" s="66">
        <v>150</v>
      </c>
      <c r="E372" s="102">
        <v>97.85714285714286</v>
      </c>
      <c r="F372" s="98" t="str">
        <f>HYPERLINK("https://i.ytimg.com/vi/6LwkiXWYgdE/default.jpg")</f>
        <v>https://i.ytimg.com/vi/6LwkiXWYgdE/default.jpg</v>
      </c>
      <c r="G372" s="100"/>
      <c r="H372" s="69" t="s">
        <v>2788</v>
      </c>
      <c r="I372" s="70"/>
      <c r="J372" s="104" t="s">
        <v>159</v>
      </c>
      <c r="K372" s="69" t="s">
        <v>2788</v>
      </c>
      <c r="L372" s="105">
        <v>1</v>
      </c>
      <c r="M372" s="74">
        <v>2980.48291015625</v>
      </c>
      <c r="N372" s="74">
        <v>751.4903564453125</v>
      </c>
      <c r="O372" s="75"/>
      <c r="P372" s="76"/>
      <c r="Q372" s="76"/>
      <c r="R372" s="106"/>
      <c r="S372" s="48">
        <v>1</v>
      </c>
      <c r="T372" s="48">
        <v>0</v>
      </c>
      <c r="U372" s="49">
        <v>0</v>
      </c>
      <c r="V372" s="49">
        <v>0.107374</v>
      </c>
      <c r="W372" s="107"/>
      <c r="X372" s="50"/>
      <c r="Y372" s="50"/>
      <c r="Z372" s="49">
        <v>0</v>
      </c>
      <c r="AA372" s="71">
        <v>372</v>
      </c>
      <c r="AB372" s="71"/>
      <c r="AC372" s="72"/>
      <c r="AD372" s="79" t="s">
        <v>2788</v>
      </c>
      <c r="AE372" s="79" t="s">
        <v>3228</v>
      </c>
      <c r="AF372" s="79" t="s">
        <v>3571</v>
      </c>
      <c r="AG372" s="79" t="s">
        <v>1535</v>
      </c>
      <c r="AH372" s="79" t="s">
        <v>4153</v>
      </c>
      <c r="AI372" s="79">
        <v>1909</v>
      </c>
      <c r="AJ372" s="79">
        <v>0</v>
      </c>
      <c r="AK372" s="79">
        <v>98</v>
      </c>
      <c r="AL372" s="79">
        <v>0</v>
      </c>
      <c r="AM372" s="79" t="s">
        <v>2092</v>
      </c>
      <c r="AN372" s="114" t="str">
        <f>HYPERLINK("https://www.youtube.com/watch?v=6LwkiXWYgdE")</f>
        <v>https://www.youtube.com/watch?v=6LwkiXWYgdE</v>
      </c>
      <c r="AO372" s="78" t="str">
        <f>REPLACE(INDEX(GroupVertices[Group],MATCH(Vertices[[#This Row],[Vertex]],GroupVertices[Vertex],0)),1,1,"")</f>
        <v>agnet Brains</v>
      </c>
      <c r="AP372" s="2"/>
      <c r="AQ372" s="3"/>
      <c r="AR372" s="3"/>
      <c r="AS372" s="3"/>
      <c r="AT372" s="3"/>
    </row>
    <row r="373" spans="1:46" ht="15">
      <c r="A373" s="64" t="s">
        <v>309</v>
      </c>
      <c r="B373" s="65"/>
      <c r="C373" s="65"/>
      <c r="D373" s="66">
        <v>150</v>
      </c>
      <c r="E373" s="102">
        <v>97.85714285714286</v>
      </c>
      <c r="F373" s="98" t="str">
        <f>HYPERLINK("https://i.ytimg.com/vi/iNgrR6vl3Fw/default.jpg")</f>
        <v>https://i.ytimg.com/vi/iNgrR6vl3Fw/default.jpg</v>
      </c>
      <c r="G373" s="100"/>
      <c r="H373" s="69" t="s">
        <v>703</v>
      </c>
      <c r="I373" s="70"/>
      <c r="J373" s="104" t="s">
        <v>159</v>
      </c>
      <c r="K373" s="69" t="s">
        <v>703</v>
      </c>
      <c r="L373" s="105">
        <v>1</v>
      </c>
      <c r="M373" s="74">
        <v>2720.48486328125</v>
      </c>
      <c r="N373" s="74">
        <v>1468.3826904296875</v>
      </c>
      <c r="O373" s="75"/>
      <c r="P373" s="76"/>
      <c r="Q373" s="76"/>
      <c r="R373" s="106"/>
      <c r="S373" s="48">
        <v>1</v>
      </c>
      <c r="T373" s="48">
        <v>0</v>
      </c>
      <c r="U373" s="49">
        <v>0</v>
      </c>
      <c r="V373" s="49">
        <v>0.107374</v>
      </c>
      <c r="W373" s="107"/>
      <c r="X373" s="50"/>
      <c r="Y373" s="50"/>
      <c r="Z373" s="49">
        <v>0</v>
      </c>
      <c r="AA373" s="71">
        <v>373</v>
      </c>
      <c r="AB373" s="71"/>
      <c r="AC373" s="72"/>
      <c r="AD373" s="79" t="s">
        <v>703</v>
      </c>
      <c r="AE373" s="79" t="s">
        <v>3229</v>
      </c>
      <c r="AF373" s="79" t="s">
        <v>1341</v>
      </c>
      <c r="AG373" s="79" t="s">
        <v>1535</v>
      </c>
      <c r="AH373" s="79" t="s">
        <v>1758</v>
      </c>
      <c r="AI373" s="79">
        <v>1924</v>
      </c>
      <c r="AJ373" s="79">
        <v>4</v>
      </c>
      <c r="AK373" s="79">
        <v>54</v>
      </c>
      <c r="AL373" s="79">
        <v>0</v>
      </c>
      <c r="AM373" s="79" t="s">
        <v>2092</v>
      </c>
      <c r="AN373" s="114" t="str">
        <f>HYPERLINK("https://www.youtube.com/watch?v=iNgrR6vl3Fw")</f>
        <v>https://www.youtube.com/watch?v=iNgrR6vl3Fw</v>
      </c>
      <c r="AO373" s="78" t="str">
        <f>REPLACE(INDEX(GroupVertices[Group],MATCH(Vertices[[#This Row],[Vertex]],GroupVertices[Vertex],0)),1,1,"")</f>
        <v>agnet Brains</v>
      </c>
      <c r="AP373" s="2"/>
      <c r="AQ373" s="3"/>
      <c r="AR373" s="3"/>
      <c r="AS373" s="3"/>
      <c r="AT373" s="3"/>
    </row>
    <row r="374" spans="1:46" ht="15">
      <c r="A374" s="64" t="s">
        <v>2312</v>
      </c>
      <c r="B374" s="65"/>
      <c r="C374" s="65"/>
      <c r="D374" s="66">
        <v>150</v>
      </c>
      <c r="E374" s="102">
        <v>97.85714285714286</v>
      </c>
      <c r="F374" s="98" t="str">
        <f>HYPERLINK("https://i.ytimg.com/vi/kkdSrv511Vg/default.jpg")</f>
        <v>https://i.ytimg.com/vi/kkdSrv511Vg/default.jpg</v>
      </c>
      <c r="G374" s="100"/>
      <c r="H374" s="69" t="s">
        <v>2789</v>
      </c>
      <c r="I374" s="70"/>
      <c r="J374" s="104" t="s">
        <v>159</v>
      </c>
      <c r="K374" s="69" t="s">
        <v>2789</v>
      </c>
      <c r="L374" s="105">
        <v>1</v>
      </c>
      <c r="M374" s="74">
        <v>3620.803466796875</v>
      </c>
      <c r="N374" s="74">
        <v>149.95172119140625</v>
      </c>
      <c r="O374" s="75"/>
      <c r="P374" s="76"/>
      <c r="Q374" s="76"/>
      <c r="R374" s="106"/>
      <c r="S374" s="48">
        <v>1</v>
      </c>
      <c r="T374" s="48">
        <v>0</v>
      </c>
      <c r="U374" s="49">
        <v>0</v>
      </c>
      <c r="V374" s="49">
        <v>0.107374</v>
      </c>
      <c r="W374" s="107"/>
      <c r="X374" s="50"/>
      <c r="Y374" s="50"/>
      <c r="Z374" s="49">
        <v>0</v>
      </c>
      <c r="AA374" s="71">
        <v>374</v>
      </c>
      <c r="AB374" s="71"/>
      <c r="AC374" s="72"/>
      <c r="AD374" s="79" t="s">
        <v>2789</v>
      </c>
      <c r="AE374" s="79" t="s">
        <v>3230</v>
      </c>
      <c r="AF374" s="79" t="s">
        <v>3572</v>
      </c>
      <c r="AG374" s="79" t="s">
        <v>1535</v>
      </c>
      <c r="AH374" s="79" t="s">
        <v>4154</v>
      </c>
      <c r="AI374" s="79">
        <v>966</v>
      </c>
      <c r="AJ374" s="79">
        <v>9</v>
      </c>
      <c r="AK374" s="79">
        <v>43</v>
      </c>
      <c r="AL374" s="79">
        <v>0</v>
      </c>
      <c r="AM374" s="79" t="s">
        <v>2092</v>
      </c>
      <c r="AN374" s="114" t="str">
        <f>HYPERLINK("https://www.youtube.com/watch?v=kkdSrv511Vg")</f>
        <v>https://www.youtube.com/watch?v=kkdSrv511Vg</v>
      </c>
      <c r="AO374" s="78" t="str">
        <f>REPLACE(INDEX(GroupVertices[Group],MATCH(Vertices[[#This Row],[Vertex]],GroupVertices[Vertex],0)),1,1,"")</f>
        <v>agnet Brains</v>
      </c>
      <c r="AP374" s="2"/>
      <c r="AQ374" s="3"/>
      <c r="AR374" s="3"/>
      <c r="AS374" s="3"/>
      <c r="AT374" s="3"/>
    </row>
    <row r="375" spans="1:46" ht="15">
      <c r="A375" s="64" t="s">
        <v>2313</v>
      </c>
      <c r="B375" s="65"/>
      <c r="C375" s="65"/>
      <c r="D375" s="66">
        <v>150</v>
      </c>
      <c r="E375" s="102">
        <v>97.85714285714286</v>
      </c>
      <c r="F375" s="98" t="str">
        <f>HYPERLINK("https://i.ytimg.com/vi/hbFtOkoFH6A/default.jpg")</f>
        <v>https://i.ytimg.com/vi/hbFtOkoFH6A/default.jpg</v>
      </c>
      <c r="G375" s="100"/>
      <c r="H375" s="69" t="s">
        <v>2790</v>
      </c>
      <c r="I375" s="70"/>
      <c r="J375" s="104" t="s">
        <v>159</v>
      </c>
      <c r="K375" s="69" t="s">
        <v>2790</v>
      </c>
      <c r="L375" s="105">
        <v>1</v>
      </c>
      <c r="M375" s="74">
        <v>3408.343017578125</v>
      </c>
      <c r="N375" s="74">
        <v>2099.118896484375</v>
      </c>
      <c r="O375" s="75"/>
      <c r="P375" s="76"/>
      <c r="Q375" s="76"/>
      <c r="R375" s="106"/>
      <c r="S375" s="48">
        <v>1</v>
      </c>
      <c r="T375" s="48">
        <v>0</v>
      </c>
      <c r="U375" s="49">
        <v>0</v>
      </c>
      <c r="V375" s="49">
        <v>0.107374</v>
      </c>
      <c r="W375" s="107"/>
      <c r="X375" s="50"/>
      <c r="Y375" s="50"/>
      <c r="Z375" s="49">
        <v>0</v>
      </c>
      <c r="AA375" s="71">
        <v>375</v>
      </c>
      <c r="AB375" s="71"/>
      <c r="AC375" s="72"/>
      <c r="AD375" s="79" t="s">
        <v>2790</v>
      </c>
      <c r="AE375" s="79" t="s">
        <v>3231</v>
      </c>
      <c r="AF375" s="79" t="s">
        <v>3573</v>
      </c>
      <c r="AG375" s="79" t="s">
        <v>1535</v>
      </c>
      <c r="AH375" s="79" t="s">
        <v>4155</v>
      </c>
      <c r="AI375" s="79">
        <v>1267</v>
      </c>
      <c r="AJ375" s="79">
        <v>4</v>
      </c>
      <c r="AK375" s="79">
        <v>29</v>
      </c>
      <c r="AL375" s="79">
        <v>0</v>
      </c>
      <c r="AM375" s="79" t="s">
        <v>2092</v>
      </c>
      <c r="AN375" s="114" t="str">
        <f>HYPERLINK("https://www.youtube.com/watch?v=hbFtOkoFH6A")</f>
        <v>https://www.youtube.com/watch?v=hbFtOkoFH6A</v>
      </c>
      <c r="AO375" s="78" t="str">
        <f>REPLACE(INDEX(GroupVertices[Group],MATCH(Vertices[[#This Row],[Vertex]],GroupVertices[Vertex],0)),1,1,"")</f>
        <v>agnet Brains</v>
      </c>
      <c r="AP375" s="2"/>
      <c r="AQ375" s="3"/>
      <c r="AR375" s="3"/>
      <c r="AS375" s="3"/>
      <c r="AT375" s="3"/>
    </row>
    <row r="376" spans="1:46" ht="15">
      <c r="A376" s="64" t="s">
        <v>312</v>
      </c>
      <c r="B376" s="65"/>
      <c r="C376" s="65"/>
      <c r="D376" s="66">
        <v>150</v>
      </c>
      <c r="E376" s="102">
        <v>97.85714285714286</v>
      </c>
      <c r="F376" s="98" t="str">
        <f>HYPERLINK("https://i.ytimg.com/vi/4OAkDFppc-U/default.jpg")</f>
        <v>https://i.ytimg.com/vi/4OAkDFppc-U/default.jpg</v>
      </c>
      <c r="G376" s="100"/>
      <c r="H376" s="69" t="s">
        <v>706</v>
      </c>
      <c r="I376" s="70"/>
      <c r="J376" s="104" t="s">
        <v>159</v>
      </c>
      <c r="K376" s="69" t="s">
        <v>706</v>
      </c>
      <c r="L376" s="105">
        <v>1</v>
      </c>
      <c r="M376" s="74">
        <v>3292.020751953125</v>
      </c>
      <c r="N376" s="74">
        <v>916.7510986328125</v>
      </c>
      <c r="O376" s="75"/>
      <c r="P376" s="76"/>
      <c r="Q376" s="76"/>
      <c r="R376" s="106"/>
      <c r="S376" s="48">
        <v>1</v>
      </c>
      <c r="T376" s="48">
        <v>0</v>
      </c>
      <c r="U376" s="49">
        <v>0</v>
      </c>
      <c r="V376" s="49">
        <v>0.107374</v>
      </c>
      <c r="W376" s="107"/>
      <c r="X376" s="50"/>
      <c r="Y376" s="50"/>
      <c r="Z376" s="49">
        <v>0</v>
      </c>
      <c r="AA376" s="71">
        <v>376</v>
      </c>
      <c r="AB376" s="71"/>
      <c r="AC376" s="72"/>
      <c r="AD376" s="79" t="s">
        <v>706</v>
      </c>
      <c r="AE376" s="79" t="s">
        <v>3232</v>
      </c>
      <c r="AF376" s="79" t="s">
        <v>1344</v>
      </c>
      <c r="AG376" s="79" t="s">
        <v>1535</v>
      </c>
      <c r="AH376" s="79" t="s">
        <v>1761</v>
      </c>
      <c r="AI376" s="79">
        <v>1255</v>
      </c>
      <c r="AJ376" s="79">
        <v>0</v>
      </c>
      <c r="AK376" s="79">
        <v>43</v>
      </c>
      <c r="AL376" s="79">
        <v>0</v>
      </c>
      <c r="AM376" s="79" t="s">
        <v>2092</v>
      </c>
      <c r="AN376" s="114" t="str">
        <f>HYPERLINK("https://www.youtube.com/watch?v=4OAkDFppc-U")</f>
        <v>https://www.youtube.com/watch?v=4OAkDFppc-U</v>
      </c>
      <c r="AO376" s="78" t="str">
        <f>REPLACE(INDEX(GroupVertices[Group],MATCH(Vertices[[#This Row],[Vertex]],GroupVertices[Vertex],0)),1,1,"")</f>
        <v>agnet Brains</v>
      </c>
      <c r="AP376" s="2"/>
      <c r="AQ376" s="3"/>
      <c r="AR376" s="3"/>
      <c r="AS376" s="3"/>
      <c r="AT376" s="3"/>
    </row>
    <row r="377" spans="1:46" ht="15">
      <c r="A377" s="64" t="s">
        <v>311</v>
      </c>
      <c r="B377" s="65"/>
      <c r="C377" s="65"/>
      <c r="D377" s="66">
        <v>150</v>
      </c>
      <c r="E377" s="102">
        <v>97.85714285714286</v>
      </c>
      <c r="F377" s="98" t="str">
        <f>HYPERLINK("https://i.ytimg.com/vi/8_Bxq0f7TvA/default.jpg")</f>
        <v>https://i.ytimg.com/vi/8_Bxq0f7TvA/default.jpg</v>
      </c>
      <c r="G377" s="100"/>
      <c r="H377" s="69" t="s">
        <v>705</v>
      </c>
      <c r="I377" s="70"/>
      <c r="J377" s="104" t="s">
        <v>159</v>
      </c>
      <c r="K377" s="69" t="s">
        <v>705</v>
      </c>
      <c r="L377" s="105">
        <v>1</v>
      </c>
      <c r="M377" s="74">
        <v>4249.3427734375</v>
      </c>
      <c r="N377" s="74">
        <v>1817.45654296875</v>
      </c>
      <c r="O377" s="75"/>
      <c r="P377" s="76"/>
      <c r="Q377" s="76"/>
      <c r="R377" s="106"/>
      <c r="S377" s="48">
        <v>1</v>
      </c>
      <c r="T377" s="48">
        <v>0</v>
      </c>
      <c r="U377" s="49">
        <v>0</v>
      </c>
      <c r="V377" s="49">
        <v>0.107374</v>
      </c>
      <c r="W377" s="107"/>
      <c r="X377" s="50"/>
      <c r="Y377" s="50"/>
      <c r="Z377" s="49">
        <v>0</v>
      </c>
      <c r="AA377" s="71">
        <v>377</v>
      </c>
      <c r="AB377" s="71"/>
      <c r="AC377" s="72"/>
      <c r="AD377" s="79" t="s">
        <v>705</v>
      </c>
      <c r="AE377" s="79" t="s">
        <v>3233</v>
      </c>
      <c r="AF377" s="79" t="s">
        <v>1343</v>
      </c>
      <c r="AG377" s="79" t="s">
        <v>1535</v>
      </c>
      <c r="AH377" s="79" t="s">
        <v>1760</v>
      </c>
      <c r="AI377" s="79">
        <v>1213</v>
      </c>
      <c r="AJ377" s="79">
        <v>3</v>
      </c>
      <c r="AK377" s="79">
        <v>24</v>
      </c>
      <c r="AL377" s="79">
        <v>0</v>
      </c>
      <c r="AM377" s="79" t="s">
        <v>2092</v>
      </c>
      <c r="AN377" s="114" t="str">
        <f>HYPERLINK("https://www.youtube.com/watch?v=8_Bxq0f7TvA")</f>
        <v>https://www.youtube.com/watch?v=8_Bxq0f7TvA</v>
      </c>
      <c r="AO377" s="78" t="str">
        <f>REPLACE(INDEX(GroupVertices[Group],MATCH(Vertices[[#This Row],[Vertex]],GroupVertices[Vertex],0)),1,1,"")</f>
        <v>agnet Brains</v>
      </c>
      <c r="AP377" s="2"/>
      <c r="AQ377" s="3"/>
      <c r="AR377" s="3"/>
      <c r="AS377" s="3"/>
      <c r="AT377" s="3"/>
    </row>
    <row r="378" spans="1:46" ht="15">
      <c r="A378" s="64" t="s">
        <v>310</v>
      </c>
      <c r="B378" s="65"/>
      <c r="C378" s="65"/>
      <c r="D378" s="66">
        <v>150</v>
      </c>
      <c r="E378" s="102">
        <v>97.85714285714286</v>
      </c>
      <c r="F378" s="98" t="str">
        <f>HYPERLINK("https://i.ytimg.com/vi/7b0aUDs8jvU/default.jpg")</f>
        <v>https://i.ytimg.com/vi/7b0aUDs8jvU/default.jpg</v>
      </c>
      <c r="G378" s="100"/>
      <c r="H378" s="69" t="s">
        <v>704</v>
      </c>
      <c r="I378" s="70"/>
      <c r="J378" s="104" t="s">
        <v>159</v>
      </c>
      <c r="K378" s="69" t="s">
        <v>704</v>
      </c>
      <c r="L378" s="105">
        <v>1</v>
      </c>
      <c r="M378" s="74">
        <v>4364.6064453125</v>
      </c>
      <c r="N378" s="74">
        <v>1614.905029296875</v>
      </c>
      <c r="O378" s="75"/>
      <c r="P378" s="76"/>
      <c r="Q378" s="76"/>
      <c r="R378" s="106"/>
      <c r="S378" s="48">
        <v>1</v>
      </c>
      <c r="T378" s="48">
        <v>0</v>
      </c>
      <c r="U378" s="49">
        <v>0</v>
      </c>
      <c r="V378" s="49">
        <v>0.107374</v>
      </c>
      <c r="W378" s="107"/>
      <c r="X378" s="50"/>
      <c r="Y378" s="50"/>
      <c r="Z378" s="49">
        <v>0</v>
      </c>
      <c r="AA378" s="71">
        <v>378</v>
      </c>
      <c r="AB378" s="71"/>
      <c r="AC378" s="72"/>
      <c r="AD378" s="79" t="s">
        <v>704</v>
      </c>
      <c r="AE378" s="79" t="s">
        <v>3234</v>
      </c>
      <c r="AF378" s="79" t="s">
        <v>1342</v>
      </c>
      <c r="AG378" s="79" t="s">
        <v>1535</v>
      </c>
      <c r="AH378" s="79" t="s">
        <v>1759</v>
      </c>
      <c r="AI378" s="79">
        <v>1114</v>
      </c>
      <c r="AJ378" s="79">
        <v>0</v>
      </c>
      <c r="AK378" s="79">
        <v>40</v>
      </c>
      <c r="AL378" s="79">
        <v>0</v>
      </c>
      <c r="AM378" s="79" t="s">
        <v>2092</v>
      </c>
      <c r="AN378" s="114" t="str">
        <f>HYPERLINK("https://www.youtube.com/watch?v=7b0aUDs8jvU")</f>
        <v>https://www.youtube.com/watch?v=7b0aUDs8jvU</v>
      </c>
      <c r="AO378" s="78" t="str">
        <f>REPLACE(INDEX(GroupVertices[Group],MATCH(Vertices[[#This Row],[Vertex]],GroupVertices[Vertex],0)),1,1,"")</f>
        <v>agnet Brains</v>
      </c>
      <c r="AP378" s="2"/>
      <c r="AQ378" s="3"/>
      <c r="AR378" s="3"/>
      <c r="AS378" s="3"/>
      <c r="AT378" s="3"/>
    </row>
    <row r="379" spans="1:46" ht="15">
      <c r="A379" s="64" t="s">
        <v>315</v>
      </c>
      <c r="B379" s="65"/>
      <c r="C379" s="65"/>
      <c r="D379" s="66">
        <v>150</v>
      </c>
      <c r="E379" s="102">
        <v>97.85714285714286</v>
      </c>
      <c r="F379" s="98" t="str">
        <f>HYPERLINK("https://i.ytimg.com/vi/AKwn4AdgCIU/default.jpg")</f>
        <v>https://i.ytimg.com/vi/AKwn4AdgCIU/default.jpg</v>
      </c>
      <c r="G379" s="100"/>
      <c r="H379" s="69" t="s">
        <v>709</v>
      </c>
      <c r="I379" s="70"/>
      <c r="J379" s="104" t="s">
        <v>159</v>
      </c>
      <c r="K379" s="69" t="s">
        <v>709</v>
      </c>
      <c r="L379" s="105">
        <v>1</v>
      </c>
      <c r="M379" s="74">
        <v>4468.28173828125</v>
      </c>
      <c r="N379" s="74">
        <v>878.6237182617188</v>
      </c>
      <c r="O379" s="75"/>
      <c r="P379" s="76"/>
      <c r="Q379" s="76"/>
      <c r="R379" s="106"/>
      <c r="S379" s="48">
        <v>1</v>
      </c>
      <c r="T379" s="48">
        <v>0</v>
      </c>
      <c r="U379" s="49">
        <v>0</v>
      </c>
      <c r="V379" s="49">
        <v>0.107374</v>
      </c>
      <c r="W379" s="107"/>
      <c r="X379" s="50"/>
      <c r="Y379" s="50"/>
      <c r="Z379" s="49">
        <v>0</v>
      </c>
      <c r="AA379" s="71">
        <v>379</v>
      </c>
      <c r="AB379" s="71"/>
      <c r="AC379" s="72"/>
      <c r="AD379" s="79" t="s">
        <v>709</v>
      </c>
      <c r="AE379" s="79" t="s">
        <v>3235</v>
      </c>
      <c r="AF379" s="79" t="s">
        <v>1347</v>
      </c>
      <c r="AG379" s="79" t="s">
        <v>1535</v>
      </c>
      <c r="AH379" s="79" t="s">
        <v>1764</v>
      </c>
      <c r="AI379" s="79">
        <v>1043</v>
      </c>
      <c r="AJ379" s="79">
        <v>15</v>
      </c>
      <c r="AK379" s="79">
        <v>45</v>
      </c>
      <c r="AL379" s="79">
        <v>0</v>
      </c>
      <c r="AM379" s="79" t="s">
        <v>2092</v>
      </c>
      <c r="AN379" s="114" t="str">
        <f>HYPERLINK("https://www.youtube.com/watch?v=AKwn4AdgCIU")</f>
        <v>https://www.youtube.com/watch?v=AKwn4AdgCIU</v>
      </c>
      <c r="AO379" s="78" t="str">
        <f>REPLACE(INDEX(GroupVertices[Group],MATCH(Vertices[[#This Row],[Vertex]],GroupVertices[Vertex],0)),1,1,"")</f>
        <v>agnet Brains</v>
      </c>
      <c r="AP379" s="2"/>
      <c r="AQ379" s="3"/>
      <c r="AR379" s="3"/>
      <c r="AS379" s="3"/>
      <c r="AT379" s="3"/>
    </row>
    <row r="380" spans="1:46" ht="15">
      <c r="A380" s="64" t="s">
        <v>2314</v>
      </c>
      <c r="B380" s="65"/>
      <c r="C380" s="65"/>
      <c r="D380" s="66">
        <v>150</v>
      </c>
      <c r="E380" s="102">
        <v>97.85714285714286</v>
      </c>
      <c r="F380" s="98" t="str">
        <f>HYPERLINK("https://i.ytimg.com/vi/5h5HyMRrM8E/default.jpg")</f>
        <v>https://i.ytimg.com/vi/5h5HyMRrM8E/default.jpg</v>
      </c>
      <c r="G380" s="100"/>
      <c r="H380" s="69" t="s">
        <v>2791</v>
      </c>
      <c r="I380" s="70"/>
      <c r="J380" s="104" t="s">
        <v>159</v>
      </c>
      <c r="K380" s="69" t="s">
        <v>2791</v>
      </c>
      <c r="L380" s="105">
        <v>1</v>
      </c>
      <c r="M380" s="74">
        <v>4484.05859375</v>
      </c>
      <c r="N380" s="74">
        <v>1390.6556396484375</v>
      </c>
      <c r="O380" s="75"/>
      <c r="P380" s="76"/>
      <c r="Q380" s="76"/>
      <c r="R380" s="106"/>
      <c r="S380" s="48">
        <v>1</v>
      </c>
      <c r="T380" s="48">
        <v>0</v>
      </c>
      <c r="U380" s="49">
        <v>0</v>
      </c>
      <c r="V380" s="49">
        <v>0.107374</v>
      </c>
      <c r="W380" s="107"/>
      <c r="X380" s="50"/>
      <c r="Y380" s="50"/>
      <c r="Z380" s="49">
        <v>0</v>
      </c>
      <c r="AA380" s="71">
        <v>380</v>
      </c>
      <c r="AB380" s="71"/>
      <c r="AC380" s="72"/>
      <c r="AD380" s="79" t="s">
        <v>2791</v>
      </c>
      <c r="AE380" s="79" t="s">
        <v>3236</v>
      </c>
      <c r="AF380" s="79" t="s">
        <v>3574</v>
      </c>
      <c r="AG380" s="79" t="s">
        <v>1535</v>
      </c>
      <c r="AH380" s="79" t="s">
        <v>4156</v>
      </c>
      <c r="AI380" s="79">
        <v>2525</v>
      </c>
      <c r="AJ380" s="79">
        <v>8</v>
      </c>
      <c r="AK380" s="79">
        <v>60</v>
      </c>
      <c r="AL380" s="79">
        <v>0</v>
      </c>
      <c r="AM380" s="79" t="s">
        <v>2092</v>
      </c>
      <c r="AN380" s="114" t="str">
        <f>HYPERLINK("https://www.youtube.com/watch?v=5h5HyMRrM8E")</f>
        <v>https://www.youtube.com/watch?v=5h5HyMRrM8E</v>
      </c>
      <c r="AO380" s="78" t="str">
        <f>REPLACE(INDEX(GroupVertices[Group],MATCH(Vertices[[#This Row],[Vertex]],GroupVertices[Vertex],0)),1,1,"")</f>
        <v>agnet Brains</v>
      </c>
      <c r="AP380" s="2"/>
      <c r="AQ380" s="3"/>
      <c r="AR380" s="3"/>
      <c r="AS380" s="3"/>
      <c r="AT380" s="3"/>
    </row>
    <row r="381" spans="1:46" ht="15">
      <c r="A381" s="64" t="s">
        <v>313</v>
      </c>
      <c r="B381" s="65"/>
      <c r="C381" s="65"/>
      <c r="D381" s="66">
        <v>150</v>
      </c>
      <c r="E381" s="102">
        <v>97.85714285714286</v>
      </c>
      <c r="F381" s="98" t="str">
        <f>HYPERLINK("https://i.ytimg.com/vi/Up1SRPo0G4o/default.jpg")</f>
        <v>https://i.ytimg.com/vi/Up1SRPo0G4o/default.jpg</v>
      </c>
      <c r="G381" s="100"/>
      <c r="H381" s="69" t="s">
        <v>707</v>
      </c>
      <c r="I381" s="70"/>
      <c r="J381" s="104" t="s">
        <v>159</v>
      </c>
      <c r="K381" s="69" t="s">
        <v>707</v>
      </c>
      <c r="L381" s="105">
        <v>1</v>
      </c>
      <c r="M381" s="74">
        <v>4497.5419921875</v>
      </c>
      <c r="N381" s="74">
        <v>1121.1519775390625</v>
      </c>
      <c r="O381" s="75"/>
      <c r="P381" s="76"/>
      <c r="Q381" s="76"/>
      <c r="R381" s="106"/>
      <c r="S381" s="48">
        <v>1</v>
      </c>
      <c r="T381" s="48">
        <v>0</v>
      </c>
      <c r="U381" s="49">
        <v>0</v>
      </c>
      <c r="V381" s="49">
        <v>0.107374</v>
      </c>
      <c r="W381" s="107"/>
      <c r="X381" s="50"/>
      <c r="Y381" s="50"/>
      <c r="Z381" s="49">
        <v>0</v>
      </c>
      <c r="AA381" s="71">
        <v>381</v>
      </c>
      <c r="AB381" s="71"/>
      <c r="AC381" s="72"/>
      <c r="AD381" s="79" t="s">
        <v>707</v>
      </c>
      <c r="AE381" s="79" t="s">
        <v>3237</v>
      </c>
      <c r="AF381" s="79" t="s">
        <v>1345</v>
      </c>
      <c r="AG381" s="79" t="s">
        <v>1535</v>
      </c>
      <c r="AH381" s="79" t="s">
        <v>1762</v>
      </c>
      <c r="AI381" s="79">
        <v>818</v>
      </c>
      <c r="AJ381" s="79">
        <v>4</v>
      </c>
      <c r="AK381" s="79">
        <v>30</v>
      </c>
      <c r="AL381" s="79">
        <v>0</v>
      </c>
      <c r="AM381" s="79" t="s">
        <v>2092</v>
      </c>
      <c r="AN381" s="114" t="str">
        <f>HYPERLINK("https://www.youtube.com/watch?v=Up1SRPo0G4o")</f>
        <v>https://www.youtube.com/watch?v=Up1SRPo0G4o</v>
      </c>
      <c r="AO381" s="78" t="str">
        <f>REPLACE(INDEX(GroupVertices[Group],MATCH(Vertices[[#This Row],[Vertex]],GroupVertices[Vertex],0)),1,1,"")</f>
        <v>agnet Brains</v>
      </c>
      <c r="AP381" s="2"/>
      <c r="AQ381" s="3"/>
      <c r="AR381" s="3"/>
      <c r="AS381" s="3"/>
      <c r="AT381" s="3"/>
    </row>
    <row r="382" spans="1:46" ht="15">
      <c r="A382" s="64" t="s">
        <v>314</v>
      </c>
      <c r="B382" s="65"/>
      <c r="C382" s="65"/>
      <c r="D382" s="66">
        <v>150</v>
      </c>
      <c r="E382" s="102">
        <v>97.85714285714286</v>
      </c>
      <c r="F382" s="98" t="str">
        <f>HYPERLINK("https://i.ytimg.com/vi/NELV90nQqnY/default.jpg")</f>
        <v>https://i.ytimg.com/vi/NELV90nQqnY/default.jpg</v>
      </c>
      <c r="G382" s="100"/>
      <c r="H382" s="69" t="s">
        <v>708</v>
      </c>
      <c r="I382" s="70"/>
      <c r="J382" s="104" t="s">
        <v>159</v>
      </c>
      <c r="K382" s="69" t="s">
        <v>708</v>
      </c>
      <c r="L382" s="105">
        <v>1</v>
      </c>
      <c r="M382" s="74">
        <v>4235.35888671875</v>
      </c>
      <c r="N382" s="74">
        <v>429.2464294433594</v>
      </c>
      <c r="O382" s="75"/>
      <c r="P382" s="76"/>
      <c r="Q382" s="76"/>
      <c r="R382" s="106"/>
      <c r="S382" s="48">
        <v>1</v>
      </c>
      <c r="T382" s="48">
        <v>0</v>
      </c>
      <c r="U382" s="49">
        <v>0</v>
      </c>
      <c r="V382" s="49">
        <v>0.107374</v>
      </c>
      <c r="W382" s="107"/>
      <c r="X382" s="50"/>
      <c r="Y382" s="50"/>
      <c r="Z382" s="49">
        <v>0</v>
      </c>
      <c r="AA382" s="71">
        <v>382</v>
      </c>
      <c r="AB382" s="71"/>
      <c r="AC382" s="72"/>
      <c r="AD382" s="79" t="s">
        <v>708</v>
      </c>
      <c r="AE382" s="79" t="s">
        <v>3238</v>
      </c>
      <c r="AF382" s="79" t="s">
        <v>1346</v>
      </c>
      <c r="AG382" s="79" t="s">
        <v>1535</v>
      </c>
      <c r="AH382" s="79" t="s">
        <v>1763</v>
      </c>
      <c r="AI382" s="79">
        <v>1483</v>
      </c>
      <c r="AJ382" s="79">
        <v>10</v>
      </c>
      <c r="AK382" s="79">
        <v>38</v>
      </c>
      <c r="AL382" s="79">
        <v>0</v>
      </c>
      <c r="AM382" s="79" t="s">
        <v>2092</v>
      </c>
      <c r="AN382" s="114" t="str">
        <f>HYPERLINK("https://www.youtube.com/watch?v=NELV90nQqnY")</f>
        <v>https://www.youtube.com/watch?v=NELV90nQqnY</v>
      </c>
      <c r="AO382" s="78" t="str">
        <f>REPLACE(INDEX(GroupVertices[Group],MATCH(Vertices[[#This Row],[Vertex]],GroupVertices[Vertex],0)),1,1,"")</f>
        <v>agnet Brains</v>
      </c>
      <c r="AP382" s="2"/>
      <c r="AQ382" s="3"/>
      <c r="AR382" s="3"/>
      <c r="AS382" s="3"/>
      <c r="AT382" s="3"/>
    </row>
    <row r="383" spans="1:46" ht="15">
      <c r="A383" s="64" t="s">
        <v>316</v>
      </c>
      <c r="B383" s="65"/>
      <c r="C383" s="65"/>
      <c r="D383" s="66">
        <v>150</v>
      </c>
      <c r="E383" s="102">
        <v>97.85714285714286</v>
      </c>
      <c r="F383" s="98" t="str">
        <f>HYPERLINK("https://i.ytimg.com/vi/dp09rmQPaCs/default.jpg")</f>
        <v>https://i.ytimg.com/vi/dp09rmQPaCs/default.jpg</v>
      </c>
      <c r="G383" s="100"/>
      <c r="H383" s="69" t="s">
        <v>710</v>
      </c>
      <c r="I383" s="70"/>
      <c r="J383" s="104" t="s">
        <v>159</v>
      </c>
      <c r="K383" s="69" t="s">
        <v>710</v>
      </c>
      <c r="L383" s="105">
        <v>1</v>
      </c>
      <c r="M383" s="74">
        <v>2965.312255859375</v>
      </c>
      <c r="N383" s="74">
        <v>1895.112548828125</v>
      </c>
      <c r="O383" s="75"/>
      <c r="P383" s="76"/>
      <c r="Q383" s="76"/>
      <c r="R383" s="106"/>
      <c r="S383" s="48">
        <v>1</v>
      </c>
      <c r="T383" s="48">
        <v>0</v>
      </c>
      <c r="U383" s="49">
        <v>0</v>
      </c>
      <c r="V383" s="49">
        <v>0.107374</v>
      </c>
      <c r="W383" s="107"/>
      <c r="X383" s="50"/>
      <c r="Y383" s="50"/>
      <c r="Z383" s="49">
        <v>0</v>
      </c>
      <c r="AA383" s="71">
        <v>383</v>
      </c>
      <c r="AB383" s="71"/>
      <c r="AC383" s="72"/>
      <c r="AD383" s="79" t="s">
        <v>710</v>
      </c>
      <c r="AE383" s="79" t="s">
        <v>3239</v>
      </c>
      <c r="AF383" s="79" t="s">
        <v>1348</v>
      </c>
      <c r="AG383" s="79" t="s">
        <v>1535</v>
      </c>
      <c r="AH383" s="79" t="s">
        <v>1765</v>
      </c>
      <c r="AI383" s="79">
        <v>770</v>
      </c>
      <c r="AJ383" s="79">
        <v>2</v>
      </c>
      <c r="AK383" s="79">
        <v>23</v>
      </c>
      <c r="AL383" s="79">
        <v>0</v>
      </c>
      <c r="AM383" s="79" t="s">
        <v>2092</v>
      </c>
      <c r="AN383" s="114" t="str">
        <f>HYPERLINK("https://www.youtube.com/watch?v=dp09rmQPaCs")</f>
        <v>https://www.youtube.com/watch?v=dp09rmQPaCs</v>
      </c>
      <c r="AO383" s="78" t="str">
        <f>REPLACE(INDEX(GroupVertices[Group],MATCH(Vertices[[#This Row],[Vertex]],GroupVertices[Vertex],0)),1,1,"")</f>
        <v>agnet Brains</v>
      </c>
      <c r="AP383" s="2"/>
      <c r="AQ383" s="3"/>
      <c r="AR383" s="3"/>
      <c r="AS383" s="3"/>
      <c r="AT383" s="3"/>
    </row>
    <row r="384" spans="1:46" ht="15">
      <c r="A384" s="64" t="s">
        <v>317</v>
      </c>
      <c r="B384" s="65"/>
      <c r="C384" s="65"/>
      <c r="D384" s="66">
        <v>150</v>
      </c>
      <c r="E384" s="102">
        <v>97.85714285714286</v>
      </c>
      <c r="F384" s="98" t="str">
        <f>HYPERLINK("https://i.ytimg.com/vi/nvLBMlJfxJ4/default.jpg")</f>
        <v>https://i.ytimg.com/vi/nvLBMlJfxJ4/default.jpg</v>
      </c>
      <c r="G384" s="100"/>
      <c r="H384" s="69" t="s">
        <v>711</v>
      </c>
      <c r="I384" s="70"/>
      <c r="J384" s="104" t="s">
        <v>159</v>
      </c>
      <c r="K384" s="69" t="s">
        <v>711</v>
      </c>
      <c r="L384" s="105">
        <v>1</v>
      </c>
      <c r="M384" s="74">
        <v>3594.299560546875</v>
      </c>
      <c r="N384" s="74">
        <v>583.54296875</v>
      </c>
      <c r="O384" s="75"/>
      <c r="P384" s="76"/>
      <c r="Q384" s="76"/>
      <c r="R384" s="106"/>
      <c r="S384" s="48">
        <v>1</v>
      </c>
      <c r="T384" s="48">
        <v>0</v>
      </c>
      <c r="U384" s="49">
        <v>0</v>
      </c>
      <c r="V384" s="49">
        <v>0.107374</v>
      </c>
      <c r="W384" s="107"/>
      <c r="X384" s="50"/>
      <c r="Y384" s="50"/>
      <c r="Z384" s="49">
        <v>0</v>
      </c>
      <c r="AA384" s="71">
        <v>384</v>
      </c>
      <c r="AB384" s="71"/>
      <c r="AC384" s="72"/>
      <c r="AD384" s="79" t="s">
        <v>711</v>
      </c>
      <c r="AE384" s="79" t="s">
        <v>3240</v>
      </c>
      <c r="AF384" s="79" t="s">
        <v>1349</v>
      </c>
      <c r="AG384" s="79" t="s">
        <v>1535</v>
      </c>
      <c r="AH384" s="79" t="s">
        <v>1766</v>
      </c>
      <c r="AI384" s="79">
        <v>900</v>
      </c>
      <c r="AJ384" s="79">
        <v>4</v>
      </c>
      <c r="AK384" s="79">
        <v>32</v>
      </c>
      <c r="AL384" s="79">
        <v>0</v>
      </c>
      <c r="AM384" s="79" t="s">
        <v>2092</v>
      </c>
      <c r="AN384" s="114" t="str">
        <f>HYPERLINK("https://www.youtube.com/watch?v=nvLBMlJfxJ4")</f>
        <v>https://www.youtube.com/watch?v=nvLBMlJfxJ4</v>
      </c>
      <c r="AO384" s="78" t="str">
        <f>REPLACE(INDEX(GroupVertices[Group],MATCH(Vertices[[#This Row],[Vertex]],GroupVertices[Vertex],0)),1,1,"")</f>
        <v>agnet Brains</v>
      </c>
      <c r="AP384" s="2"/>
      <c r="AQ384" s="3"/>
      <c r="AR384" s="3"/>
      <c r="AS384" s="3"/>
      <c r="AT384" s="3"/>
    </row>
    <row r="385" spans="1:46" ht="15">
      <c r="A385" s="64" t="s">
        <v>2315</v>
      </c>
      <c r="B385" s="65"/>
      <c r="C385" s="65"/>
      <c r="D385" s="66">
        <v>150</v>
      </c>
      <c r="E385" s="102">
        <v>95.71428571428571</v>
      </c>
      <c r="F385" s="98" t="str">
        <f>HYPERLINK("https://i.ytimg.com/vi/IxSbjjzFs6I/default.jpg")</f>
        <v>https://i.ytimg.com/vi/IxSbjjzFs6I/default.jpg</v>
      </c>
      <c r="G385" s="100"/>
      <c r="H385" s="69" t="s">
        <v>2792</v>
      </c>
      <c r="I385" s="70"/>
      <c r="J385" s="104" t="s">
        <v>75</v>
      </c>
      <c r="K385" s="69" t="s">
        <v>2792</v>
      </c>
      <c r="L385" s="105">
        <v>3570.138455839821</v>
      </c>
      <c r="M385" s="74">
        <v>3898.691162109375</v>
      </c>
      <c r="N385" s="74">
        <v>561.205078125</v>
      </c>
      <c r="O385" s="75"/>
      <c r="P385" s="76"/>
      <c r="Q385" s="76"/>
      <c r="R385" s="106"/>
      <c r="S385" s="48">
        <v>2</v>
      </c>
      <c r="T385" s="48">
        <v>0</v>
      </c>
      <c r="U385" s="49">
        <v>49856</v>
      </c>
      <c r="V385" s="49">
        <v>0.145162</v>
      </c>
      <c r="W385" s="107"/>
      <c r="X385" s="50"/>
      <c r="Y385" s="50"/>
      <c r="Z385" s="49">
        <v>0</v>
      </c>
      <c r="AA385" s="71">
        <v>385</v>
      </c>
      <c r="AB385" s="71"/>
      <c r="AC385" s="72"/>
      <c r="AD385" s="79" t="s">
        <v>2792</v>
      </c>
      <c r="AE385" s="79" t="s">
        <v>3241</v>
      </c>
      <c r="AF385" s="79"/>
      <c r="AG385" s="79" t="s">
        <v>3804</v>
      </c>
      <c r="AH385" s="79" t="s">
        <v>4157</v>
      </c>
      <c r="AI385" s="79">
        <v>1</v>
      </c>
      <c r="AJ385" s="79">
        <v>0</v>
      </c>
      <c r="AK385" s="79">
        <v>0</v>
      </c>
      <c r="AL385" s="79">
        <v>0</v>
      </c>
      <c r="AM385" s="79" t="s">
        <v>2092</v>
      </c>
      <c r="AN385" s="114" t="str">
        <f>HYPERLINK("https://www.youtube.com/watch?v=IxSbjjzFs6I")</f>
        <v>https://www.youtube.com/watch?v=IxSbjjzFs6I</v>
      </c>
      <c r="AO385" s="78" t="str">
        <f>REPLACE(INDEX(GroupVertices[Group],MATCH(Vertices[[#This Row],[Vertex]],GroupVertices[Vertex],0)),1,1,"")</f>
        <v>ur Izazi</v>
      </c>
      <c r="AP385" s="2"/>
      <c r="AQ385" s="3"/>
      <c r="AR385" s="3"/>
      <c r="AS385" s="3"/>
      <c r="AT385" s="3"/>
    </row>
    <row r="386" spans="1:46" ht="15">
      <c r="A386" s="64" t="s">
        <v>436</v>
      </c>
      <c r="B386" s="65"/>
      <c r="C386" s="65"/>
      <c r="D386" s="66">
        <v>150</v>
      </c>
      <c r="E386" s="102">
        <v>97.85714285714286</v>
      </c>
      <c r="F386" s="98" t="str">
        <f>HYPERLINK("https://i.ytimg.com/vi/HPS0IWINvc4/default.jpg")</f>
        <v>https://i.ytimg.com/vi/HPS0IWINvc4/default.jpg</v>
      </c>
      <c r="G386" s="100"/>
      <c r="H386" s="69" t="s">
        <v>854</v>
      </c>
      <c r="I386" s="70"/>
      <c r="J386" s="104" t="s">
        <v>159</v>
      </c>
      <c r="K386" s="69" t="s">
        <v>854</v>
      </c>
      <c r="L386" s="105">
        <v>1</v>
      </c>
      <c r="M386" s="74">
        <v>9186.2197265625</v>
      </c>
      <c r="N386" s="74">
        <v>3455.29345703125</v>
      </c>
      <c r="O386" s="75"/>
      <c r="P386" s="76"/>
      <c r="Q386" s="76"/>
      <c r="R386" s="106"/>
      <c r="S386" s="48">
        <v>1</v>
      </c>
      <c r="T386" s="48">
        <v>0</v>
      </c>
      <c r="U386" s="49">
        <v>0</v>
      </c>
      <c r="V386" s="49">
        <v>0.008718</v>
      </c>
      <c r="W386" s="107"/>
      <c r="X386" s="50"/>
      <c r="Y386" s="50"/>
      <c r="Z386" s="49">
        <v>0</v>
      </c>
      <c r="AA386" s="71">
        <v>386</v>
      </c>
      <c r="AB386" s="71"/>
      <c r="AC386" s="72"/>
      <c r="AD386" s="79" t="s">
        <v>854</v>
      </c>
      <c r="AE386" s="79" t="s">
        <v>1177</v>
      </c>
      <c r="AF386" s="79"/>
      <c r="AG386" s="79" t="s">
        <v>1613</v>
      </c>
      <c r="AH386" s="79" t="s">
        <v>1910</v>
      </c>
      <c r="AI386" s="79">
        <v>48</v>
      </c>
      <c r="AJ386" s="79">
        <v>0</v>
      </c>
      <c r="AK386" s="79">
        <v>0</v>
      </c>
      <c r="AL386" s="79">
        <v>0</v>
      </c>
      <c r="AM386" s="79" t="s">
        <v>2092</v>
      </c>
      <c r="AN386" s="114" t="str">
        <f>HYPERLINK("https://www.youtube.com/watch?v=HPS0IWINvc4")</f>
        <v>https://www.youtube.com/watch?v=HPS0IWINvc4</v>
      </c>
      <c r="AO386" s="78" t="str">
        <f>REPLACE(INDEX(GroupVertices[Group],MATCH(Vertices[[#This Row],[Vertex]],GroupVertices[Vertex],0)),1,1,"")</f>
        <v>est Yorkshire Trading Standards</v>
      </c>
      <c r="AP386" s="2"/>
      <c r="AQ386" s="3"/>
      <c r="AR386" s="3"/>
      <c r="AS386" s="3"/>
      <c r="AT386" s="3"/>
    </row>
    <row r="387" spans="1:46" ht="15">
      <c r="A387" s="64" t="s">
        <v>437</v>
      </c>
      <c r="B387" s="65"/>
      <c r="C387" s="65"/>
      <c r="D387" s="66">
        <v>150</v>
      </c>
      <c r="E387" s="102">
        <v>97.85714285714286</v>
      </c>
      <c r="F387" s="98" t="str">
        <f>HYPERLINK("https://i.ytimg.com/vi/2Y0wMtgcnbQ/default.jpg")</f>
        <v>https://i.ytimg.com/vi/2Y0wMtgcnbQ/default.jpg</v>
      </c>
      <c r="G387" s="100"/>
      <c r="H387" s="69" t="s">
        <v>855</v>
      </c>
      <c r="I387" s="70"/>
      <c r="J387" s="104" t="s">
        <v>159</v>
      </c>
      <c r="K387" s="69" t="s">
        <v>855</v>
      </c>
      <c r="L387" s="105">
        <v>1</v>
      </c>
      <c r="M387" s="74">
        <v>9865.14453125</v>
      </c>
      <c r="N387" s="74">
        <v>2840.84765625</v>
      </c>
      <c r="O387" s="75"/>
      <c r="P387" s="76"/>
      <c r="Q387" s="76"/>
      <c r="R387" s="106"/>
      <c r="S387" s="48">
        <v>1</v>
      </c>
      <c r="T387" s="48">
        <v>0</v>
      </c>
      <c r="U387" s="49">
        <v>0</v>
      </c>
      <c r="V387" s="49">
        <v>0.008718</v>
      </c>
      <c r="W387" s="107"/>
      <c r="X387" s="50"/>
      <c r="Y387" s="50"/>
      <c r="Z387" s="49">
        <v>0</v>
      </c>
      <c r="AA387" s="71">
        <v>387</v>
      </c>
      <c r="AB387" s="71"/>
      <c r="AC387" s="72"/>
      <c r="AD387" s="79" t="s">
        <v>855</v>
      </c>
      <c r="AE387" s="79" t="s">
        <v>1178</v>
      </c>
      <c r="AF387" s="79"/>
      <c r="AG387" s="79" t="s">
        <v>1614</v>
      </c>
      <c r="AH387" s="79" t="s">
        <v>1911</v>
      </c>
      <c r="AI387" s="79">
        <v>0</v>
      </c>
      <c r="AJ387" s="79">
        <v>0</v>
      </c>
      <c r="AK387" s="79">
        <v>0</v>
      </c>
      <c r="AL387" s="79">
        <v>0</v>
      </c>
      <c r="AM387" s="79" t="s">
        <v>2092</v>
      </c>
      <c r="AN387" s="114" t="str">
        <f>HYPERLINK("https://www.youtube.com/watch?v=2Y0wMtgcnbQ")</f>
        <v>https://www.youtube.com/watch?v=2Y0wMtgcnbQ</v>
      </c>
      <c r="AO387" s="78" t="str">
        <f>REPLACE(INDEX(GroupVertices[Group],MATCH(Vertices[[#This Row],[Vertex]],GroupVertices[Vertex],0)),1,1,"")</f>
        <v>WL LCNP</v>
      </c>
      <c r="AP387" s="2"/>
      <c r="AQ387" s="3"/>
      <c r="AR387" s="3"/>
      <c r="AS387" s="3"/>
      <c r="AT387" s="3"/>
    </row>
    <row r="388" spans="1:46" ht="15">
      <c r="A388" s="64" t="s">
        <v>438</v>
      </c>
      <c r="B388" s="65"/>
      <c r="C388" s="65"/>
      <c r="D388" s="66">
        <v>150</v>
      </c>
      <c r="E388" s="102">
        <v>97.85714285714286</v>
      </c>
      <c r="F388" s="98" t="str">
        <f>HYPERLINK("https://i.ytimg.com/vi/IALGmb5PlR4/default.jpg")</f>
        <v>https://i.ytimg.com/vi/IALGmb5PlR4/default.jpg</v>
      </c>
      <c r="G388" s="100"/>
      <c r="H388" s="69" t="s">
        <v>856</v>
      </c>
      <c r="I388" s="70"/>
      <c r="J388" s="104" t="s">
        <v>159</v>
      </c>
      <c r="K388" s="69" t="s">
        <v>856</v>
      </c>
      <c r="L388" s="105">
        <v>1</v>
      </c>
      <c r="M388" s="74">
        <v>9429.4453125</v>
      </c>
      <c r="N388" s="74">
        <v>3226.419189453125</v>
      </c>
      <c r="O388" s="75"/>
      <c r="P388" s="76"/>
      <c r="Q388" s="76"/>
      <c r="R388" s="106"/>
      <c r="S388" s="48">
        <v>1</v>
      </c>
      <c r="T388" s="48">
        <v>0</v>
      </c>
      <c r="U388" s="49">
        <v>0</v>
      </c>
      <c r="V388" s="49">
        <v>0.008718</v>
      </c>
      <c r="W388" s="107"/>
      <c r="X388" s="50"/>
      <c r="Y388" s="50"/>
      <c r="Z388" s="49">
        <v>0</v>
      </c>
      <c r="AA388" s="71">
        <v>388</v>
      </c>
      <c r="AB388" s="71"/>
      <c r="AC388" s="72"/>
      <c r="AD388" s="79" t="s">
        <v>856</v>
      </c>
      <c r="AE388" s="79" t="s">
        <v>1178</v>
      </c>
      <c r="AF388" s="79"/>
      <c r="AG388" s="79" t="s">
        <v>1614</v>
      </c>
      <c r="AH388" s="79" t="s">
        <v>1912</v>
      </c>
      <c r="AI388" s="79">
        <v>1</v>
      </c>
      <c r="AJ388" s="79">
        <v>0</v>
      </c>
      <c r="AK388" s="79">
        <v>0</v>
      </c>
      <c r="AL388" s="79">
        <v>0</v>
      </c>
      <c r="AM388" s="79" t="s">
        <v>2092</v>
      </c>
      <c r="AN388" s="114" t="str">
        <f>HYPERLINK("https://www.youtube.com/watch?v=IALGmb5PlR4")</f>
        <v>https://www.youtube.com/watch?v=IALGmb5PlR4</v>
      </c>
      <c r="AO388" s="78" t="str">
        <f>REPLACE(INDEX(GroupVertices[Group],MATCH(Vertices[[#This Row],[Vertex]],GroupVertices[Vertex],0)),1,1,"")</f>
        <v>WL LCNP</v>
      </c>
      <c r="AP388" s="2"/>
      <c r="AQ388" s="3"/>
      <c r="AR388" s="3"/>
      <c r="AS388" s="3"/>
      <c r="AT388" s="3"/>
    </row>
    <row r="389" spans="1:46" ht="15">
      <c r="A389" s="64" t="s">
        <v>439</v>
      </c>
      <c r="B389" s="65"/>
      <c r="C389" s="65"/>
      <c r="D389" s="66">
        <v>150</v>
      </c>
      <c r="E389" s="102">
        <v>97.85714285714286</v>
      </c>
      <c r="F389" s="98" t="str">
        <f>HYPERLINK("https://i.ytimg.com/vi/EQgWuqveG3I/default.jpg")</f>
        <v>https://i.ytimg.com/vi/EQgWuqveG3I/default.jpg</v>
      </c>
      <c r="G389" s="100"/>
      <c r="H389" s="69" t="s">
        <v>857</v>
      </c>
      <c r="I389" s="70"/>
      <c r="J389" s="104" t="s">
        <v>159</v>
      </c>
      <c r="K389" s="69" t="s">
        <v>857</v>
      </c>
      <c r="L389" s="105">
        <v>1</v>
      </c>
      <c r="M389" s="74">
        <v>9805.64453125</v>
      </c>
      <c r="N389" s="74">
        <v>3157.384521484375</v>
      </c>
      <c r="O389" s="75"/>
      <c r="P389" s="76"/>
      <c r="Q389" s="76"/>
      <c r="R389" s="106"/>
      <c r="S389" s="48">
        <v>1</v>
      </c>
      <c r="T389" s="48">
        <v>0</v>
      </c>
      <c r="U389" s="49">
        <v>0</v>
      </c>
      <c r="V389" s="49">
        <v>0.008718</v>
      </c>
      <c r="W389" s="107"/>
      <c r="X389" s="50"/>
      <c r="Y389" s="50"/>
      <c r="Z389" s="49">
        <v>0</v>
      </c>
      <c r="AA389" s="71">
        <v>389</v>
      </c>
      <c r="AB389" s="71"/>
      <c r="AC389" s="72"/>
      <c r="AD389" s="79" t="s">
        <v>857</v>
      </c>
      <c r="AE389" s="79"/>
      <c r="AF389" s="79"/>
      <c r="AG389" s="79" t="s">
        <v>1615</v>
      </c>
      <c r="AH389" s="79" t="s">
        <v>1913</v>
      </c>
      <c r="AI389" s="79">
        <v>3</v>
      </c>
      <c r="AJ389" s="79">
        <v>0</v>
      </c>
      <c r="AK389" s="79">
        <v>0</v>
      </c>
      <c r="AL389" s="79">
        <v>0</v>
      </c>
      <c r="AM389" s="79" t="s">
        <v>2092</v>
      </c>
      <c r="AN389" s="114" t="str">
        <f>HYPERLINK("https://www.youtube.com/watch?v=EQgWuqveG3I")</f>
        <v>https://www.youtube.com/watch?v=EQgWuqveG3I</v>
      </c>
      <c r="AO389" s="78" t="str">
        <f>REPLACE(INDEX(GroupVertices[Group],MATCH(Vertices[[#This Row],[Vertex]],GroupVertices[Vertex],0)),1,1,"")</f>
        <v>CLxLSE Nudgeathon</v>
      </c>
      <c r="AP389" s="2"/>
      <c r="AQ389" s="3"/>
      <c r="AR389" s="3"/>
      <c r="AS389" s="3"/>
      <c r="AT389" s="3"/>
    </row>
    <row r="390" spans="1:46" ht="15">
      <c r="A390" s="64" t="s">
        <v>432</v>
      </c>
      <c r="B390" s="65"/>
      <c r="C390" s="65"/>
      <c r="D390" s="66">
        <v>150</v>
      </c>
      <c r="E390" s="102">
        <v>97.85714285714286</v>
      </c>
      <c r="F390" s="98" t="str">
        <f>HYPERLINK("https://i.ytimg.com/vi/YA6HvAJAcUQ/default.jpg")</f>
        <v>https://i.ytimg.com/vi/YA6HvAJAcUQ/default.jpg</v>
      </c>
      <c r="G390" s="100"/>
      <c r="H390" s="69" t="s">
        <v>850</v>
      </c>
      <c r="I390" s="70"/>
      <c r="J390" s="104" t="s">
        <v>159</v>
      </c>
      <c r="K390" s="69" t="s">
        <v>850</v>
      </c>
      <c r="L390" s="105">
        <v>1</v>
      </c>
      <c r="M390" s="74">
        <v>9043.9892578125</v>
      </c>
      <c r="N390" s="74">
        <v>3187.35986328125</v>
      </c>
      <c r="O390" s="75"/>
      <c r="P390" s="76"/>
      <c r="Q390" s="76"/>
      <c r="R390" s="106"/>
      <c r="S390" s="48">
        <v>1</v>
      </c>
      <c r="T390" s="48">
        <v>0</v>
      </c>
      <c r="U390" s="49">
        <v>0</v>
      </c>
      <c r="V390" s="49">
        <v>0.008718</v>
      </c>
      <c r="W390" s="107"/>
      <c r="X390" s="50"/>
      <c r="Y390" s="50"/>
      <c r="Z390" s="49">
        <v>0</v>
      </c>
      <c r="AA390" s="71">
        <v>390</v>
      </c>
      <c r="AB390" s="71"/>
      <c r="AC390" s="72"/>
      <c r="AD390" s="79" t="s">
        <v>850</v>
      </c>
      <c r="AE390" s="79" t="s">
        <v>1173</v>
      </c>
      <c r="AF390" s="79"/>
      <c r="AG390" s="79" t="s">
        <v>1611</v>
      </c>
      <c r="AH390" s="79" t="s">
        <v>1906</v>
      </c>
      <c r="AI390" s="79">
        <v>3</v>
      </c>
      <c r="AJ390" s="79">
        <v>0</v>
      </c>
      <c r="AK390" s="79">
        <v>0</v>
      </c>
      <c r="AL390" s="79">
        <v>0</v>
      </c>
      <c r="AM390" s="79" t="s">
        <v>2092</v>
      </c>
      <c r="AN390" s="114" t="str">
        <f>HYPERLINK("https://www.youtube.com/watch?v=YA6HvAJAcUQ")</f>
        <v>https://www.youtube.com/watch?v=YA6HvAJAcUQ</v>
      </c>
      <c r="AO390" s="78" t="str">
        <f>REPLACE(INDEX(GroupVertices[Group],MATCH(Vertices[[#This Row],[Vertex]],GroupVertices[Vertex],0)),1,1,"")</f>
        <v>ociety for the Study of Addiction</v>
      </c>
      <c r="AP390" s="2"/>
      <c r="AQ390" s="3"/>
      <c r="AR390" s="3"/>
      <c r="AS390" s="3"/>
      <c r="AT390" s="3"/>
    </row>
    <row r="391" spans="1:46" ht="15">
      <c r="A391" s="64" t="s">
        <v>441</v>
      </c>
      <c r="B391" s="65"/>
      <c r="C391" s="65"/>
      <c r="D391" s="66">
        <v>150</v>
      </c>
      <c r="E391" s="102">
        <v>97.85714285714286</v>
      </c>
      <c r="F391" s="98" t="str">
        <f>HYPERLINK("https://i.ytimg.com/vi/dUOzpw7Snco/default.jpg")</f>
        <v>https://i.ytimg.com/vi/dUOzpw7Snco/default.jpg</v>
      </c>
      <c r="G391" s="100"/>
      <c r="H391" s="69" t="s">
        <v>859</v>
      </c>
      <c r="I391" s="70"/>
      <c r="J391" s="104" t="s">
        <v>159</v>
      </c>
      <c r="K391" s="69" t="s">
        <v>859</v>
      </c>
      <c r="L391" s="105">
        <v>1</v>
      </c>
      <c r="M391" s="74">
        <v>9435.6064453125</v>
      </c>
      <c r="N391" s="74">
        <v>3591.5947265625</v>
      </c>
      <c r="O391" s="75"/>
      <c r="P391" s="76"/>
      <c r="Q391" s="76"/>
      <c r="R391" s="106"/>
      <c r="S391" s="48">
        <v>1</v>
      </c>
      <c r="T391" s="48">
        <v>0</v>
      </c>
      <c r="U391" s="49">
        <v>0</v>
      </c>
      <c r="V391" s="49">
        <v>0.008718</v>
      </c>
      <c r="W391" s="107"/>
      <c r="X391" s="50"/>
      <c r="Y391" s="50"/>
      <c r="Z391" s="49">
        <v>0</v>
      </c>
      <c r="AA391" s="71">
        <v>391</v>
      </c>
      <c r="AB391" s="71"/>
      <c r="AC391" s="72"/>
      <c r="AD391" s="79" t="s">
        <v>859</v>
      </c>
      <c r="AE391" s="79" t="s">
        <v>1180</v>
      </c>
      <c r="AF391" s="79" t="s">
        <v>1402</v>
      </c>
      <c r="AG391" s="79" t="s">
        <v>1617</v>
      </c>
      <c r="AH391" s="79" t="s">
        <v>1915</v>
      </c>
      <c r="AI391" s="79">
        <v>4</v>
      </c>
      <c r="AJ391" s="79">
        <v>0</v>
      </c>
      <c r="AK391" s="79">
        <v>1</v>
      </c>
      <c r="AL391" s="79">
        <v>0</v>
      </c>
      <c r="AM391" s="79" t="s">
        <v>2092</v>
      </c>
      <c r="AN391" s="114" t="str">
        <f>HYPERLINK("https://www.youtube.com/watch?v=dUOzpw7Snco")</f>
        <v>https://www.youtube.com/watch?v=dUOzpw7Snco</v>
      </c>
      <c r="AO391" s="78" t="str">
        <f>REPLACE(INDEX(GroupVertices[Group],MATCH(Vertices[[#This Row],[Vertex]],GroupVertices[Vertex],0)),1,1,"")</f>
        <v>igital Language Teaching -Fit4DigiLinE-</v>
      </c>
      <c r="AP391" s="2"/>
      <c r="AQ391" s="3"/>
      <c r="AR391" s="3"/>
      <c r="AS391" s="3"/>
      <c r="AT391" s="3"/>
    </row>
    <row r="392" spans="1:46" ht="15">
      <c r="A392" s="64" t="s">
        <v>440</v>
      </c>
      <c r="B392" s="65"/>
      <c r="C392" s="65"/>
      <c r="D392" s="66">
        <v>150</v>
      </c>
      <c r="E392" s="102">
        <v>97.85714285714286</v>
      </c>
      <c r="F392" s="98" t="str">
        <f>HYPERLINK("https://i.ytimg.com/vi/ImGKTLxMIZ4/default.jpg")</f>
        <v>https://i.ytimg.com/vi/ImGKTLxMIZ4/default.jpg</v>
      </c>
      <c r="G392" s="100"/>
      <c r="H392" s="69" t="s">
        <v>858</v>
      </c>
      <c r="I392" s="70"/>
      <c r="J392" s="104" t="s">
        <v>159</v>
      </c>
      <c r="K392" s="69" t="s">
        <v>858</v>
      </c>
      <c r="L392" s="105">
        <v>1</v>
      </c>
      <c r="M392" s="74">
        <v>9420.4580078125</v>
      </c>
      <c r="N392" s="74">
        <v>2068.758544921875</v>
      </c>
      <c r="O392" s="75"/>
      <c r="P392" s="76"/>
      <c r="Q392" s="76"/>
      <c r="R392" s="106"/>
      <c r="S392" s="48">
        <v>1</v>
      </c>
      <c r="T392" s="48">
        <v>0</v>
      </c>
      <c r="U392" s="49">
        <v>0</v>
      </c>
      <c r="V392" s="49">
        <v>0.008718</v>
      </c>
      <c r="W392" s="107"/>
      <c r="X392" s="50"/>
      <c r="Y392" s="50"/>
      <c r="Z392" s="49">
        <v>0</v>
      </c>
      <c r="AA392" s="71">
        <v>392</v>
      </c>
      <c r="AB392" s="71"/>
      <c r="AC392" s="72"/>
      <c r="AD392" s="79" t="s">
        <v>858</v>
      </c>
      <c r="AE392" s="79" t="s">
        <v>1179</v>
      </c>
      <c r="AF392" s="79"/>
      <c r="AG392" s="79" t="s">
        <v>1616</v>
      </c>
      <c r="AH392" s="79" t="s">
        <v>1914</v>
      </c>
      <c r="AI392" s="79">
        <v>9</v>
      </c>
      <c r="AJ392" s="79">
        <v>0</v>
      </c>
      <c r="AK392" s="79">
        <v>0</v>
      </c>
      <c r="AL392" s="79">
        <v>0</v>
      </c>
      <c r="AM392" s="79" t="s">
        <v>2092</v>
      </c>
      <c r="AN392" s="114" t="str">
        <f>HYPERLINK("https://www.youtube.com/watch?v=ImGKTLxMIZ4")</f>
        <v>https://www.youtube.com/watch?v=ImGKTLxMIZ4</v>
      </c>
      <c r="AO392" s="78" t="str">
        <f>REPLACE(INDEX(GroupVertices[Group],MATCH(Vertices[[#This Row],[Vertex]],GroupVertices[Vertex],0)),1,1,"")</f>
        <v>aria Evans</v>
      </c>
      <c r="AP392" s="2"/>
      <c r="AQ392" s="3"/>
      <c r="AR392" s="3"/>
      <c r="AS392" s="3"/>
      <c r="AT392" s="3"/>
    </row>
    <row r="393" spans="1:46" ht="15">
      <c r="A393" s="64" t="s">
        <v>443</v>
      </c>
      <c r="B393" s="65"/>
      <c r="C393" s="65"/>
      <c r="D393" s="66">
        <v>150</v>
      </c>
      <c r="E393" s="102">
        <v>97.85714285714286</v>
      </c>
      <c r="F393" s="98" t="str">
        <f>HYPERLINK("https://i.ytimg.com/vi/_JduIwSlL3g/default.jpg")</f>
        <v>https://i.ytimg.com/vi/_JduIwSlL3g/default.jpg</v>
      </c>
      <c r="G393" s="100"/>
      <c r="H393" s="69" t="s">
        <v>861</v>
      </c>
      <c r="I393" s="70"/>
      <c r="J393" s="104" t="s">
        <v>159</v>
      </c>
      <c r="K393" s="69" t="s">
        <v>861</v>
      </c>
      <c r="L393" s="105">
        <v>1</v>
      </c>
      <c r="M393" s="74">
        <v>9166.640625</v>
      </c>
      <c r="N393" s="74">
        <v>2666.2119140625</v>
      </c>
      <c r="O393" s="75"/>
      <c r="P393" s="76"/>
      <c r="Q393" s="76"/>
      <c r="R393" s="106"/>
      <c r="S393" s="48">
        <v>1</v>
      </c>
      <c r="T393" s="48">
        <v>0</v>
      </c>
      <c r="U393" s="49">
        <v>0</v>
      </c>
      <c r="V393" s="49">
        <v>0.008718</v>
      </c>
      <c r="W393" s="107"/>
      <c r="X393" s="50"/>
      <c r="Y393" s="50"/>
      <c r="Z393" s="49">
        <v>0</v>
      </c>
      <c r="AA393" s="71">
        <v>393</v>
      </c>
      <c r="AB393" s="71"/>
      <c r="AC393" s="72"/>
      <c r="AD393" s="79" t="s">
        <v>861</v>
      </c>
      <c r="AE393" s="79"/>
      <c r="AF393" s="79"/>
      <c r="AG393" s="79" t="s">
        <v>1618</v>
      </c>
      <c r="AH393" s="79" t="s">
        <v>1917</v>
      </c>
      <c r="AI393" s="79">
        <v>33</v>
      </c>
      <c r="AJ393" s="79">
        <v>0</v>
      </c>
      <c r="AK393" s="79">
        <v>0</v>
      </c>
      <c r="AL393" s="79">
        <v>0</v>
      </c>
      <c r="AM393" s="79" t="s">
        <v>2092</v>
      </c>
      <c r="AN393" s="114" t="str">
        <f>HYPERLINK("https://www.youtube.com/watch?v=_JduIwSlL3g")</f>
        <v>https://www.youtube.com/watch?v=_JduIwSlL3g</v>
      </c>
      <c r="AO393" s="78" t="str">
        <f>REPLACE(INDEX(GroupVertices[Group],MATCH(Vertices[[#This Row],[Vertex]],GroupVertices[Vertex],0)),1,1,"")</f>
        <v>omplete Careers LLP</v>
      </c>
      <c r="AP393" s="2"/>
      <c r="AQ393" s="3"/>
      <c r="AR393" s="3"/>
      <c r="AS393" s="3"/>
      <c r="AT393" s="3"/>
    </row>
    <row r="394" spans="1:46" ht="15">
      <c r="A394" s="64" t="s">
        <v>442</v>
      </c>
      <c r="B394" s="65"/>
      <c r="C394" s="65"/>
      <c r="D394" s="66">
        <v>150</v>
      </c>
      <c r="E394" s="102">
        <v>97.85714285714286</v>
      </c>
      <c r="F394" s="98" t="str">
        <f>HYPERLINK("https://i.ytimg.com/vi/soDZmW39l7o/default.jpg")</f>
        <v>https://i.ytimg.com/vi/soDZmW39l7o/default.jpg</v>
      </c>
      <c r="G394" s="100"/>
      <c r="H394" s="69" t="s">
        <v>860</v>
      </c>
      <c r="I394" s="70"/>
      <c r="J394" s="104" t="s">
        <v>159</v>
      </c>
      <c r="K394" s="69" t="s">
        <v>860</v>
      </c>
      <c r="L394" s="105">
        <v>1</v>
      </c>
      <c r="M394" s="74">
        <v>8954.927734375</v>
      </c>
      <c r="N394" s="74">
        <v>2840.150146484375</v>
      </c>
      <c r="O394" s="75"/>
      <c r="P394" s="76"/>
      <c r="Q394" s="76"/>
      <c r="R394" s="106"/>
      <c r="S394" s="48">
        <v>1</v>
      </c>
      <c r="T394" s="48">
        <v>0</v>
      </c>
      <c r="U394" s="49">
        <v>0</v>
      </c>
      <c r="V394" s="49">
        <v>0.008718</v>
      </c>
      <c r="W394" s="107"/>
      <c r="X394" s="50"/>
      <c r="Y394" s="50"/>
      <c r="Z394" s="49">
        <v>0</v>
      </c>
      <c r="AA394" s="71">
        <v>394</v>
      </c>
      <c r="AB394" s="71"/>
      <c r="AC394" s="72"/>
      <c r="AD394" s="79" t="s">
        <v>860</v>
      </c>
      <c r="AE394" s="79" t="s">
        <v>1181</v>
      </c>
      <c r="AF394" s="79"/>
      <c r="AG394" s="79" t="s">
        <v>1618</v>
      </c>
      <c r="AH394" s="79" t="s">
        <v>1916</v>
      </c>
      <c r="AI394" s="79">
        <v>15</v>
      </c>
      <c r="AJ394" s="79">
        <v>0</v>
      </c>
      <c r="AK394" s="79">
        <v>0</v>
      </c>
      <c r="AL394" s="79">
        <v>0</v>
      </c>
      <c r="AM394" s="79" t="s">
        <v>2092</v>
      </c>
      <c r="AN394" s="114" t="str">
        <f>HYPERLINK("https://www.youtube.com/watch?v=soDZmW39l7o")</f>
        <v>https://www.youtube.com/watch?v=soDZmW39l7o</v>
      </c>
      <c r="AO394" s="78" t="str">
        <f>REPLACE(INDEX(GroupVertices[Group],MATCH(Vertices[[#This Row],[Vertex]],GroupVertices[Vertex],0)),1,1,"")</f>
        <v>omplete Careers LLP</v>
      </c>
      <c r="AP394" s="2"/>
      <c r="AQ394" s="3"/>
      <c r="AR394" s="3"/>
      <c r="AS394" s="3"/>
      <c r="AT394" s="3"/>
    </row>
    <row r="395" spans="1:46" ht="15">
      <c r="A395" s="64" t="s">
        <v>444</v>
      </c>
      <c r="B395" s="65"/>
      <c r="C395" s="65"/>
      <c r="D395" s="66">
        <v>150</v>
      </c>
      <c r="E395" s="102">
        <v>97.85714285714286</v>
      </c>
      <c r="F395" s="98" t="str">
        <f>HYPERLINK("https://i.ytimg.com/vi/5MhMOH6a13E/default.jpg")</f>
        <v>https://i.ytimg.com/vi/5MhMOH6a13E/default.jpg</v>
      </c>
      <c r="G395" s="100"/>
      <c r="H395" s="69" t="s">
        <v>862</v>
      </c>
      <c r="I395" s="70"/>
      <c r="J395" s="104" t="s">
        <v>159</v>
      </c>
      <c r="K395" s="69" t="s">
        <v>862</v>
      </c>
      <c r="L395" s="105">
        <v>1</v>
      </c>
      <c r="M395" s="74">
        <v>9029.1240234375</v>
      </c>
      <c r="N395" s="74">
        <v>2372.940185546875</v>
      </c>
      <c r="O395" s="75"/>
      <c r="P395" s="76"/>
      <c r="Q395" s="76"/>
      <c r="R395" s="106"/>
      <c r="S395" s="48">
        <v>1</v>
      </c>
      <c r="T395" s="48">
        <v>0</v>
      </c>
      <c r="U395" s="49">
        <v>0</v>
      </c>
      <c r="V395" s="49">
        <v>0.008718</v>
      </c>
      <c r="W395" s="107"/>
      <c r="X395" s="50"/>
      <c r="Y395" s="50"/>
      <c r="Z395" s="49">
        <v>0</v>
      </c>
      <c r="AA395" s="71">
        <v>395</v>
      </c>
      <c r="AB395" s="71"/>
      <c r="AC395" s="72"/>
      <c r="AD395" s="79" t="s">
        <v>862</v>
      </c>
      <c r="AE395" s="79" t="s">
        <v>1182</v>
      </c>
      <c r="AF395" s="79" t="s">
        <v>1403</v>
      </c>
      <c r="AG395" s="79" t="s">
        <v>1612</v>
      </c>
      <c r="AH395" s="79" t="s">
        <v>1918</v>
      </c>
      <c r="AI395" s="79">
        <v>6</v>
      </c>
      <c r="AJ395" s="79">
        <v>0</v>
      </c>
      <c r="AK395" s="79">
        <v>0</v>
      </c>
      <c r="AL395" s="79">
        <v>0</v>
      </c>
      <c r="AM395" s="79" t="s">
        <v>2092</v>
      </c>
      <c r="AN395" s="114" t="str">
        <f>HYPERLINK("https://www.youtube.com/watch?v=5MhMOH6a13E")</f>
        <v>https://www.youtube.com/watch?v=5MhMOH6a13E</v>
      </c>
      <c r="AO395" s="78" t="str">
        <f>REPLACE(INDEX(GroupVertices[Group],MATCH(Vertices[[#This Row],[Vertex]],GroupVertices[Vertex],0)),1,1,"")</f>
        <v>lueSky Learning</v>
      </c>
      <c r="AP395" s="2"/>
      <c r="AQ395" s="3"/>
      <c r="AR395" s="3"/>
      <c r="AS395" s="3"/>
      <c r="AT395" s="3"/>
    </row>
    <row r="396" spans="1:46" ht="15">
      <c r="A396" s="64" t="s">
        <v>433</v>
      </c>
      <c r="B396" s="65"/>
      <c r="C396" s="65"/>
      <c r="D396" s="66">
        <v>150</v>
      </c>
      <c r="E396" s="102">
        <v>97.85714285714286</v>
      </c>
      <c r="F396" s="98" t="str">
        <f>HYPERLINK("https://i.ytimg.com/vi/w-MSmkfbYco/default.jpg")</f>
        <v>https://i.ytimg.com/vi/w-MSmkfbYco/default.jpg</v>
      </c>
      <c r="G396" s="100"/>
      <c r="H396" s="69" t="s">
        <v>851</v>
      </c>
      <c r="I396" s="70"/>
      <c r="J396" s="104" t="s">
        <v>159</v>
      </c>
      <c r="K396" s="69" t="s">
        <v>851</v>
      </c>
      <c r="L396" s="105">
        <v>1</v>
      </c>
      <c r="M396" s="74">
        <v>9609.9609375</v>
      </c>
      <c r="N396" s="74">
        <v>2510.985107421875</v>
      </c>
      <c r="O396" s="75"/>
      <c r="P396" s="76"/>
      <c r="Q396" s="76"/>
      <c r="R396" s="106"/>
      <c r="S396" s="48">
        <v>1</v>
      </c>
      <c r="T396" s="48">
        <v>0</v>
      </c>
      <c r="U396" s="49">
        <v>0</v>
      </c>
      <c r="V396" s="49">
        <v>0.008718</v>
      </c>
      <c r="W396" s="107"/>
      <c r="X396" s="50"/>
      <c r="Y396" s="50"/>
      <c r="Z396" s="49">
        <v>0</v>
      </c>
      <c r="AA396" s="71">
        <v>396</v>
      </c>
      <c r="AB396" s="71"/>
      <c r="AC396" s="72"/>
      <c r="AD396" s="79" t="s">
        <v>851</v>
      </c>
      <c r="AE396" s="79" t="s">
        <v>1174</v>
      </c>
      <c r="AF396" s="79" t="s">
        <v>1400</v>
      </c>
      <c r="AG396" s="79" t="s">
        <v>1612</v>
      </c>
      <c r="AH396" s="79" t="s">
        <v>1907</v>
      </c>
      <c r="AI396" s="79">
        <v>7</v>
      </c>
      <c r="AJ396" s="79">
        <v>0</v>
      </c>
      <c r="AK396" s="79">
        <v>0</v>
      </c>
      <c r="AL396" s="79">
        <v>0</v>
      </c>
      <c r="AM396" s="79" t="s">
        <v>2092</v>
      </c>
      <c r="AN396" s="114" t="str">
        <f>HYPERLINK("https://www.youtube.com/watch?v=w-MSmkfbYco")</f>
        <v>https://www.youtube.com/watch?v=w-MSmkfbYco</v>
      </c>
      <c r="AO396" s="78" t="str">
        <f>REPLACE(INDEX(GroupVertices[Group],MATCH(Vertices[[#This Row],[Vertex]],GroupVertices[Vertex],0)),1,1,"")</f>
        <v>lueSky Learning</v>
      </c>
      <c r="AP396" s="2"/>
      <c r="AQ396" s="3"/>
      <c r="AR396" s="3"/>
      <c r="AS396" s="3"/>
      <c r="AT396" s="3"/>
    </row>
    <row r="397" spans="1:46" ht="15">
      <c r="A397" s="64" t="s">
        <v>445</v>
      </c>
      <c r="B397" s="65"/>
      <c r="C397" s="65"/>
      <c r="D397" s="66">
        <v>150</v>
      </c>
      <c r="E397" s="102">
        <v>97.85714285714286</v>
      </c>
      <c r="F397" s="98" t="str">
        <f>HYPERLINK("https://i.ytimg.com/vi/KQKH_4dybPA/default.jpg")</f>
        <v>https://i.ytimg.com/vi/KQKH_4dybPA/default.jpg</v>
      </c>
      <c r="G397" s="100"/>
      <c r="H397" s="69" t="s">
        <v>863</v>
      </c>
      <c r="I397" s="70"/>
      <c r="J397" s="104" t="s">
        <v>159</v>
      </c>
      <c r="K397" s="69" t="s">
        <v>863</v>
      </c>
      <c r="L397" s="105">
        <v>1</v>
      </c>
      <c r="M397" s="74">
        <v>9677.2119140625</v>
      </c>
      <c r="N397" s="74">
        <v>3432.397216796875</v>
      </c>
      <c r="O397" s="75"/>
      <c r="P397" s="76"/>
      <c r="Q397" s="76"/>
      <c r="R397" s="106"/>
      <c r="S397" s="48">
        <v>1</v>
      </c>
      <c r="T397" s="48">
        <v>0</v>
      </c>
      <c r="U397" s="49">
        <v>0</v>
      </c>
      <c r="V397" s="49">
        <v>0.008718</v>
      </c>
      <c r="W397" s="107"/>
      <c r="X397" s="50"/>
      <c r="Y397" s="50"/>
      <c r="Z397" s="49">
        <v>0</v>
      </c>
      <c r="AA397" s="71">
        <v>397</v>
      </c>
      <c r="AB397" s="71"/>
      <c r="AC397" s="72"/>
      <c r="AD397" s="79" t="s">
        <v>863</v>
      </c>
      <c r="AE397" s="79" t="s">
        <v>1183</v>
      </c>
      <c r="AF397" s="79"/>
      <c r="AG397" s="79" t="s">
        <v>1619</v>
      </c>
      <c r="AH397" s="79" t="s">
        <v>1919</v>
      </c>
      <c r="AI397" s="79">
        <v>2</v>
      </c>
      <c r="AJ397" s="79">
        <v>0</v>
      </c>
      <c r="AK397" s="79">
        <v>0</v>
      </c>
      <c r="AL397" s="79">
        <v>0</v>
      </c>
      <c r="AM397" s="79" t="s">
        <v>2092</v>
      </c>
      <c r="AN397" s="114" t="str">
        <f>HYPERLINK("https://www.youtube.com/watch?v=KQKH_4dybPA")</f>
        <v>https://www.youtube.com/watch?v=KQKH_4dybPA</v>
      </c>
      <c r="AO397" s="78" t="str">
        <f>REPLACE(INDEX(GroupVertices[Group],MATCH(Vertices[[#This Row],[Vertex]],GroupVertices[Vertex],0)),1,1,"")</f>
        <v>ivitas Strategies</v>
      </c>
      <c r="AP397" s="2"/>
      <c r="AQ397" s="3"/>
      <c r="AR397" s="3"/>
      <c r="AS397" s="3"/>
      <c r="AT397" s="3"/>
    </row>
    <row r="398" spans="1:46" ht="15">
      <c r="A398" s="64" t="s">
        <v>434</v>
      </c>
      <c r="B398" s="65"/>
      <c r="C398" s="65"/>
      <c r="D398" s="66">
        <v>150</v>
      </c>
      <c r="E398" s="102">
        <v>97.85714285714286</v>
      </c>
      <c r="F398" s="98" t="str">
        <f>HYPERLINK("https://i.ytimg.com/vi/I7yagE88gjU/default.jpg")</f>
        <v>https://i.ytimg.com/vi/I7yagE88gjU/default.jpg</v>
      </c>
      <c r="G398" s="100"/>
      <c r="H398" s="69" t="s">
        <v>852</v>
      </c>
      <c r="I398" s="70"/>
      <c r="J398" s="104" t="s">
        <v>159</v>
      </c>
      <c r="K398" s="69" t="s">
        <v>852</v>
      </c>
      <c r="L398" s="105">
        <v>1</v>
      </c>
      <c r="M398" s="74">
        <v>9842.28125</v>
      </c>
      <c r="N398" s="74">
        <v>2460.826416015625</v>
      </c>
      <c r="O398" s="75"/>
      <c r="P398" s="76"/>
      <c r="Q398" s="76"/>
      <c r="R398" s="106"/>
      <c r="S398" s="48">
        <v>1</v>
      </c>
      <c r="T398" s="48">
        <v>0</v>
      </c>
      <c r="U398" s="49">
        <v>0</v>
      </c>
      <c r="V398" s="49">
        <v>0.008718</v>
      </c>
      <c r="W398" s="107"/>
      <c r="X398" s="50"/>
      <c r="Y398" s="50"/>
      <c r="Z398" s="49">
        <v>0</v>
      </c>
      <c r="AA398" s="71">
        <v>398</v>
      </c>
      <c r="AB398" s="71"/>
      <c r="AC398" s="72"/>
      <c r="AD398" s="79" t="s">
        <v>852</v>
      </c>
      <c r="AE398" s="79" t="s">
        <v>1175</v>
      </c>
      <c r="AF398" s="79"/>
      <c r="AG398" s="79" t="s">
        <v>1610</v>
      </c>
      <c r="AH398" s="79" t="s">
        <v>1908</v>
      </c>
      <c r="AI398" s="79">
        <v>105</v>
      </c>
      <c r="AJ398" s="79">
        <v>0</v>
      </c>
      <c r="AK398" s="79">
        <v>0</v>
      </c>
      <c r="AL398" s="79">
        <v>0</v>
      </c>
      <c r="AM398" s="79" t="s">
        <v>2092</v>
      </c>
      <c r="AN398" s="114" t="str">
        <f>HYPERLINK("https://www.youtube.com/watch?v=I7yagE88gjU")</f>
        <v>https://www.youtube.com/watch?v=I7yagE88gjU</v>
      </c>
      <c r="AO398" s="78" t="str">
        <f>REPLACE(INDEX(GroupVertices[Group],MATCH(Vertices[[#This Row],[Vertex]],GroupVertices[Vertex],0)),1,1,"")</f>
        <v>SS Learning</v>
      </c>
      <c r="AP398" s="2"/>
      <c r="AQ398" s="3"/>
      <c r="AR398" s="3"/>
      <c r="AS398" s="3"/>
      <c r="AT398" s="3"/>
    </row>
    <row r="399" spans="1:46" ht="15">
      <c r="A399" s="64" t="s">
        <v>435</v>
      </c>
      <c r="B399" s="65"/>
      <c r="C399" s="65"/>
      <c r="D399" s="66">
        <v>150</v>
      </c>
      <c r="E399" s="102">
        <v>97.85714285714286</v>
      </c>
      <c r="F399" s="98" t="str">
        <f>HYPERLINK("https://i.ytimg.com/vi/0MX9SZOkOJk/default.jpg")</f>
        <v>https://i.ytimg.com/vi/0MX9SZOkOJk/default.jpg</v>
      </c>
      <c r="G399" s="100"/>
      <c r="H399" s="69" t="s">
        <v>853</v>
      </c>
      <c r="I399" s="70"/>
      <c r="J399" s="104" t="s">
        <v>159</v>
      </c>
      <c r="K399" s="69" t="s">
        <v>853</v>
      </c>
      <c r="L399" s="105">
        <v>1</v>
      </c>
      <c r="M399" s="74">
        <v>9221.005859375</v>
      </c>
      <c r="N399" s="74">
        <v>2147.09228515625</v>
      </c>
      <c r="O399" s="75"/>
      <c r="P399" s="76"/>
      <c r="Q399" s="76"/>
      <c r="R399" s="106"/>
      <c r="S399" s="48">
        <v>1</v>
      </c>
      <c r="T399" s="48">
        <v>0</v>
      </c>
      <c r="U399" s="49">
        <v>0</v>
      </c>
      <c r="V399" s="49">
        <v>0.008718</v>
      </c>
      <c r="W399" s="107"/>
      <c r="X399" s="50"/>
      <c r="Y399" s="50"/>
      <c r="Z399" s="49">
        <v>0</v>
      </c>
      <c r="AA399" s="71">
        <v>399</v>
      </c>
      <c r="AB399" s="71"/>
      <c r="AC399" s="72"/>
      <c r="AD399" s="79" t="s">
        <v>853</v>
      </c>
      <c r="AE399" s="79" t="s">
        <v>1176</v>
      </c>
      <c r="AF399" s="79" t="s">
        <v>1401</v>
      </c>
      <c r="AG399" s="79" t="s">
        <v>1610</v>
      </c>
      <c r="AH399" s="79" t="s">
        <v>1909</v>
      </c>
      <c r="AI399" s="79">
        <v>157</v>
      </c>
      <c r="AJ399" s="79">
        <v>0</v>
      </c>
      <c r="AK399" s="79">
        <v>1</v>
      </c>
      <c r="AL399" s="79">
        <v>0</v>
      </c>
      <c r="AM399" s="79" t="s">
        <v>2092</v>
      </c>
      <c r="AN399" s="114" t="str">
        <f>HYPERLINK("https://www.youtube.com/watch?v=0MX9SZOkOJk")</f>
        <v>https://www.youtube.com/watch?v=0MX9SZOkOJk</v>
      </c>
      <c r="AO399" s="78" t="str">
        <f>REPLACE(INDEX(GroupVertices[Group],MATCH(Vertices[[#This Row],[Vertex]],GroupVertices[Vertex],0)),1,1,"")</f>
        <v>SS Learning</v>
      </c>
      <c r="AP399" s="2"/>
      <c r="AQ399" s="3"/>
      <c r="AR399" s="3"/>
      <c r="AS399" s="3"/>
      <c r="AT399" s="3"/>
    </row>
    <row r="400" spans="1:46" ht="15">
      <c r="A400" s="64" t="s">
        <v>446</v>
      </c>
      <c r="B400" s="65"/>
      <c r="C400" s="65"/>
      <c r="D400" s="66">
        <v>150</v>
      </c>
      <c r="E400" s="102">
        <v>97.85714285714286</v>
      </c>
      <c r="F400" s="98" t="str">
        <f>HYPERLINK("https://i.ytimg.com/vi/NmEnwaAhFnc/default.jpg")</f>
        <v>https://i.ytimg.com/vi/NmEnwaAhFnc/default.jpg</v>
      </c>
      <c r="G400" s="100"/>
      <c r="H400" s="69" t="s">
        <v>864</v>
      </c>
      <c r="I400" s="70"/>
      <c r="J400" s="104" t="s">
        <v>159</v>
      </c>
      <c r="K400" s="69" t="s">
        <v>864</v>
      </c>
      <c r="L400" s="105">
        <v>1</v>
      </c>
      <c r="M400" s="74">
        <v>9647.3916015625</v>
      </c>
      <c r="N400" s="74">
        <v>2123.456787109375</v>
      </c>
      <c r="O400" s="75"/>
      <c r="P400" s="76"/>
      <c r="Q400" s="76"/>
      <c r="R400" s="106"/>
      <c r="S400" s="48">
        <v>1</v>
      </c>
      <c r="T400" s="48">
        <v>0</v>
      </c>
      <c r="U400" s="49">
        <v>0</v>
      </c>
      <c r="V400" s="49">
        <v>0.008718</v>
      </c>
      <c r="W400" s="107"/>
      <c r="X400" s="50"/>
      <c r="Y400" s="50"/>
      <c r="Z400" s="49">
        <v>0</v>
      </c>
      <c r="AA400" s="71">
        <v>400</v>
      </c>
      <c r="AB400" s="71"/>
      <c r="AC400" s="72"/>
      <c r="AD400" s="79" t="s">
        <v>864</v>
      </c>
      <c r="AE400" s="79" t="s">
        <v>1184</v>
      </c>
      <c r="AF400" s="79"/>
      <c r="AG400" s="79" t="s">
        <v>1610</v>
      </c>
      <c r="AH400" s="79" t="s">
        <v>1920</v>
      </c>
      <c r="AI400" s="79">
        <v>522</v>
      </c>
      <c r="AJ400" s="79">
        <v>0</v>
      </c>
      <c r="AK400" s="79">
        <v>4</v>
      </c>
      <c r="AL400" s="79">
        <v>0</v>
      </c>
      <c r="AM400" s="79" t="s">
        <v>2092</v>
      </c>
      <c r="AN400" s="114" t="str">
        <f>HYPERLINK("https://www.youtube.com/watch?v=NmEnwaAhFnc")</f>
        <v>https://www.youtube.com/watch?v=NmEnwaAhFnc</v>
      </c>
      <c r="AO400" s="78" t="str">
        <f>REPLACE(INDEX(GroupVertices[Group],MATCH(Vertices[[#This Row],[Vertex]],GroupVertices[Vertex],0)),1,1,"")</f>
        <v>SS Learning</v>
      </c>
      <c r="AP400" s="2"/>
      <c r="AQ400" s="3"/>
      <c r="AR400" s="3"/>
      <c r="AS400" s="3"/>
      <c r="AT400" s="3"/>
    </row>
    <row r="401" spans="1:46" ht="15">
      <c r="A401" s="64" t="s">
        <v>458</v>
      </c>
      <c r="B401" s="65"/>
      <c r="C401" s="65"/>
      <c r="D401" s="66">
        <v>150</v>
      </c>
      <c r="E401" s="102">
        <v>97.85714285714286</v>
      </c>
      <c r="F401" s="98" t="str">
        <f>HYPERLINK("https://i.ytimg.com/vi/YHpY7QvTu_4/default.jpg")</f>
        <v>https://i.ytimg.com/vi/YHpY7QvTu_4/default.jpg</v>
      </c>
      <c r="G401" s="100"/>
      <c r="H401" s="69" t="s">
        <v>878</v>
      </c>
      <c r="I401" s="70"/>
      <c r="J401" s="104" t="s">
        <v>159</v>
      </c>
      <c r="K401" s="69" t="s">
        <v>878</v>
      </c>
      <c r="L401" s="105">
        <v>1</v>
      </c>
      <c r="M401" s="74">
        <v>9358.54296875</v>
      </c>
      <c r="N401" s="74">
        <v>1729.5107421875</v>
      </c>
      <c r="O401" s="75"/>
      <c r="P401" s="76"/>
      <c r="Q401" s="76"/>
      <c r="R401" s="106"/>
      <c r="S401" s="48">
        <v>1</v>
      </c>
      <c r="T401" s="48">
        <v>0</v>
      </c>
      <c r="U401" s="49">
        <v>0</v>
      </c>
      <c r="V401" s="49">
        <v>0.119647</v>
      </c>
      <c r="W401" s="107"/>
      <c r="X401" s="50"/>
      <c r="Y401" s="50"/>
      <c r="Z401" s="49">
        <v>0</v>
      </c>
      <c r="AA401" s="71">
        <v>401</v>
      </c>
      <c r="AB401" s="71"/>
      <c r="AC401" s="72"/>
      <c r="AD401" s="79" t="s">
        <v>878</v>
      </c>
      <c r="AE401" s="79"/>
      <c r="AF401" s="79"/>
      <c r="AG401" s="79" t="s">
        <v>1632</v>
      </c>
      <c r="AH401" s="79" t="s">
        <v>1934</v>
      </c>
      <c r="AI401" s="79">
        <v>7</v>
      </c>
      <c r="AJ401" s="79">
        <v>0</v>
      </c>
      <c r="AK401" s="79">
        <v>0</v>
      </c>
      <c r="AL401" s="79">
        <v>0</v>
      </c>
      <c r="AM401" s="79" t="s">
        <v>2092</v>
      </c>
      <c r="AN401" s="114" t="str">
        <f>HYPERLINK("https://www.youtube.com/watch?v=YHpY7QvTu_4")</f>
        <v>https://www.youtube.com/watch?v=YHpY7QvTu_4</v>
      </c>
      <c r="AO401" s="78" t="str">
        <f>REPLACE(INDEX(GroupVertices[Group],MATCH(Vertices[[#This Row],[Vertex]],GroupVertices[Vertex],0)),1,1,"")</f>
        <v>atie Brooks</v>
      </c>
      <c r="AP401" s="2"/>
      <c r="AQ401" s="3"/>
      <c r="AR401" s="3"/>
      <c r="AS401" s="3"/>
      <c r="AT401" s="3"/>
    </row>
    <row r="402" spans="1:46" ht="15">
      <c r="A402" s="64" t="s">
        <v>459</v>
      </c>
      <c r="B402" s="65"/>
      <c r="C402" s="65"/>
      <c r="D402" s="66">
        <v>150</v>
      </c>
      <c r="E402" s="102">
        <v>95.71428571428571</v>
      </c>
      <c r="F402" s="98" t="str">
        <f>HYPERLINK("https://i.ytimg.com/vi/c-Rz13B18X8/default.jpg")</f>
        <v>https://i.ytimg.com/vi/c-Rz13B18X8/default.jpg</v>
      </c>
      <c r="G402" s="100"/>
      <c r="H402" s="69" t="s">
        <v>879</v>
      </c>
      <c r="I402" s="70"/>
      <c r="J402" s="104" t="s">
        <v>75</v>
      </c>
      <c r="K402" s="69" t="s">
        <v>879</v>
      </c>
      <c r="L402" s="105">
        <v>1172.767856329954</v>
      </c>
      <c r="M402" s="74">
        <v>9526.619140625</v>
      </c>
      <c r="N402" s="74">
        <v>1925.0948486328125</v>
      </c>
      <c r="O402" s="75"/>
      <c r="P402" s="76"/>
      <c r="Q402" s="76"/>
      <c r="R402" s="106"/>
      <c r="S402" s="48">
        <v>2</v>
      </c>
      <c r="T402" s="48">
        <v>0</v>
      </c>
      <c r="U402" s="49">
        <v>16368</v>
      </c>
      <c r="V402" s="49">
        <v>0.171309</v>
      </c>
      <c r="W402" s="107"/>
      <c r="X402" s="50"/>
      <c r="Y402" s="50"/>
      <c r="Z402" s="49">
        <v>0</v>
      </c>
      <c r="AA402" s="71">
        <v>402</v>
      </c>
      <c r="AB402" s="71"/>
      <c r="AC402" s="72"/>
      <c r="AD402" s="79" t="s">
        <v>879</v>
      </c>
      <c r="AE402" s="79"/>
      <c r="AF402" s="79"/>
      <c r="AG402" s="79" t="s">
        <v>1633</v>
      </c>
      <c r="AH402" s="79" t="s">
        <v>1935</v>
      </c>
      <c r="AI402" s="79">
        <v>0</v>
      </c>
      <c r="AJ402" s="79">
        <v>0</v>
      </c>
      <c r="AK402" s="79">
        <v>0</v>
      </c>
      <c r="AL402" s="79">
        <v>0</v>
      </c>
      <c r="AM402" s="79" t="s">
        <v>2092</v>
      </c>
      <c r="AN402" s="114" t="str">
        <f>HYPERLINK("https://www.youtube.com/watch?v=c-Rz13B18X8")</f>
        <v>https://www.youtube.com/watch?v=c-Rz13B18X8</v>
      </c>
      <c r="AO402" s="78" t="str">
        <f>REPLACE(INDEX(GroupVertices[Group],MATCH(Vertices[[#This Row],[Vertex]],GroupVertices[Vertex],0)),1,1,"")</f>
        <v>nwen Middleton</v>
      </c>
      <c r="AP402" s="2"/>
      <c r="AQ402" s="3"/>
      <c r="AR402" s="3"/>
      <c r="AS402" s="3"/>
      <c r="AT402" s="3"/>
    </row>
    <row r="403" spans="1:46" ht="15">
      <c r="A403" s="64" t="s">
        <v>460</v>
      </c>
      <c r="B403" s="65"/>
      <c r="C403" s="65"/>
      <c r="D403" s="66">
        <v>150</v>
      </c>
      <c r="E403" s="102">
        <v>97.85714285714286</v>
      </c>
      <c r="F403" s="98" t="str">
        <f>HYPERLINK("https://i.ytimg.com/vi/bnIq8dqjmHs/default.jpg")</f>
        <v>https://i.ytimg.com/vi/bnIq8dqjmHs/default.jpg</v>
      </c>
      <c r="G403" s="100"/>
      <c r="H403" s="69" t="s">
        <v>880</v>
      </c>
      <c r="I403" s="70"/>
      <c r="J403" s="104" t="s">
        <v>159</v>
      </c>
      <c r="K403" s="69" t="s">
        <v>880</v>
      </c>
      <c r="L403" s="105">
        <v>1</v>
      </c>
      <c r="M403" s="74">
        <v>9680.5625</v>
      </c>
      <c r="N403" s="74">
        <v>1859.2220458984375</v>
      </c>
      <c r="O403" s="75"/>
      <c r="P403" s="76"/>
      <c r="Q403" s="76"/>
      <c r="R403" s="106"/>
      <c r="S403" s="48">
        <v>1</v>
      </c>
      <c r="T403" s="48">
        <v>0</v>
      </c>
      <c r="U403" s="49">
        <v>0</v>
      </c>
      <c r="V403" s="49">
        <v>0.119647</v>
      </c>
      <c r="W403" s="107"/>
      <c r="X403" s="50"/>
      <c r="Y403" s="50"/>
      <c r="Z403" s="49">
        <v>0</v>
      </c>
      <c r="AA403" s="71">
        <v>403</v>
      </c>
      <c r="AB403" s="71"/>
      <c r="AC403" s="72"/>
      <c r="AD403" s="79" t="s">
        <v>880</v>
      </c>
      <c r="AE403" s="79"/>
      <c r="AF403" s="79"/>
      <c r="AG403" s="79" t="s">
        <v>1634</v>
      </c>
      <c r="AH403" s="79" t="s">
        <v>1936</v>
      </c>
      <c r="AI403" s="79">
        <v>9</v>
      </c>
      <c r="AJ403" s="79">
        <v>2</v>
      </c>
      <c r="AK403" s="79">
        <v>1</v>
      </c>
      <c r="AL403" s="79">
        <v>0</v>
      </c>
      <c r="AM403" s="79" t="s">
        <v>2092</v>
      </c>
      <c r="AN403" s="114" t="str">
        <f>HYPERLINK("https://www.youtube.com/watch?v=bnIq8dqjmHs")</f>
        <v>https://www.youtube.com/watch?v=bnIq8dqjmHs</v>
      </c>
      <c r="AO403" s="78" t="str">
        <f>REPLACE(INDEX(GroupVertices[Group],MATCH(Vertices[[#This Row],[Vertex]],GroupVertices[Vertex],0)),1,1,"")</f>
        <v>ivenita</v>
      </c>
      <c r="AP403" s="2"/>
      <c r="AQ403" s="3"/>
      <c r="AR403" s="3"/>
      <c r="AS403" s="3"/>
      <c r="AT403" s="3"/>
    </row>
    <row r="404" spans="1:46" ht="15">
      <c r="A404" s="64" t="s">
        <v>457</v>
      </c>
      <c r="B404" s="65"/>
      <c r="C404" s="65"/>
      <c r="D404" s="66">
        <v>150</v>
      </c>
      <c r="E404" s="102">
        <v>97.85714285714286</v>
      </c>
      <c r="F404" s="98" t="str">
        <f>HYPERLINK("https://i.ytimg.com/vi/iMr7jsUyQ1Y/default.jpg")</f>
        <v>https://i.ytimg.com/vi/iMr7jsUyQ1Y/default.jpg</v>
      </c>
      <c r="G404" s="100"/>
      <c r="H404" s="69" t="s">
        <v>877</v>
      </c>
      <c r="I404" s="70"/>
      <c r="J404" s="104" t="s">
        <v>159</v>
      </c>
      <c r="K404" s="69" t="s">
        <v>877</v>
      </c>
      <c r="L404" s="105">
        <v>1</v>
      </c>
      <c r="M404" s="74">
        <v>9823.4287109375</v>
      </c>
      <c r="N404" s="74">
        <v>1600.388671875</v>
      </c>
      <c r="O404" s="75"/>
      <c r="P404" s="76"/>
      <c r="Q404" s="76"/>
      <c r="R404" s="106"/>
      <c r="S404" s="48">
        <v>1</v>
      </c>
      <c r="T404" s="48">
        <v>0</v>
      </c>
      <c r="U404" s="49">
        <v>0</v>
      </c>
      <c r="V404" s="49">
        <v>0.119647</v>
      </c>
      <c r="W404" s="107"/>
      <c r="X404" s="50"/>
      <c r="Y404" s="50"/>
      <c r="Z404" s="49">
        <v>0</v>
      </c>
      <c r="AA404" s="71">
        <v>404</v>
      </c>
      <c r="AB404" s="71"/>
      <c r="AC404" s="72"/>
      <c r="AD404" s="79" t="s">
        <v>877</v>
      </c>
      <c r="AE404" s="79"/>
      <c r="AF404" s="79"/>
      <c r="AG404" s="79" t="s">
        <v>1631</v>
      </c>
      <c r="AH404" s="79" t="s">
        <v>1933</v>
      </c>
      <c r="AI404" s="79">
        <v>37</v>
      </c>
      <c r="AJ404" s="79">
        <v>0</v>
      </c>
      <c r="AK404" s="79">
        <v>0</v>
      </c>
      <c r="AL404" s="79">
        <v>0</v>
      </c>
      <c r="AM404" s="79" t="s">
        <v>2092</v>
      </c>
      <c r="AN404" s="114" t="str">
        <f>HYPERLINK("https://www.youtube.com/watch?v=iMr7jsUyQ1Y")</f>
        <v>https://www.youtube.com/watch?v=iMr7jsUyQ1Y</v>
      </c>
      <c r="AO404" s="78" t="str">
        <f>REPLACE(INDEX(GroupVertices[Group],MATCH(Vertices[[#This Row],[Vertex]],GroupVertices[Vertex],0)),1,1,"")</f>
        <v>oe Tayler</v>
      </c>
      <c r="AP404" s="2"/>
      <c r="AQ404" s="3"/>
      <c r="AR404" s="3"/>
      <c r="AS404" s="3"/>
      <c r="AT404" s="3"/>
    </row>
    <row r="405" spans="1:46" ht="15">
      <c r="A405" s="64" t="s">
        <v>461</v>
      </c>
      <c r="B405" s="65"/>
      <c r="C405" s="65"/>
      <c r="D405" s="66">
        <v>150</v>
      </c>
      <c r="E405" s="102">
        <v>97.85714285714286</v>
      </c>
      <c r="F405" s="98" t="str">
        <f>HYPERLINK("https://i.ytimg.com/vi/CUUWG2iZmuA/default.jpg")</f>
        <v>https://i.ytimg.com/vi/CUUWG2iZmuA/default.jpg</v>
      </c>
      <c r="G405" s="100"/>
      <c r="H405" s="69" t="s">
        <v>881</v>
      </c>
      <c r="I405" s="70"/>
      <c r="J405" s="104" t="s">
        <v>159</v>
      </c>
      <c r="K405" s="69" t="s">
        <v>881</v>
      </c>
      <c r="L405" s="105">
        <v>1</v>
      </c>
      <c r="M405" s="74">
        <v>9752.9951171875</v>
      </c>
      <c r="N405" s="74">
        <v>338.2640380859375</v>
      </c>
      <c r="O405" s="75"/>
      <c r="P405" s="76"/>
      <c r="Q405" s="76"/>
      <c r="R405" s="106"/>
      <c r="S405" s="48">
        <v>1</v>
      </c>
      <c r="T405" s="48">
        <v>0</v>
      </c>
      <c r="U405" s="49">
        <v>0</v>
      </c>
      <c r="V405" s="49">
        <v>0.119647</v>
      </c>
      <c r="W405" s="107"/>
      <c r="X405" s="50"/>
      <c r="Y405" s="50"/>
      <c r="Z405" s="49">
        <v>0</v>
      </c>
      <c r="AA405" s="71">
        <v>405</v>
      </c>
      <c r="AB405" s="71"/>
      <c r="AC405" s="72"/>
      <c r="AD405" s="79" t="s">
        <v>881</v>
      </c>
      <c r="AE405" s="79" t="s">
        <v>1061</v>
      </c>
      <c r="AF405" s="79" t="s">
        <v>1406</v>
      </c>
      <c r="AG405" s="79" t="s">
        <v>1635</v>
      </c>
      <c r="AH405" s="79" t="s">
        <v>1937</v>
      </c>
      <c r="AI405" s="79">
        <v>0</v>
      </c>
      <c r="AJ405" s="79">
        <v>0</v>
      </c>
      <c r="AK405" s="79">
        <v>0</v>
      </c>
      <c r="AL405" s="79">
        <v>0</v>
      </c>
      <c r="AM405" s="79" t="s">
        <v>2092</v>
      </c>
      <c r="AN405" s="114" t="str">
        <f>HYPERLINK("https://www.youtube.com/watch?v=CUUWG2iZmuA")</f>
        <v>https://www.youtube.com/watch?v=CUUWG2iZmuA</v>
      </c>
      <c r="AO405" s="78" t="str">
        <f>REPLACE(INDEX(GroupVertices[Group],MATCH(Vertices[[#This Row],[Vertex]],GroupVertices[Vertex],0)),1,1,"")</f>
        <v>ara gomez</v>
      </c>
      <c r="AP405" s="2"/>
      <c r="AQ405" s="3"/>
      <c r="AR405" s="3"/>
      <c r="AS405" s="3"/>
      <c r="AT405" s="3"/>
    </row>
    <row r="406" spans="1:46" ht="15">
      <c r="A406" s="64" t="s">
        <v>462</v>
      </c>
      <c r="B406" s="65"/>
      <c r="C406" s="65"/>
      <c r="D406" s="66">
        <v>150</v>
      </c>
      <c r="E406" s="102">
        <v>97.85714285714286</v>
      </c>
      <c r="F406" s="98" t="str">
        <f>HYPERLINK("https://i.ytimg.com/vi/Bamy1cBWBiY/default.jpg")</f>
        <v>https://i.ytimg.com/vi/Bamy1cBWBiY/default.jpg</v>
      </c>
      <c r="G406" s="100"/>
      <c r="H406" s="69" t="s">
        <v>882</v>
      </c>
      <c r="I406" s="70"/>
      <c r="J406" s="104" t="s">
        <v>159</v>
      </c>
      <c r="K406" s="69" t="s">
        <v>882</v>
      </c>
      <c r="L406" s="105">
        <v>1</v>
      </c>
      <c r="M406" s="74">
        <v>9462.7919921875</v>
      </c>
      <c r="N406" s="74">
        <v>204.47889709472656</v>
      </c>
      <c r="O406" s="75"/>
      <c r="P406" s="76"/>
      <c r="Q406" s="76"/>
      <c r="R406" s="106"/>
      <c r="S406" s="48">
        <v>1</v>
      </c>
      <c r="T406" s="48">
        <v>0</v>
      </c>
      <c r="U406" s="49">
        <v>0</v>
      </c>
      <c r="V406" s="49">
        <v>0.119647</v>
      </c>
      <c r="W406" s="107"/>
      <c r="X406" s="50"/>
      <c r="Y406" s="50"/>
      <c r="Z406" s="49">
        <v>0</v>
      </c>
      <c r="AA406" s="71">
        <v>406</v>
      </c>
      <c r="AB406" s="71"/>
      <c r="AC406" s="72"/>
      <c r="AD406" s="79" t="s">
        <v>882</v>
      </c>
      <c r="AE406" s="79"/>
      <c r="AF406" s="79"/>
      <c r="AG406" s="79" t="s">
        <v>1636</v>
      </c>
      <c r="AH406" s="79" t="s">
        <v>1938</v>
      </c>
      <c r="AI406" s="79">
        <v>11</v>
      </c>
      <c r="AJ406" s="79">
        <v>0</v>
      </c>
      <c r="AK406" s="79">
        <v>0</v>
      </c>
      <c r="AL406" s="79">
        <v>0</v>
      </c>
      <c r="AM406" s="79" t="s">
        <v>2092</v>
      </c>
      <c r="AN406" s="114" t="str">
        <f>HYPERLINK("https://www.youtube.com/watch?v=Bamy1cBWBiY")</f>
        <v>https://www.youtube.com/watch?v=Bamy1cBWBiY</v>
      </c>
      <c r="AO406" s="78" t="str">
        <f>REPLACE(INDEX(GroupVertices[Group],MATCH(Vertices[[#This Row],[Vertex]],GroupVertices[Vertex],0)),1,1,"")</f>
        <v>lmy Bonafita</v>
      </c>
      <c r="AP406" s="2"/>
      <c r="AQ406" s="3"/>
      <c r="AR406" s="3"/>
      <c r="AS406" s="3"/>
      <c r="AT406" s="3"/>
    </row>
    <row r="407" spans="1:46" ht="15">
      <c r="A407" s="64" t="s">
        <v>465</v>
      </c>
      <c r="B407" s="65"/>
      <c r="C407" s="65"/>
      <c r="D407" s="66">
        <v>150</v>
      </c>
      <c r="E407" s="102">
        <v>97.85714285714286</v>
      </c>
      <c r="F407" s="98" t="str">
        <f>HYPERLINK("https://i.ytimg.com/vi/XrsSzrOS1wk/default.jpg")</f>
        <v>https://i.ytimg.com/vi/XrsSzrOS1wk/default.jpg</v>
      </c>
      <c r="G407" s="100"/>
      <c r="H407" s="69" t="s">
        <v>885</v>
      </c>
      <c r="I407" s="70"/>
      <c r="J407" s="104" t="s">
        <v>159</v>
      </c>
      <c r="K407" s="69" t="s">
        <v>885</v>
      </c>
      <c r="L407" s="105">
        <v>1</v>
      </c>
      <c r="M407" s="74">
        <v>9812.3818359375</v>
      </c>
      <c r="N407" s="74">
        <v>1140.2901611328125</v>
      </c>
      <c r="O407" s="75"/>
      <c r="P407" s="76"/>
      <c r="Q407" s="76"/>
      <c r="R407" s="106"/>
      <c r="S407" s="48">
        <v>1</v>
      </c>
      <c r="T407" s="48">
        <v>0</v>
      </c>
      <c r="U407" s="49">
        <v>0</v>
      </c>
      <c r="V407" s="49">
        <v>0.119647</v>
      </c>
      <c r="W407" s="107"/>
      <c r="X407" s="50"/>
      <c r="Y407" s="50"/>
      <c r="Z407" s="49">
        <v>0</v>
      </c>
      <c r="AA407" s="71">
        <v>407</v>
      </c>
      <c r="AB407" s="71"/>
      <c r="AC407" s="72"/>
      <c r="AD407" s="79" t="s">
        <v>885</v>
      </c>
      <c r="AE407" s="79" t="s">
        <v>1193</v>
      </c>
      <c r="AF407" s="79"/>
      <c r="AG407" s="79" t="s">
        <v>1636</v>
      </c>
      <c r="AH407" s="79" t="s">
        <v>1941</v>
      </c>
      <c r="AI407" s="79">
        <v>1044</v>
      </c>
      <c r="AJ407" s="79">
        <v>1</v>
      </c>
      <c r="AK407" s="79">
        <v>32</v>
      </c>
      <c r="AL407" s="79">
        <v>0</v>
      </c>
      <c r="AM407" s="79" t="s">
        <v>2092</v>
      </c>
      <c r="AN407" s="114" t="str">
        <f>HYPERLINK("https://www.youtube.com/watch?v=XrsSzrOS1wk")</f>
        <v>https://www.youtube.com/watch?v=XrsSzrOS1wk</v>
      </c>
      <c r="AO407" s="78" t="str">
        <f>REPLACE(INDEX(GroupVertices[Group],MATCH(Vertices[[#This Row],[Vertex]],GroupVertices[Vertex],0)),1,1,"")</f>
        <v>lmy Bonafita</v>
      </c>
      <c r="AP407" s="2"/>
      <c r="AQ407" s="3"/>
      <c r="AR407" s="3"/>
      <c r="AS407" s="3"/>
      <c r="AT407" s="3"/>
    </row>
    <row r="408" spans="1:46" ht="15">
      <c r="A408" s="64" t="s">
        <v>464</v>
      </c>
      <c r="B408" s="65"/>
      <c r="C408" s="65"/>
      <c r="D408" s="66">
        <v>150</v>
      </c>
      <c r="E408" s="102">
        <v>97.85714285714286</v>
      </c>
      <c r="F408" s="98" t="str">
        <f>HYPERLINK("https://i.ytimg.com/vi/1w1PlRjfRhs/default.jpg")</f>
        <v>https://i.ytimg.com/vi/1w1PlRjfRhs/default.jpg</v>
      </c>
      <c r="G408" s="100"/>
      <c r="H408" s="69" t="s">
        <v>884</v>
      </c>
      <c r="I408" s="70"/>
      <c r="J408" s="104" t="s">
        <v>159</v>
      </c>
      <c r="K408" s="69" t="s">
        <v>884</v>
      </c>
      <c r="L408" s="105">
        <v>1</v>
      </c>
      <c r="M408" s="74">
        <v>9262.794921875</v>
      </c>
      <c r="N408" s="74">
        <v>1013.781982421875</v>
      </c>
      <c r="O408" s="75"/>
      <c r="P408" s="76"/>
      <c r="Q408" s="76"/>
      <c r="R408" s="106"/>
      <c r="S408" s="48">
        <v>1</v>
      </c>
      <c r="T408" s="48">
        <v>0</v>
      </c>
      <c r="U408" s="49">
        <v>0</v>
      </c>
      <c r="V408" s="49">
        <v>0.119647</v>
      </c>
      <c r="W408" s="107"/>
      <c r="X408" s="50"/>
      <c r="Y408" s="50"/>
      <c r="Z408" s="49">
        <v>0</v>
      </c>
      <c r="AA408" s="71">
        <v>408</v>
      </c>
      <c r="AB408" s="71"/>
      <c r="AC408" s="72"/>
      <c r="AD408" s="79" t="s">
        <v>884</v>
      </c>
      <c r="AE408" s="79"/>
      <c r="AF408" s="79"/>
      <c r="AG408" s="79" t="s">
        <v>1638</v>
      </c>
      <c r="AH408" s="79" t="s">
        <v>1940</v>
      </c>
      <c r="AI408" s="79">
        <v>17</v>
      </c>
      <c r="AJ408" s="79">
        <v>0</v>
      </c>
      <c r="AK408" s="79">
        <v>1</v>
      </c>
      <c r="AL408" s="79">
        <v>0</v>
      </c>
      <c r="AM408" s="79" t="s">
        <v>2092</v>
      </c>
      <c r="AN408" s="114" t="str">
        <f>HYPERLINK("https://www.youtube.com/watch?v=1w1PlRjfRhs")</f>
        <v>https://www.youtube.com/watch?v=1w1PlRjfRhs</v>
      </c>
      <c r="AO408" s="78" t="str">
        <f>REPLACE(INDEX(GroupVertices[Group],MATCH(Vertices[[#This Row],[Vertex]],GroupVertices[Vertex],0)),1,1,"")</f>
        <v>sikologi BINUS</v>
      </c>
      <c r="AP408" s="2"/>
      <c r="AQ408" s="3"/>
      <c r="AR408" s="3"/>
      <c r="AS408" s="3"/>
      <c r="AT408" s="3"/>
    </row>
    <row r="409" spans="1:46" ht="15">
      <c r="A409" s="64" t="s">
        <v>463</v>
      </c>
      <c r="B409" s="65"/>
      <c r="C409" s="65"/>
      <c r="D409" s="66">
        <v>150</v>
      </c>
      <c r="E409" s="102">
        <v>97.85714285714286</v>
      </c>
      <c r="F409" s="98" t="str">
        <f>HYPERLINK("https://i.ytimg.com/vi/PEtjAKRg9rA/default.jpg")</f>
        <v>https://i.ytimg.com/vi/PEtjAKRg9rA/default.jpg</v>
      </c>
      <c r="G409" s="100"/>
      <c r="H409" s="69" t="s">
        <v>883</v>
      </c>
      <c r="I409" s="70"/>
      <c r="J409" s="104" t="s">
        <v>159</v>
      </c>
      <c r="K409" s="69" t="s">
        <v>883</v>
      </c>
      <c r="L409" s="105">
        <v>1</v>
      </c>
      <c r="M409" s="74">
        <v>9406.1396484375</v>
      </c>
      <c r="N409" s="74">
        <v>1239.828857421875</v>
      </c>
      <c r="O409" s="75"/>
      <c r="P409" s="76"/>
      <c r="Q409" s="76"/>
      <c r="R409" s="106"/>
      <c r="S409" s="48">
        <v>1</v>
      </c>
      <c r="T409" s="48">
        <v>0</v>
      </c>
      <c r="U409" s="49">
        <v>0</v>
      </c>
      <c r="V409" s="49">
        <v>0.119647</v>
      </c>
      <c r="W409" s="107"/>
      <c r="X409" s="50"/>
      <c r="Y409" s="50"/>
      <c r="Z409" s="49">
        <v>0</v>
      </c>
      <c r="AA409" s="71">
        <v>409</v>
      </c>
      <c r="AB409" s="71"/>
      <c r="AC409" s="72"/>
      <c r="AD409" s="79" t="s">
        <v>883</v>
      </c>
      <c r="AE409" s="79" t="s">
        <v>1192</v>
      </c>
      <c r="AF409" s="79"/>
      <c r="AG409" s="79" t="s">
        <v>1637</v>
      </c>
      <c r="AH409" s="79" t="s">
        <v>1939</v>
      </c>
      <c r="AI409" s="79">
        <v>9</v>
      </c>
      <c r="AJ409" s="79">
        <v>0</v>
      </c>
      <c r="AK409" s="79">
        <v>0</v>
      </c>
      <c r="AL409" s="79">
        <v>0</v>
      </c>
      <c r="AM409" s="79" t="s">
        <v>2092</v>
      </c>
      <c r="AN409" s="114" t="str">
        <f>HYPERLINK("https://www.youtube.com/watch?v=PEtjAKRg9rA")</f>
        <v>https://www.youtube.com/watch?v=PEtjAKRg9rA</v>
      </c>
      <c r="AO409" s="78" t="str">
        <f>REPLACE(INDEX(GroupVertices[Group],MATCH(Vertices[[#This Row],[Vertex]],GroupVertices[Vertex],0)),1,1,"")</f>
        <v>amrbo1</v>
      </c>
      <c r="AP409" s="2"/>
      <c r="AQ409" s="3"/>
      <c r="AR409" s="3"/>
      <c r="AS409" s="3"/>
      <c r="AT409" s="3"/>
    </row>
    <row r="410" spans="1:46" ht="15">
      <c r="A410" s="64" t="s">
        <v>466</v>
      </c>
      <c r="B410" s="65"/>
      <c r="C410" s="65"/>
      <c r="D410" s="66">
        <v>150</v>
      </c>
      <c r="E410" s="102">
        <v>97.85714285714286</v>
      </c>
      <c r="F410" s="98" t="str">
        <f>HYPERLINK("https://i.ytimg.com/vi/onCV4vOkQl4/default.jpg")</f>
        <v>https://i.ytimg.com/vi/onCV4vOkQl4/default.jpg</v>
      </c>
      <c r="G410" s="100"/>
      <c r="H410" s="69" t="s">
        <v>886</v>
      </c>
      <c r="I410" s="70"/>
      <c r="J410" s="104" t="s">
        <v>159</v>
      </c>
      <c r="K410" s="69" t="s">
        <v>886</v>
      </c>
      <c r="L410" s="105">
        <v>1</v>
      </c>
      <c r="M410" s="74">
        <v>9865.14453125</v>
      </c>
      <c r="N410" s="74">
        <v>706.8532104492188</v>
      </c>
      <c r="O410" s="75"/>
      <c r="P410" s="76"/>
      <c r="Q410" s="76"/>
      <c r="R410" s="106"/>
      <c r="S410" s="48">
        <v>1</v>
      </c>
      <c r="T410" s="48">
        <v>0</v>
      </c>
      <c r="U410" s="49">
        <v>0</v>
      </c>
      <c r="V410" s="49">
        <v>0.119647</v>
      </c>
      <c r="W410" s="107"/>
      <c r="X410" s="50"/>
      <c r="Y410" s="50"/>
      <c r="Z410" s="49">
        <v>0</v>
      </c>
      <c r="AA410" s="71">
        <v>410</v>
      </c>
      <c r="AB410" s="71"/>
      <c r="AC410" s="72"/>
      <c r="AD410" s="79" t="s">
        <v>886</v>
      </c>
      <c r="AE410" s="79" t="s">
        <v>1194</v>
      </c>
      <c r="AF410" s="79"/>
      <c r="AG410" s="79" t="s">
        <v>1638</v>
      </c>
      <c r="AH410" s="79" t="s">
        <v>1942</v>
      </c>
      <c r="AI410" s="79">
        <v>236</v>
      </c>
      <c r="AJ410" s="79">
        <v>0</v>
      </c>
      <c r="AK410" s="79">
        <v>3</v>
      </c>
      <c r="AL410" s="79">
        <v>0</v>
      </c>
      <c r="AM410" s="79" t="s">
        <v>2092</v>
      </c>
      <c r="AN410" s="114" t="str">
        <f>HYPERLINK("https://www.youtube.com/watch?v=onCV4vOkQl4")</f>
        <v>https://www.youtube.com/watch?v=onCV4vOkQl4</v>
      </c>
      <c r="AO410" s="78" t="str">
        <f>REPLACE(INDEX(GroupVertices[Group],MATCH(Vertices[[#This Row],[Vertex]],GroupVertices[Vertex],0)),1,1,"")</f>
        <v>sikologi BINUS</v>
      </c>
      <c r="AP410" s="2"/>
      <c r="AQ410" s="3"/>
      <c r="AR410" s="3"/>
      <c r="AS410" s="3"/>
      <c r="AT410" s="3"/>
    </row>
    <row r="411" spans="1:46" ht="15">
      <c r="A411" s="64" t="s">
        <v>467</v>
      </c>
      <c r="B411" s="65"/>
      <c r="C411" s="65"/>
      <c r="D411" s="66">
        <v>150</v>
      </c>
      <c r="E411" s="102">
        <v>97.85714285714286</v>
      </c>
      <c r="F411" s="98" t="str">
        <f>HYPERLINK("https://i.ytimg.com/vi/Cd17kA8hOow/default.jpg")</f>
        <v>https://i.ytimg.com/vi/Cd17kA8hOow/default.jpg</v>
      </c>
      <c r="G411" s="100"/>
      <c r="H411" s="69" t="s">
        <v>887</v>
      </c>
      <c r="I411" s="70"/>
      <c r="J411" s="104" t="s">
        <v>159</v>
      </c>
      <c r="K411" s="69" t="s">
        <v>887</v>
      </c>
      <c r="L411" s="105">
        <v>1</v>
      </c>
      <c r="M411" s="74">
        <v>9614.24609375</v>
      </c>
      <c r="N411" s="74">
        <v>143.66378784179688</v>
      </c>
      <c r="O411" s="75"/>
      <c r="P411" s="76"/>
      <c r="Q411" s="76"/>
      <c r="R411" s="106"/>
      <c r="S411" s="48">
        <v>1</v>
      </c>
      <c r="T411" s="48">
        <v>0</v>
      </c>
      <c r="U411" s="49">
        <v>0</v>
      </c>
      <c r="V411" s="49">
        <v>0.119647</v>
      </c>
      <c r="W411" s="107"/>
      <c r="X411" s="50"/>
      <c r="Y411" s="50"/>
      <c r="Z411" s="49">
        <v>0</v>
      </c>
      <c r="AA411" s="71">
        <v>411</v>
      </c>
      <c r="AB411" s="71"/>
      <c r="AC411" s="72"/>
      <c r="AD411" s="79" t="s">
        <v>887</v>
      </c>
      <c r="AE411" s="79"/>
      <c r="AF411" s="79"/>
      <c r="AG411" s="79" t="s">
        <v>1518</v>
      </c>
      <c r="AH411" s="79" t="s">
        <v>1943</v>
      </c>
      <c r="AI411" s="79">
        <v>5318</v>
      </c>
      <c r="AJ411" s="79">
        <v>0</v>
      </c>
      <c r="AK411" s="79">
        <v>73</v>
      </c>
      <c r="AL411" s="79">
        <v>0</v>
      </c>
      <c r="AM411" s="79" t="s">
        <v>2092</v>
      </c>
      <c r="AN411" s="114" t="str">
        <f>HYPERLINK("https://www.youtube.com/watch?v=Cd17kA8hOow")</f>
        <v>https://www.youtube.com/watch?v=Cd17kA8hOow</v>
      </c>
      <c r="AO411" s="78" t="str">
        <f>REPLACE(INDEX(GroupVertices[Group],MATCH(Vertices[[#This Row],[Vertex]],GroupVertices[Vertex],0)),1,1,"")</f>
        <v>sych and Chill</v>
      </c>
      <c r="AP411" s="2"/>
      <c r="AQ411" s="3"/>
      <c r="AR411" s="3"/>
      <c r="AS411" s="3"/>
      <c r="AT411" s="3"/>
    </row>
    <row r="412" spans="1:46" ht="15">
      <c r="A412" s="64" t="s">
        <v>468</v>
      </c>
      <c r="B412" s="65"/>
      <c r="C412" s="65"/>
      <c r="D412" s="66">
        <v>150</v>
      </c>
      <c r="E412" s="102">
        <v>97.85714285714286</v>
      </c>
      <c r="F412" s="98" t="str">
        <f>HYPERLINK("https://i.ytimg.com/vi/C39oIsltUvw/default.jpg")</f>
        <v>https://i.ytimg.com/vi/C39oIsltUvw/default.jpg</v>
      </c>
      <c r="G412" s="100"/>
      <c r="H412" s="69" t="s">
        <v>888</v>
      </c>
      <c r="I412" s="70"/>
      <c r="J412" s="104" t="s">
        <v>159</v>
      </c>
      <c r="K412" s="69" t="s">
        <v>888</v>
      </c>
      <c r="L412" s="105">
        <v>1</v>
      </c>
      <c r="M412" s="74">
        <v>9339.4228515625</v>
      </c>
      <c r="N412" s="74">
        <v>500.8985900878906</v>
      </c>
      <c r="O412" s="75"/>
      <c r="P412" s="76"/>
      <c r="Q412" s="76"/>
      <c r="R412" s="106"/>
      <c r="S412" s="48">
        <v>1</v>
      </c>
      <c r="T412" s="48">
        <v>0</v>
      </c>
      <c r="U412" s="49">
        <v>0</v>
      </c>
      <c r="V412" s="49">
        <v>0.119647</v>
      </c>
      <c r="W412" s="107"/>
      <c r="X412" s="50"/>
      <c r="Y412" s="50"/>
      <c r="Z412" s="49">
        <v>0</v>
      </c>
      <c r="AA412" s="71">
        <v>412</v>
      </c>
      <c r="AB412" s="71"/>
      <c r="AC412" s="72"/>
      <c r="AD412" s="79" t="s">
        <v>888</v>
      </c>
      <c r="AE412" s="79"/>
      <c r="AF412" s="79"/>
      <c r="AG412" s="79" t="s">
        <v>1518</v>
      </c>
      <c r="AH412" s="79" t="s">
        <v>1944</v>
      </c>
      <c r="AI412" s="79">
        <v>1258</v>
      </c>
      <c r="AJ412" s="79">
        <v>0</v>
      </c>
      <c r="AK412" s="79">
        <v>27</v>
      </c>
      <c r="AL412" s="79">
        <v>0</v>
      </c>
      <c r="AM412" s="79" t="s">
        <v>2092</v>
      </c>
      <c r="AN412" s="114" t="str">
        <f>HYPERLINK("https://www.youtube.com/watch?v=C39oIsltUvw")</f>
        <v>https://www.youtube.com/watch?v=C39oIsltUvw</v>
      </c>
      <c r="AO412" s="78" t="str">
        <f>REPLACE(INDEX(GroupVertices[Group],MATCH(Vertices[[#This Row],[Vertex]],GroupVertices[Vertex],0)),1,1,"")</f>
        <v>sych and Chill</v>
      </c>
      <c r="AP412" s="2"/>
      <c r="AQ412" s="3"/>
      <c r="AR412" s="3"/>
      <c r="AS412" s="3"/>
      <c r="AT412" s="3"/>
    </row>
    <row r="413" spans="1:46" ht="15">
      <c r="A413" s="64" t="s">
        <v>449</v>
      </c>
      <c r="B413" s="65"/>
      <c r="C413" s="65"/>
      <c r="D413" s="66">
        <v>150</v>
      </c>
      <c r="E413" s="102">
        <v>97.85714285714286</v>
      </c>
      <c r="F413" s="98" t="str">
        <f>HYPERLINK("https://i.ytimg.com/vi/xKs0DPmmpho/default.jpg")</f>
        <v>https://i.ytimg.com/vi/xKs0DPmmpho/default.jpg</v>
      </c>
      <c r="G413" s="100"/>
      <c r="H413" s="69" t="s">
        <v>868</v>
      </c>
      <c r="I413" s="70"/>
      <c r="J413" s="104" t="s">
        <v>159</v>
      </c>
      <c r="K413" s="69" t="s">
        <v>868</v>
      </c>
      <c r="L413" s="105">
        <v>1</v>
      </c>
      <c r="M413" s="74">
        <v>357.11712646484375</v>
      </c>
      <c r="N413" s="74">
        <v>3726.18701171875</v>
      </c>
      <c r="O413" s="75"/>
      <c r="P413" s="76"/>
      <c r="Q413" s="76"/>
      <c r="R413" s="106"/>
      <c r="S413" s="48">
        <v>1</v>
      </c>
      <c r="T413" s="48">
        <v>0</v>
      </c>
      <c r="U413" s="49">
        <v>0</v>
      </c>
      <c r="V413" s="49">
        <v>0.118132</v>
      </c>
      <c r="W413" s="107"/>
      <c r="X413" s="50"/>
      <c r="Y413" s="50"/>
      <c r="Z413" s="49">
        <v>0</v>
      </c>
      <c r="AA413" s="71">
        <v>413</v>
      </c>
      <c r="AB413" s="71"/>
      <c r="AC413" s="72"/>
      <c r="AD413" s="79" t="s">
        <v>868</v>
      </c>
      <c r="AE413" s="79" t="s">
        <v>1186</v>
      </c>
      <c r="AF413" s="79"/>
      <c r="AG413" s="79" t="s">
        <v>1622</v>
      </c>
      <c r="AH413" s="79" t="s">
        <v>1924</v>
      </c>
      <c r="AI413" s="79">
        <v>2596</v>
      </c>
      <c r="AJ413" s="79">
        <v>10</v>
      </c>
      <c r="AK413" s="79">
        <v>84</v>
      </c>
      <c r="AL413" s="79">
        <v>0</v>
      </c>
      <c r="AM413" s="79" t="s">
        <v>2092</v>
      </c>
      <c r="AN413" s="114" t="str">
        <f>HYPERLINK("https://www.youtube.com/watch?v=xKs0DPmmpho")</f>
        <v>https://www.youtube.com/watch?v=xKs0DPmmpho</v>
      </c>
      <c r="AO413" s="78" t="str">
        <f>REPLACE(INDEX(GroupVertices[Group],MATCH(Vertices[[#This Row],[Vertex]],GroupVertices[Vertex],0)),1,1,"")</f>
        <v>tratpsych</v>
      </c>
      <c r="AP413" s="2"/>
      <c r="AQ413" s="3"/>
      <c r="AR413" s="3"/>
      <c r="AS413" s="3"/>
      <c r="AT413" s="3"/>
    </row>
    <row r="414" spans="1:46" ht="15">
      <c r="A414" s="64" t="s">
        <v>450</v>
      </c>
      <c r="B414" s="65"/>
      <c r="C414" s="65"/>
      <c r="D414" s="66">
        <v>150</v>
      </c>
      <c r="E414" s="102">
        <v>97.85714285714286</v>
      </c>
      <c r="F414" s="98" t="str">
        <f>HYPERLINK("https://i.ytimg.com/vi/EQL3Ks0yL_E/default.jpg")</f>
        <v>https://i.ytimg.com/vi/EQL3Ks0yL_E/default.jpg</v>
      </c>
      <c r="G414" s="100"/>
      <c r="H414" s="69" t="s">
        <v>870</v>
      </c>
      <c r="I414" s="70"/>
      <c r="J414" s="104" t="s">
        <v>159</v>
      </c>
      <c r="K414" s="69" t="s">
        <v>870</v>
      </c>
      <c r="L414" s="105">
        <v>1</v>
      </c>
      <c r="M414" s="74">
        <v>752.4873657226562</v>
      </c>
      <c r="N414" s="74">
        <v>5881.611328125</v>
      </c>
      <c r="O414" s="75"/>
      <c r="P414" s="76"/>
      <c r="Q414" s="76"/>
      <c r="R414" s="106"/>
      <c r="S414" s="48">
        <v>1</v>
      </c>
      <c r="T414" s="48">
        <v>0</v>
      </c>
      <c r="U414" s="49">
        <v>0</v>
      </c>
      <c r="V414" s="49">
        <v>0.118443</v>
      </c>
      <c r="W414" s="107"/>
      <c r="X414" s="50"/>
      <c r="Y414" s="50"/>
      <c r="Z414" s="49">
        <v>0</v>
      </c>
      <c r="AA414" s="71">
        <v>414</v>
      </c>
      <c r="AB414" s="71"/>
      <c r="AC414" s="72"/>
      <c r="AD414" s="79" t="s">
        <v>870</v>
      </c>
      <c r="AE414" s="79" t="s">
        <v>1187</v>
      </c>
      <c r="AF414" s="79"/>
      <c r="AG414" s="79" t="s">
        <v>1624</v>
      </c>
      <c r="AH414" s="79" t="s">
        <v>1926</v>
      </c>
      <c r="AI414" s="79">
        <v>10</v>
      </c>
      <c r="AJ414" s="79">
        <v>0</v>
      </c>
      <c r="AK414" s="79">
        <v>0</v>
      </c>
      <c r="AL414" s="79">
        <v>0</v>
      </c>
      <c r="AM414" s="79" t="s">
        <v>2092</v>
      </c>
      <c r="AN414" s="114" t="str">
        <f>HYPERLINK("https://www.youtube.com/watch?v=EQL3Ks0yL_E")</f>
        <v>https://www.youtube.com/watch?v=EQL3Ks0yL_E</v>
      </c>
      <c r="AO414" s="78" t="str">
        <f>REPLACE(INDEX(GroupVertices[Group],MATCH(Vertices[[#This Row],[Vertex]],GroupVertices[Vertex],0)),1,1,"")</f>
        <v>ew Glory Ministries</v>
      </c>
      <c r="AP414" s="2"/>
      <c r="AQ414" s="3"/>
      <c r="AR414" s="3"/>
      <c r="AS414" s="3"/>
      <c r="AT414" s="3"/>
    </row>
    <row r="415" spans="1:46" ht="15">
      <c r="A415" s="64" t="s">
        <v>452</v>
      </c>
      <c r="B415" s="65"/>
      <c r="C415" s="65"/>
      <c r="D415" s="66">
        <v>150</v>
      </c>
      <c r="E415" s="102">
        <v>97.85714285714286</v>
      </c>
      <c r="F415" s="98" t="str">
        <f>HYPERLINK("https://i.ytimg.com/vi/ezTB3iPmm6E/default.jpg")</f>
        <v>https://i.ytimg.com/vi/ezTB3iPmm6E/default.jpg</v>
      </c>
      <c r="G415" s="100"/>
      <c r="H415" s="69" t="s">
        <v>872</v>
      </c>
      <c r="I415" s="70"/>
      <c r="J415" s="104" t="s">
        <v>159</v>
      </c>
      <c r="K415" s="69" t="s">
        <v>872</v>
      </c>
      <c r="L415" s="105">
        <v>1</v>
      </c>
      <c r="M415" s="74">
        <v>809.2828979492188</v>
      </c>
      <c r="N415" s="74">
        <v>6046.44580078125</v>
      </c>
      <c r="O415" s="75"/>
      <c r="P415" s="76"/>
      <c r="Q415" s="76"/>
      <c r="R415" s="106"/>
      <c r="S415" s="48">
        <v>1</v>
      </c>
      <c r="T415" s="48">
        <v>0</v>
      </c>
      <c r="U415" s="49">
        <v>0</v>
      </c>
      <c r="V415" s="49">
        <v>0.118443</v>
      </c>
      <c r="W415" s="107"/>
      <c r="X415" s="50"/>
      <c r="Y415" s="50"/>
      <c r="Z415" s="49">
        <v>0</v>
      </c>
      <c r="AA415" s="71">
        <v>415</v>
      </c>
      <c r="AB415" s="71"/>
      <c r="AC415" s="72"/>
      <c r="AD415" s="79" t="s">
        <v>872</v>
      </c>
      <c r="AE415" s="79" t="s">
        <v>1189</v>
      </c>
      <c r="AF415" s="79"/>
      <c r="AG415" s="79" t="s">
        <v>1626</v>
      </c>
      <c r="AH415" s="79" t="s">
        <v>1928</v>
      </c>
      <c r="AI415" s="79">
        <v>4</v>
      </c>
      <c r="AJ415" s="79">
        <v>0</v>
      </c>
      <c r="AK415" s="79">
        <v>0</v>
      </c>
      <c r="AL415" s="79">
        <v>0</v>
      </c>
      <c r="AM415" s="79" t="s">
        <v>2092</v>
      </c>
      <c r="AN415" s="114" t="str">
        <f>HYPERLINK("https://www.youtube.com/watch?v=ezTB3iPmm6E")</f>
        <v>https://www.youtube.com/watch?v=ezTB3iPmm6E</v>
      </c>
      <c r="AO415" s="78" t="str">
        <f>REPLACE(INDEX(GroupVertices[Group],MATCH(Vertices[[#This Row],[Vertex]],GroupVertices[Vertex],0)),1,1,"")</f>
        <v>eff Lesher</v>
      </c>
      <c r="AP415" s="2"/>
      <c r="AQ415" s="3"/>
      <c r="AR415" s="3"/>
      <c r="AS415" s="3"/>
      <c r="AT415" s="3"/>
    </row>
    <row r="416" spans="1:46" ht="15">
      <c r="A416" s="64" t="s">
        <v>453</v>
      </c>
      <c r="B416" s="65"/>
      <c r="C416" s="65"/>
      <c r="D416" s="66">
        <v>150</v>
      </c>
      <c r="E416" s="102">
        <v>97.85714285714286</v>
      </c>
      <c r="F416" s="98" t="str">
        <f>HYPERLINK("https://i.ytimg.com/vi/IDvTp4cQU1U/default.jpg")</f>
        <v>https://i.ytimg.com/vi/IDvTp4cQU1U/default.jpg</v>
      </c>
      <c r="G416" s="100"/>
      <c r="H416" s="69" t="s">
        <v>873</v>
      </c>
      <c r="I416" s="70"/>
      <c r="J416" s="104" t="s">
        <v>159</v>
      </c>
      <c r="K416" s="69" t="s">
        <v>873</v>
      </c>
      <c r="L416" s="105">
        <v>1</v>
      </c>
      <c r="M416" s="74">
        <v>975.5997314453125</v>
      </c>
      <c r="N416" s="74">
        <v>6162.63720703125</v>
      </c>
      <c r="O416" s="75"/>
      <c r="P416" s="76"/>
      <c r="Q416" s="76"/>
      <c r="R416" s="106"/>
      <c r="S416" s="48">
        <v>1</v>
      </c>
      <c r="T416" s="48">
        <v>0</v>
      </c>
      <c r="U416" s="49">
        <v>0</v>
      </c>
      <c r="V416" s="49">
        <v>0.118443</v>
      </c>
      <c r="W416" s="107"/>
      <c r="X416" s="50"/>
      <c r="Y416" s="50"/>
      <c r="Z416" s="49">
        <v>0</v>
      </c>
      <c r="AA416" s="71">
        <v>416</v>
      </c>
      <c r="AB416" s="71"/>
      <c r="AC416" s="72"/>
      <c r="AD416" s="79" t="s">
        <v>873</v>
      </c>
      <c r="AE416" s="79" t="s">
        <v>1190</v>
      </c>
      <c r="AF416" s="79"/>
      <c r="AG416" s="79" t="s">
        <v>1627</v>
      </c>
      <c r="AH416" s="79" t="s">
        <v>1929</v>
      </c>
      <c r="AI416" s="79">
        <v>2</v>
      </c>
      <c r="AJ416" s="79">
        <v>0</v>
      </c>
      <c r="AK416" s="79">
        <v>0</v>
      </c>
      <c r="AL416" s="79">
        <v>0</v>
      </c>
      <c r="AM416" s="79" t="s">
        <v>2092</v>
      </c>
      <c r="AN416" s="114" t="str">
        <f>HYPERLINK("https://www.youtube.com/watch?v=IDvTp4cQU1U")</f>
        <v>https://www.youtube.com/watch?v=IDvTp4cQU1U</v>
      </c>
      <c r="AO416" s="78" t="str">
        <f>REPLACE(INDEX(GroupVertices[Group],MATCH(Vertices[[#This Row],[Vertex]],GroupVertices[Vertex],0)),1,1,"")</f>
        <v>lite Legacy Coaching</v>
      </c>
      <c r="AP416" s="2"/>
      <c r="AQ416" s="3"/>
      <c r="AR416" s="3"/>
      <c r="AS416" s="3"/>
      <c r="AT416" s="3"/>
    </row>
    <row r="417" spans="1:46" ht="15">
      <c r="A417" s="64" t="s">
        <v>451</v>
      </c>
      <c r="B417" s="65"/>
      <c r="C417" s="65"/>
      <c r="D417" s="66">
        <v>150</v>
      </c>
      <c r="E417" s="102">
        <v>97.85714285714286</v>
      </c>
      <c r="F417" s="98" t="str">
        <f>HYPERLINK("https://i.ytimg.com/vi/kb76xeguY5Y/default.jpg")</f>
        <v>https://i.ytimg.com/vi/kb76xeguY5Y/default.jpg</v>
      </c>
      <c r="G417" s="100"/>
      <c r="H417" s="69" t="s">
        <v>871</v>
      </c>
      <c r="I417" s="70"/>
      <c r="J417" s="104" t="s">
        <v>159</v>
      </c>
      <c r="K417" s="69" t="s">
        <v>871</v>
      </c>
      <c r="L417" s="105">
        <v>1</v>
      </c>
      <c r="M417" s="74">
        <v>934.9042358398438</v>
      </c>
      <c r="N417" s="74">
        <v>5951.56689453125</v>
      </c>
      <c r="O417" s="75"/>
      <c r="P417" s="76"/>
      <c r="Q417" s="76"/>
      <c r="R417" s="106"/>
      <c r="S417" s="48">
        <v>1</v>
      </c>
      <c r="T417" s="48">
        <v>0</v>
      </c>
      <c r="U417" s="49">
        <v>0</v>
      </c>
      <c r="V417" s="49">
        <v>0.118443</v>
      </c>
      <c r="W417" s="107"/>
      <c r="X417" s="50"/>
      <c r="Y417" s="50"/>
      <c r="Z417" s="49">
        <v>0</v>
      </c>
      <c r="AA417" s="71">
        <v>417</v>
      </c>
      <c r="AB417" s="71"/>
      <c r="AC417" s="72"/>
      <c r="AD417" s="79" t="s">
        <v>871</v>
      </c>
      <c r="AE417" s="79" t="s">
        <v>1188</v>
      </c>
      <c r="AF417" s="79"/>
      <c r="AG417" s="79" t="s">
        <v>1625</v>
      </c>
      <c r="AH417" s="79" t="s">
        <v>1927</v>
      </c>
      <c r="AI417" s="79">
        <v>15</v>
      </c>
      <c r="AJ417" s="79">
        <v>0</v>
      </c>
      <c r="AK417" s="79">
        <v>2</v>
      </c>
      <c r="AL417" s="79">
        <v>0</v>
      </c>
      <c r="AM417" s="79" t="s">
        <v>2092</v>
      </c>
      <c r="AN417" s="114" t="str">
        <f>HYPERLINK("https://www.youtube.com/watch?v=kb76xeguY5Y")</f>
        <v>https://www.youtube.com/watch?v=kb76xeguY5Y</v>
      </c>
      <c r="AO417" s="78" t="str">
        <f>REPLACE(INDEX(GroupVertices[Group],MATCH(Vertices[[#This Row],[Vertex]],GroupVertices[Vertex],0)),1,1,"")</f>
        <v>ifeSong Christian Church</v>
      </c>
      <c r="AP417" s="2"/>
      <c r="AQ417" s="3"/>
      <c r="AR417" s="3"/>
      <c r="AS417" s="3"/>
      <c r="AT417" s="3"/>
    </row>
    <row r="418" spans="1:46" ht="15">
      <c r="A418" s="64" t="s">
        <v>454</v>
      </c>
      <c r="B418" s="65"/>
      <c r="C418" s="65"/>
      <c r="D418" s="66">
        <v>150</v>
      </c>
      <c r="E418" s="102">
        <v>97.85714285714286</v>
      </c>
      <c r="F418" s="98" t="str">
        <f>HYPERLINK("https://i.ytimg.com/vi/nvCP8j_3fMY/default.jpg")</f>
        <v>https://i.ytimg.com/vi/nvCP8j_3fMY/default.jpg</v>
      </c>
      <c r="G418" s="100"/>
      <c r="H418" s="69" t="s">
        <v>874</v>
      </c>
      <c r="I418" s="70"/>
      <c r="J418" s="104" t="s">
        <v>159</v>
      </c>
      <c r="K418" s="69" t="s">
        <v>874</v>
      </c>
      <c r="L418" s="105">
        <v>1</v>
      </c>
      <c r="M418" s="74">
        <v>1287.158935546875</v>
      </c>
      <c r="N418" s="74">
        <v>6179.0048828125</v>
      </c>
      <c r="O418" s="75"/>
      <c r="P418" s="76"/>
      <c r="Q418" s="76"/>
      <c r="R418" s="106"/>
      <c r="S418" s="48">
        <v>1</v>
      </c>
      <c r="T418" s="48">
        <v>0</v>
      </c>
      <c r="U418" s="49">
        <v>0</v>
      </c>
      <c r="V418" s="49">
        <v>0.118443</v>
      </c>
      <c r="W418" s="107"/>
      <c r="X418" s="50"/>
      <c r="Y418" s="50"/>
      <c r="Z418" s="49">
        <v>0</v>
      </c>
      <c r="AA418" s="71">
        <v>418</v>
      </c>
      <c r="AB418" s="71"/>
      <c r="AC418" s="72"/>
      <c r="AD418" s="79" t="s">
        <v>874</v>
      </c>
      <c r="AE418" s="79"/>
      <c r="AF418" s="79"/>
      <c r="AG418" s="79" t="s">
        <v>1628</v>
      </c>
      <c r="AH418" s="79" t="s">
        <v>1930</v>
      </c>
      <c r="AI418" s="79">
        <v>4</v>
      </c>
      <c r="AJ418" s="79">
        <v>0</v>
      </c>
      <c r="AK418" s="79">
        <v>0</v>
      </c>
      <c r="AL418" s="79">
        <v>0</v>
      </c>
      <c r="AM418" s="79" t="s">
        <v>2092</v>
      </c>
      <c r="AN418" s="114" t="str">
        <f>HYPERLINK("https://www.youtube.com/watch?v=nvCP8j_3fMY")</f>
        <v>https://www.youtube.com/watch?v=nvCP8j_3fMY</v>
      </c>
      <c r="AO418" s="78" t="str">
        <f>REPLACE(INDEX(GroupVertices[Group],MATCH(Vertices[[#This Row],[Vertex]],GroupVertices[Vertex],0)),1,1,"")</f>
        <v>om Stubbs</v>
      </c>
      <c r="AP418" s="2"/>
      <c r="AQ418" s="3"/>
      <c r="AR418" s="3"/>
      <c r="AS418" s="3"/>
      <c r="AT418" s="3"/>
    </row>
    <row r="419" spans="1:46" ht="15">
      <c r="A419" s="64" t="s">
        <v>455</v>
      </c>
      <c r="B419" s="65"/>
      <c r="C419" s="65"/>
      <c r="D419" s="66">
        <v>150</v>
      </c>
      <c r="E419" s="102">
        <v>97.85714285714286</v>
      </c>
      <c r="F419" s="98" t="str">
        <f>HYPERLINK("https://i.ytimg.com/vi/8OVHLaBl1QY/default.jpg")</f>
        <v>https://i.ytimg.com/vi/8OVHLaBl1QY/default.jpg</v>
      </c>
      <c r="G419" s="100"/>
      <c r="H419" s="69" t="s">
        <v>875</v>
      </c>
      <c r="I419" s="70"/>
      <c r="J419" s="104" t="s">
        <v>159</v>
      </c>
      <c r="K419" s="69" t="s">
        <v>875</v>
      </c>
      <c r="L419" s="105">
        <v>1</v>
      </c>
      <c r="M419" s="74">
        <v>1134.628173828125</v>
      </c>
      <c r="N419" s="74">
        <v>6048.8369140625</v>
      </c>
      <c r="O419" s="75"/>
      <c r="P419" s="76"/>
      <c r="Q419" s="76"/>
      <c r="R419" s="106"/>
      <c r="S419" s="48">
        <v>1</v>
      </c>
      <c r="T419" s="48">
        <v>0</v>
      </c>
      <c r="U419" s="49">
        <v>0</v>
      </c>
      <c r="V419" s="49">
        <v>0.118443</v>
      </c>
      <c r="W419" s="107"/>
      <c r="X419" s="50"/>
      <c r="Y419" s="50"/>
      <c r="Z419" s="49">
        <v>0</v>
      </c>
      <c r="AA419" s="71">
        <v>419</v>
      </c>
      <c r="AB419" s="71"/>
      <c r="AC419" s="72"/>
      <c r="AD419" s="79" t="s">
        <v>875</v>
      </c>
      <c r="AE419" s="79" t="s">
        <v>1191</v>
      </c>
      <c r="AF419" s="79"/>
      <c r="AG419" s="79" t="s">
        <v>1629</v>
      </c>
      <c r="AH419" s="79" t="s">
        <v>1931</v>
      </c>
      <c r="AI419" s="79">
        <v>52</v>
      </c>
      <c r="AJ419" s="79">
        <v>1</v>
      </c>
      <c r="AK419" s="79">
        <v>0</v>
      </c>
      <c r="AL419" s="79">
        <v>0</v>
      </c>
      <c r="AM419" s="79" t="s">
        <v>2092</v>
      </c>
      <c r="AN419" s="114" t="str">
        <f>HYPERLINK("https://www.youtube.com/watch?v=8OVHLaBl1QY")</f>
        <v>https://www.youtube.com/watch?v=8OVHLaBl1QY</v>
      </c>
      <c r="AO419" s="78" t="str">
        <f>REPLACE(INDEX(GroupVertices[Group],MATCH(Vertices[[#This Row],[Vertex]],GroupVertices[Vertex],0)),1,1,"")</f>
        <v>astor2Pastor</v>
      </c>
      <c r="AP419" s="2"/>
      <c r="AQ419" s="3"/>
      <c r="AR419" s="3"/>
      <c r="AS419" s="3"/>
      <c r="AT419" s="3"/>
    </row>
    <row r="420" spans="1:46" ht="15">
      <c r="A420" s="64" t="s">
        <v>456</v>
      </c>
      <c r="B420" s="65"/>
      <c r="C420" s="65"/>
      <c r="D420" s="66">
        <v>150</v>
      </c>
      <c r="E420" s="102">
        <v>97.85714285714286</v>
      </c>
      <c r="F420" s="98" t="str">
        <f>HYPERLINK("https://i.ytimg.com/vi/9aOLNk8Nsw0/default.jpg")</f>
        <v>https://i.ytimg.com/vi/9aOLNk8Nsw0/default.jpg</v>
      </c>
      <c r="G420" s="100"/>
      <c r="H420" s="69" t="s">
        <v>876</v>
      </c>
      <c r="I420" s="70"/>
      <c r="J420" s="104" t="s">
        <v>159</v>
      </c>
      <c r="K420" s="69" t="s">
        <v>876</v>
      </c>
      <c r="L420" s="105">
        <v>1</v>
      </c>
      <c r="M420" s="74">
        <v>1149.1761474609375</v>
      </c>
      <c r="N420" s="74">
        <v>6235.0087890625</v>
      </c>
      <c r="O420" s="75"/>
      <c r="P420" s="76"/>
      <c r="Q420" s="76"/>
      <c r="R420" s="106"/>
      <c r="S420" s="48">
        <v>1</v>
      </c>
      <c r="T420" s="48">
        <v>0</v>
      </c>
      <c r="U420" s="49">
        <v>0</v>
      </c>
      <c r="V420" s="49">
        <v>0.118443</v>
      </c>
      <c r="W420" s="107"/>
      <c r="X420" s="50"/>
      <c r="Y420" s="50"/>
      <c r="Z420" s="49">
        <v>0</v>
      </c>
      <c r="AA420" s="71">
        <v>420</v>
      </c>
      <c r="AB420" s="71"/>
      <c r="AC420" s="72"/>
      <c r="AD420" s="79" t="s">
        <v>876</v>
      </c>
      <c r="AE420" s="79"/>
      <c r="AF420" s="79"/>
      <c r="AG420" s="79" t="s">
        <v>1630</v>
      </c>
      <c r="AH420" s="79" t="s">
        <v>1932</v>
      </c>
      <c r="AI420" s="79">
        <v>311</v>
      </c>
      <c r="AJ420" s="79">
        <v>0</v>
      </c>
      <c r="AK420" s="79">
        <v>10</v>
      </c>
      <c r="AL420" s="79">
        <v>0</v>
      </c>
      <c r="AM420" s="79" t="s">
        <v>2092</v>
      </c>
      <c r="AN420" s="114" t="str">
        <f>HYPERLINK("https://www.youtube.com/watch?v=9aOLNk8Nsw0")</f>
        <v>https://www.youtube.com/watch?v=9aOLNk8Nsw0</v>
      </c>
      <c r="AO420" s="78" t="str">
        <f>REPLACE(INDEX(GroupVertices[Group],MATCH(Vertices[[#This Row],[Vertex]],GroupVertices[Vertex],0)),1,1,"")</f>
        <v>eron Spoo</v>
      </c>
      <c r="AP420" s="2"/>
      <c r="AQ420" s="3"/>
      <c r="AR420" s="3"/>
      <c r="AS420" s="3"/>
      <c r="AT420" s="3"/>
    </row>
    <row r="421" spans="1:46" ht="15">
      <c r="A421" s="64" t="s">
        <v>2316</v>
      </c>
      <c r="B421" s="65"/>
      <c r="C421" s="65"/>
      <c r="D421" s="66">
        <v>150</v>
      </c>
      <c r="E421" s="102">
        <v>97.85714285714286</v>
      </c>
      <c r="F421" s="98" t="str">
        <f>HYPERLINK("https://i.ytimg.com/vi/GPovRt6NxDQ/default.jpg")</f>
        <v>https://i.ytimg.com/vi/GPovRt6NxDQ/default.jpg</v>
      </c>
      <c r="G421" s="100"/>
      <c r="H421" s="69" t="s">
        <v>2793</v>
      </c>
      <c r="I421" s="70"/>
      <c r="J421" s="104" t="s">
        <v>159</v>
      </c>
      <c r="K421" s="69" t="s">
        <v>2793</v>
      </c>
      <c r="L421" s="105">
        <v>1</v>
      </c>
      <c r="M421" s="74">
        <v>7596.95849609375</v>
      </c>
      <c r="N421" s="74">
        <v>8125.85009765625</v>
      </c>
      <c r="O421" s="75"/>
      <c r="P421" s="76"/>
      <c r="Q421" s="76"/>
      <c r="R421" s="106"/>
      <c r="S421" s="48">
        <v>1</v>
      </c>
      <c r="T421" s="48">
        <v>0</v>
      </c>
      <c r="U421" s="49">
        <v>0</v>
      </c>
      <c r="V421" s="49">
        <v>0.149534</v>
      </c>
      <c r="W421" s="107"/>
      <c r="X421" s="50"/>
      <c r="Y421" s="50"/>
      <c r="Z421" s="49">
        <v>0</v>
      </c>
      <c r="AA421" s="71">
        <v>421</v>
      </c>
      <c r="AB421" s="71"/>
      <c r="AC421" s="72"/>
      <c r="AD421" s="79" t="s">
        <v>2793</v>
      </c>
      <c r="AE421" s="79"/>
      <c r="AF421" s="79"/>
      <c r="AG421" s="79" t="s">
        <v>3805</v>
      </c>
      <c r="AH421" s="79" t="s">
        <v>4158</v>
      </c>
      <c r="AI421" s="79">
        <v>2</v>
      </c>
      <c r="AJ421" s="79">
        <v>0</v>
      </c>
      <c r="AK421" s="79">
        <v>0</v>
      </c>
      <c r="AL421" s="79">
        <v>0</v>
      </c>
      <c r="AM421" s="79" t="s">
        <v>2092</v>
      </c>
      <c r="AN421" s="114" t="str">
        <f>HYPERLINK("https://www.youtube.com/watch?v=GPovRt6NxDQ")</f>
        <v>https://www.youtube.com/watch?v=GPovRt6NxDQ</v>
      </c>
      <c r="AO421" s="78" t="str">
        <f>REPLACE(INDEX(GroupVertices[Group],MATCH(Vertices[[#This Row],[Vertex]],GroupVertices[Vertex],0)),1,1,"")</f>
        <v>uture Finance Training Ltd</v>
      </c>
      <c r="AP421" s="2"/>
      <c r="AQ421" s="3"/>
      <c r="AR421" s="3"/>
      <c r="AS421" s="3"/>
      <c r="AT421" s="3"/>
    </row>
    <row r="422" spans="1:46" ht="15">
      <c r="A422" s="64" t="s">
        <v>2317</v>
      </c>
      <c r="B422" s="65"/>
      <c r="C422" s="65"/>
      <c r="D422" s="66">
        <v>150</v>
      </c>
      <c r="E422" s="102">
        <v>97.85714285714286</v>
      </c>
      <c r="F422" s="98" t="str">
        <f>HYPERLINK("https://i.ytimg.com/vi/qKSSP_YA_J4/default.jpg")</f>
        <v>https://i.ytimg.com/vi/qKSSP_YA_J4/default.jpg</v>
      </c>
      <c r="G422" s="100"/>
      <c r="H422" s="69" t="s">
        <v>2794</v>
      </c>
      <c r="I422" s="70"/>
      <c r="J422" s="104" t="s">
        <v>159</v>
      </c>
      <c r="K422" s="69" t="s">
        <v>2794</v>
      </c>
      <c r="L422" s="105">
        <v>1</v>
      </c>
      <c r="M422" s="74">
        <v>7437.73388671875</v>
      </c>
      <c r="N422" s="74">
        <v>9051.5009765625</v>
      </c>
      <c r="O422" s="75"/>
      <c r="P422" s="76"/>
      <c r="Q422" s="76"/>
      <c r="R422" s="106"/>
      <c r="S422" s="48">
        <v>1</v>
      </c>
      <c r="T422" s="48">
        <v>0</v>
      </c>
      <c r="U422" s="49">
        <v>0</v>
      </c>
      <c r="V422" s="49">
        <v>0.149534</v>
      </c>
      <c r="W422" s="107"/>
      <c r="X422" s="50"/>
      <c r="Y422" s="50"/>
      <c r="Z422" s="49">
        <v>0</v>
      </c>
      <c r="AA422" s="71">
        <v>422</v>
      </c>
      <c r="AB422" s="71"/>
      <c r="AC422" s="72"/>
      <c r="AD422" s="79" t="s">
        <v>2794</v>
      </c>
      <c r="AE422" s="79" t="s">
        <v>3243</v>
      </c>
      <c r="AF422" s="79" t="s">
        <v>3575</v>
      </c>
      <c r="AG422" s="79" t="s">
        <v>3806</v>
      </c>
      <c r="AH422" s="79" t="s">
        <v>4159</v>
      </c>
      <c r="AI422" s="79">
        <v>14</v>
      </c>
      <c r="AJ422" s="79">
        <v>0</v>
      </c>
      <c r="AK422" s="79">
        <v>1</v>
      </c>
      <c r="AL422" s="79">
        <v>0</v>
      </c>
      <c r="AM422" s="79" t="s">
        <v>2092</v>
      </c>
      <c r="AN422" s="114" t="str">
        <f>HYPERLINK("https://www.youtube.com/watch?v=qKSSP_YA_J4")</f>
        <v>https://www.youtube.com/watch?v=qKSSP_YA_J4</v>
      </c>
      <c r="AO422" s="78" t="str">
        <f>REPLACE(INDEX(GroupVertices[Group],MATCH(Vertices[[#This Row],[Vertex]],GroupVertices[Vertex],0)),1,1,"")</f>
        <v>racticeHub</v>
      </c>
      <c r="AP422" s="2"/>
      <c r="AQ422" s="3"/>
      <c r="AR422" s="3"/>
      <c r="AS422" s="3"/>
      <c r="AT422" s="3"/>
    </row>
    <row r="423" spans="1:46" ht="15">
      <c r="A423" s="64" t="s">
        <v>2318</v>
      </c>
      <c r="B423" s="65"/>
      <c r="C423" s="65"/>
      <c r="D423" s="66">
        <v>150</v>
      </c>
      <c r="E423" s="102">
        <v>97.85714285714286</v>
      </c>
      <c r="F423" s="98" t="str">
        <f>HYPERLINK("https://i.ytimg.com/vi/cvGKhHKM2lc/default.jpg")</f>
        <v>https://i.ytimg.com/vi/cvGKhHKM2lc/default.jpg</v>
      </c>
      <c r="G423" s="100"/>
      <c r="H423" s="69" t="s">
        <v>2795</v>
      </c>
      <c r="I423" s="70"/>
      <c r="J423" s="104" t="s">
        <v>159</v>
      </c>
      <c r="K423" s="69" t="s">
        <v>2795</v>
      </c>
      <c r="L423" s="105">
        <v>1</v>
      </c>
      <c r="M423" s="74">
        <v>7266.6943359375</v>
      </c>
      <c r="N423" s="74">
        <v>9745.171875</v>
      </c>
      <c r="O423" s="75"/>
      <c r="P423" s="76"/>
      <c r="Q423" s="76"/>
      <c r="R423" s="106"/>
      <c r="S423" s="48">
        <v>1</v>
      </c>
      <c r="T423" s="48">
        <v>0</v>
      </c>
      <c r="U423" s="49">
        <v>0</v>
      </c>
      <c r="V423" s="49">
        <v>0.149534</v>
      </c>
      <c r="W423" s="107"/>
      <c r="X423" s="50"/>
      <c r="Y423" s="50"/>
      <c r="Z423" s="49">
        <v>0</v>
      </c>
      <c r="AA423" s="71">
        <v>423</v>
      </c>
      <c r="AB423" s="71"/>
      <c r="AC423" s="72"/>
      <c r="AD423" s="79" t="s">
        <v>2795</v>
      </c>
      <c r="AE423" s="79"/>
      <c r="AF423" s="79"/>
      <c r="AG423" s="79" t="s">
        <v>3807</v>
      </c>
      <c r="AH423" s="79" t="s">
        <v>4160</v>
      </c>
      <c r="AI423" s="79">
        <v>16</v>
      </c>
      <c r="AJ423" s="79">
        <v>0</v>
      </c>
      <c r="AK423" s="79">
        <v>0</v>
      </c>
      <c r="AL423" s="79">
        <v>0</v>
      </c>
      <c r="AM423" s="79" t="s">
        <v>2092</v>
      </c>
      <c r="AN423" s="114" t="str">
        <f>HYPERLINK("https://www.youtube.com/watch?v=cvGKhHKM2lc")</f>
        <v>https://www.youtube.com/watch?v=cvGKhHKM2lc</v>
      </c>
      <c r="AO423" s="78" t="str">
        <f>REPLACE(INDEX(GroupVertices[Group],MATCH(Vertices[[#This Row],[Vertex]],GroupVertices[Vertex],0)),1,1,"")</f>
        <v>isa Townsend</v>
      </c>
      <c r="AP423" s="2"/>
      <c r="AQ423" s="3"/>
      <c r="AR423" s="3"/>
      <c r="AS423" s="3"/>
      <c r="AT423" s="3"/>
    </row>
    <row r="424" spans="1:46" ht="15">
      <c r="A424" s="64" t="s">
        <v>2319</v>
      </c>
      <c r="B424" s="65"/>
      <c r="C424" s="65"/>
      <c r="D424" s="66">
        <v>150</v>
      </c>
      <c r="E424" s="102">
        <v>97.85714285714286</v>
      </c>
      <c r="F424" s="98" t="str">
        <f>HYPERLINK("https://i.ytimg.com/vi/Fozb0QXR-4A/default.jpg")</f>
        <v>https://i.ytimg.com/vi/Fozb0QXR-4A/default.jpg</v>
      </c>
      <c r="G424" s="100"/>
      <c r="H424" s="69" t="s">
        <v>2796</v>
      </c>
      <c r="I424" s="70"/>
      <c r="J424" s="104" t="s">
        <v>159</v>
      </c>
      <c r="K424" s="69" t="s">
        <v>2796</v>
      </c>
      <c r="L424" s="105">
        <v>1</v>
      </c>
      <c r="M424" s="74">
        <v>7649.1982421875</v>
      </c>
      <c r="N424" s="74">
        <v>9108.7353515625</v>
      </c>
      <c r="O424" s="75"/>
      <c r="P424" s="76"/>
      <c r="Q424" s="76"/>
      <c r="R424" s="106"/>
      <c r="S424" s="48">
        <v>1</v>
      </c>
      <c r="T424" s="48">
        <v>0</v>
      </c>
      <c r="U424" s="49">
        <v>0</v>
      </c>
      <c r="V424" s="49">
        <v>0.149534</v>
      </c>
      <c r="W424" s="107"/>
      <c r="X424" s="50"/>
      <c r="Y424" s="50"/>
      <c r="Z424" s="49">
        <v>0</v>
      </c>
      <c r="AA424" s="71">
        <v>424</v>
      </c>
      <c r="AB424" s="71"/>
      <c r="AC424" s="72"/>
      <c r="AD424" s="79" t="s">
        <v>2796</v>
      </c>
      <c r="AE424" s="79" t="s">
        <v>3244</v>
      </c>
      <c r="AF424" s="79"/>
      <c r="AG424" s="79" t="s">
        <v>3808</v>
      </c>
      <c r="AH424" s="79" t="s">
        <v>4161</v>
      </c>
      <c r="AI424" s="79">
        <v>10697</v>
      </c>
      <c r="AJ424" s="79">
        <v>26</v>
      </c>
      <c r="AK424" s="79">
        <v>220</v>
      </c>
      <c r="AL424" s="79">
        <v>0</v>
      </c>
      <c r="AM424" s="79" t="s">
        <v>2092</v>
      </c>
      <c r="AN424" s="114" t="str">
        <f>HYPERLINK("https://www.youtube.com/watch?v=Fozb0QXR-4A")</f>
        <v>https://www.youtube.com/watch?v=Fozb0QXR-4A</v>
      </c>
      <c r="AO424" s="78" t="str">
        <f>REPLACE(INDEX(GroupVertices[Group],MATCH(Vertices[[#This Row],[Vertex]],GroupVertices[Vertex],0)),1,1,"")</f>
        <v>ade Caballero</v>
      </c>
      <c r="AP424" s="2"/>
      <c r="AQ424" s="3"/>
      <c r="AR424" s="3"/>
      <c r="AS424" s="3"/>
      <c r="AT424" s="3"/>
    </row>
    <row r="425" spans="1:46" ht="15">
      <c r="A425" s="64" t="s">
        <v>2320</v>
      </c>
      <c r="B425" s="65"/>
      <c r="C425" s="65"/>
      <c r="D425" s="66">
        <v>150</v>
      </c>
      <c r="E425" s="102">
        <v>97.85714285714286</v>
      </c>
      <c r="F425" s="98" t="str">
        <f>HYPERLINK("https://i.ytimg.com/vi/Yq_1PLze-Y4/default.jpg")</f>
        <v>https://i.ytimg.com/vi/Yq_1PLze-Y4/default.jpg</v>
      </c>
      <c r="G425" s="100"/>
      <c r="H425" s="69" t="s">
        <v>2797</v>
      </c>
      <c r="I425" s="70"/>
      <c r="J425" s="104" t="s">
        <v>159</v>
      </c>
      <c r="K425" s="69" t="s">
        <v>2797</v>
      </c>
      <c r="L425" s="105">
        <v>1</v>
      </c>
      <c r="M425" s="74">
        <v>7484.9716796875</v>
      </c>
      <c r="N425" s="74">
        <v>7894.72509765625</v>
      </c>
      <c r="O425" s="75"/>
      <c r="P425" s="76"/>
      <c r="Q425" s="76"/>
      <c r="R425" s="106"/>
      <c r="S425" s="48">
        <v>1</v>
      </c>
      <c r="T425" s="48">
        <v>0</v>
      </c>
      <c r="U425" s="49">
        <v>0</v>
      </c>
      <c r="V425" s="49">
        <v>0.149534</v>
      </c>
      <c r="W425" s="107"/>
      <c r="X425" s="50"/>
      <c r="Y425" s="50"/>
      <c r="Z425" s="49">
        <v>0</v>
      </c>
      <c r="AA425" s="71">
        <v>425</v>
      </c>
      <c r="AB425" s="71"/>
      <c r="AC425" s="72"/>
      <c r="AD425" s="79" t="s">
        <v>2797</v>
      </c>
      <c r="AE425" s="79" t="s">
        <v>3245</v>
      </c>
      <c r="AF425" s="79" t="s">
        <v>3576</v>
      </c>
      <c r="AG425" s="79" t="s">
        <v>3809</v>
      </c>
      <c r="AH425" s="79" t="s">
        <v>4162</v>
      </c>
      <c r="AI425" s="79">
        <v>16</v>
      </c>
      <c r="AJ425" s="79">
        <v>0</v>
      </c>
      <c r="AK425" s="79">
        <v>1</v>
      </c>
      <c r="AL425" s="79">
        <v>0</v>
      </c>
      <c r="AM425" s="79" t="s">
        <v>2092</v>
      </c>
      <c r="AN425" s="114" t="str">
        <f>HYPERLINK("https://www.youtube.com/watch?v=Yq_1PLze-Y4")</f>
        <v>https://www.youtube.com/watch?v=Yq_1PLze-Y4</v>
      </c>
      <c r="AO425" s="78" t="str">
        <f>REPLACE(INDEX(GroupVertices[Group],MATCH(Vertices[[#This Row],[Vertex]],GroupVertices[Vertex],0)),1,1,"")</f>
        <v>VR - Finnish Vaccine Research</v>
      </c>
      <c r="AP425" s="2"/>
      <c r="AQ425" s="3"/>
      <c r="AR425" s="3"/>
      <c r="AS425" s="3"/>
      <c r="AT425" s="3"/>
    </row>
    <row r="426" spans="1:46" ht="15">
      <c r="A426" s="64" t="s">
        <v>2321</v>
      </c>
      <c r="B426" s="65"/>
      <c r="C426" s="65"/>
      <c r="D426" s="66">
        <v>150</v>
      </c>
      <c r="E426" s="102">
        <v>97.85714285714286</v>
      </c>
      <c r="F426" s="98" t="str">
        <f>HYPERLINK("https://i.ytimg.com/vi/I8geDQoW6Mw/default.jpg")</f>
        <v>https://i.ytimg.com/vi/I8geDQoW6Mw/default.jpg</v>
      </c>
      <c r="G426" s="100"/>
      <c r="H426" s="69" t="s">
        <v>2798</v>
      </c>
      <c r="I426" s="70"/>
      <c r="J426" s="104" t="s">
        <v>159</v>
      </c>
      <c r="K426" s="69" t="s">
        <v>2798</v>
      </c>
      <c r="L426" s="105">
        <v>1</v>
      </c>
      <c r="M426" s="74">
        <v>7642.24853515625</v>
      </c>
      <c r="N426" s="74">
        <v>8374.1025390625</v>
      </c>
      <c r="O426" s="75"/>
      <c r="P426" s="76"/>
      <c r="Q426" s="76"/>
      <c r="R426" s="106"/>
      <c r="S426" s="48">
        <v>1</v>
      </c>
      <c r="T426" s="48">
        <v>0</v>
      </c>
      <c r="U426" s="49">
        <v>0</v>
      </c>
      <c r="V426" s="49">
        <v>0.149534</v>
      </c>
      <c r="W426" s="107"/>
      <c r="X426" s="50"/>
      <c r="Y426" s="50"/>
      <c r="Z426" s="49">
        <v>0</v>
      </c>
      <c r="AA426" s="71">
        <v>426</v>
      </c>
      <c r="AB426" s="71"/>
      <c r="AC426" s="72"/>
      <c r="AD426" s="79" t="s">
        <v>2798</v>
      </c>
      <c r="AE426" s="79" t="s">
        <v>2798</v>
      </c>
      <c r="AF426" s="79"/>
      <c r="AG426" s="79" t="s">
        <v>3810</v>
      </c>
      <c r="AH426" s="79" t="s">
        <v>4163</v>
      </c>
      <c r="AI426" s="79">
        <v>2</v>
      </c>
      <c r="AJ426" s="79">
        <v>0</v>
      </c>
      <c r="AK426" s="79">
        <v>0</v>
      </c>
      <c r="AL426" s="79">
        <v>0</v>
      </c>
      <c r="AM426" s="79" t="s">
        <v>2092</v>
      </c>
      <c r="AN426" s="114" t="str">
        <f>HYPERLINK("https://www.youtube.com/watch?v=I8geDQoW6Mw")</f>
        <v>https://www.youtube.com/watch?v=I8geDQoW6Mw</v>
      </c>
      <c r="AO426" s="78" t="str">
        <f>REPLACE(INDEX(GroupVertices[Group],MATCH(Vertices[[#This Row],[Vertex]],GroupVertices[Vertex],0)),1,1,"")</f>
        <v>ure Public Relations</v>
      </c>
      <c r="AP426" s="2"/>
      <c r="AQ426" s="3"/>
      <c r="AR426" s="3"/>
      <c r="AS426" s="3"/>
      <c r="AT426" s="3"/>
    </row>
    <row r="427" spans="1:46" ht="15">
      <c r="A427" s="64" t="s">
        <v>2322</v>
      </c>
      <c r="B427" s="65"/>
      <c r="C427" s="65"/>
      <c r="D427" s="66">
        <v>150</v>
      </c>
      <c r="E427" s="102">
        <v>97.85714285714286</v>
      </c>
      <c r="F427" s="98" t="str">
        <f>HYPERLINK("https://i.ytimg.com/vi/Xiez6Y2Z9kI/default.jpg")</f>
        <v>https://i.ytimg.com/vi/Xiez6Y2Z9kI/default.jpg</v>
      </c>
      <c r="G427" s="100"/>
      <c r="H427" s="69" t="s">
        <v>2799</v>
      </c>
      <c r="I427" s="70"/>
      <c r="J427" s="104" t="s">
        <v>159</v>
      </c>
      <c r="K427" s="69" t="s">
        <v>2799</v>
      </c>
      <c r="L427" s="105">
        <v>1</v>
      </c>
      <c r="M427" s="74">
        <v>7113.3544921875</v>
      </c>
      <c r="N427" s="74">
        <v>7542.34912109375</v>
      </c>
      <c r="O427" s="75"/>
      <c r="P427" s="76"/>
      <c r="Q427" s="76"/>
      <c r="R427" s="106"/>
      <c r="S427" s="48">
        <v>1</v>
      </c>
      <c r="T427" s="48">
        <v>0</v>
      </c>
      <c r="U427" s="49">
        <v>0</v>
      </c>
      <c r="V427" s="49">
        <v>0.149534</v>
      </c>
      <c r="W427" s="107"/>
      <c r="X427" s="50"/>
      <c r="Y427" s="50"/>
      <c r="Z427" s="49">
        <v>0</v>
      </c>
      <c r="AA427" s="71">
        <v>427</v>
      </c>
      <c r="AB427" s="71"/>
      <c r="AC427" s="72"/>
      <c r="AD427" s="79" t="s">
        <v>2799</v>
      </c>
      <c r="AE427" s="79" t="s">
        <v>2799</v>
      </c>
      <c r="AF427" s="79"/>
      <c r="AG427" s="79" t="s">
        <v>3810</v>
      </c>
      <c r="AH427" s="79" t="s">
        <v>4164</v>
      </c>
      <c r="AI427" s="79">
        <v>3</v>
      </c>
      <c r="AJ427" s="79">
        <v>0</v>
      </c>
      <c r="AK427" s="79">
        <v>0</v>
      </c>
      <c r="AL427" s="79">
        <v>0</v>
      </c>
      <c r="AM427" s="79" t="s">
        <v>2092</v>
      </c>
      <c r="AN427" s="114" t="str">
        <f>HYPERLINK("https://www.youtube.com/watch?v=Xiez6Y2Z9kI")</f>
        <v>https://www.youtube.com/watch?v=Xiez6Y2Z9kI</v>
      </c>
      <c r="AO427" s="78" t="str">
        <f>REPLACE(INDEX(GroupVertices[Group],MATCH(Vertices[[#This Row],[Vertex]],GroupVertices[Vertex],0)),1,1,"")</f>
        <v>ure Public Relations</v>
      </c>
      <c r="AP427" s="2"/>
      <c r="AQ427" s="3"/>
      <c r="AR427" s="3"/>
      <c r="AS427" s="3"/>
      <c r="AT427" s="3"/>
    </row>
    <row r="428" spans="1:46" ht="15">
      <c r="A428" s="64" t="s">
        <v>2323</v>
      </c>
      <c r="B428" s="65"/>
      <c r="C428" s="65"/>
      <c r="D428" s="66">
        <v>150</v>
      </c>
      <c r="E428" s="102">
        <v>97.85714285714286</v>
      </c>
      <c r="F428" s="98" t="str">
        <f>HYPERLINK("https://i.ytimg.com/vi/BA6uwKBShew/default.jpg")</f>
        <v>https://i.ytimg.com/vi/BA6uwKBShew/default.jpg</v>
      </c>
      <c r="G428" s="100"/>
      <c r="H428" s="69" t="s">
        <v>2800</v>
      </c>
      <c r="I428" s="70"/>
      <c r="J428" s="104" t="s">
        <v>159</v>
      </c>
      <c r="K428" s="69" t="s">
        <v>2800</v>
      </c>
      <c r="L428" s="105">
        <v>1</v>
      </c>
      <c r="M428" s="74">
        <v>7408.43115234375</v>
      </c>
      <c r="N428" s="74">
        <v>8206.8232421875</v>
      </c>
      <c r="O428" s="75"/>
      <c r="P428" s="76"/>
      <c r="Q428" s="76"/>
      <c r="R428" s="106"/>
      <c r="S428" s="48">
        <v>1</v>
      </c>
      <c r="T428" s="48">
        <v>0</v>
      </c>
      <c r="U428" s="49">
        <v>0</v>
      </c>
      <c r="V428" s="49">
        <v>0.149534</v>
      </c>
      <c r="W428" s="107"/>
      <c r="X428" s="50"/>
      <c r="Y428" s="50"/>
      <c r="Z428" s="49">
        <v>0</v>
      </c>
      <c r="AA428" s="71">
        <v>428</v>
      </c>
      <c r="AB428" s="71"/>
      <c r="AC428" s="72"/>
      <c r="AD428" s="79" t="s">
        <v>2800</v>
      </c>
      <c r="AE428" s="79" t="s">
        <v>3246</v>
      </c>
      <c r="AF428" s="79" t="s">
        <v>3577</v>
      </c>
      <c r="AG428" s="79" t="s">
        <v>3811</v>
      </c>
      <c r="AH428" s="79" t="s">
        <v>4165</v>
      </c>
      <c r="AI428" s="79">
        <v>3850</v>
      </c>
      <c r="AJ428" s="79">
        <v>8</v>
      </c>
      <c r="AK428" s="79">
        <v>99</v>
      </c>
      <c r="AL428" s="79">
        <v>0</v>
      </c>
      <c r="AM428" s="79" t="s">
        <v>2092</v>
      </c>
      <c r="AN428" s="114" t="str">
        <f>HYPERLINK("https://www.youtube.com/watch?v=BA6uwKBShew")</f>
        <v>https://www.youtube.com/watch?v=BA6uwKBShew</v>
      </c>
      <c r="AO428" s="78" t="str">
        <f>REPLACE(INDEX(GroupVertices[Group],MATCH(Vertices[[#This Row],[Vertex]],GroupVertices[Vertex],0)),1,1,"")</f>
        <v>pecial Education Cambodia</v>
      </c>
      <c r="AP428" s="2"/>
      <c r="AQ428" s="3"/>
      <c r="AR428" s="3"/>
      <c r="AS428" s="3"/>
      <c r="AT428" s="3"/>
    </row>
    <row r="429" spans="1:46" ht="15">
      <c r="A429" s="64" t="s">
        <v>2324</v>
      </c>
      <c r="B429" s="65"/>
      <c r="C429" s="65"/>
      <c r="D429" s="66">
        <v>150</v>
      </c>
      <c r="E429" s="102">
        <v>97.85714285714286</v>
      </c>
      <c r="F429" s="98" t="str">
        <f>HYPERLINK("https://i.ytimg.com/vi/FMF9zhlqBeA/default.jpg")</f>
        <v>https://i.ytimg.com/vi/FMF9zhlqBeA/default.jpg</v>
      </c>
      <c r="G429" s="100"/>
      <c r="H429" s="69" t="s">
        <v>2801</v>
      </c>
      <c r="I429" s="70"/>
      <c r="J429" s="104" t="s">
        <v>159</v>
      </c>
      <c r="K429" s="69" t="s">
        <v>2801</v>
      </c>
      <c r="L429" s="105">
        <v>1</v>
      </c>
      <c r="M429" s="74">
        <v>7660.935546875</v>
      </c>
      <c r="N429" s="74">
        <v>8860.1728515625</v>
      </c>
      <c r="O429" s="75"/>
      <c r="P429" s="76"/>
      <c r="Q429" s="76"/>
      <c r="R429" s="106"/>
      <c r="S429" s="48">
        <v>1</v>
      </c>
      <c r="T429" s="48">
        <v>0</v>
      </c>
      <c r="U429" s="49">
        <v>0</v>
      </c>
      <c r="V429" s="49">
        <v>0.149534</v>
      </c>
      <c r="W429" s="107"/>
      <c r="X429" s="50"/>
      <c r="Y429" s="50"/>
      <c r="Z429" s="49">
        <v>0</v>
      </c>
      <c r="AA429" s="71">
        <v>429</v>
      </c>
      <c r="AB429" s="71"/>
      <c r="AC429" s="72"/>
      <c r="AD429" s="79" t="s">
        <v>2801</v>
      </c>
      <c r="AE429" s="79" t="s">
        <v>3247</v>
      </c>
      <c r="AF429" s="79"/>
      <c r="AG429" s="79" t="s">
        <v>3812</v>
      </c>
      <c r="AH429" s="79" t="s">
        <v>4166</v>
      </c>
      <c r="AI429" s="79">
        <v>19</v>
      </c>
      <c r="AJ429" s="79">
        <v>0</v>
      </c>
      <c r="AK429" s="79">
        <v>0</v>
      </c>
      <c r="AL429" s="79">
        <v>0</v>
      </c>
      <c r="AM429" s="79" t="s">
        <v>2092</v>
      </c>
      <c r="AN429" s="114" t="str">
        <f>HYPERLINK("https://www.youtube.com/watch?v=FMF9zhlqBeA")</f>
        <v>https://www.youtube.com/watch?v=FMF9zhlqBeA</v>
      </c>
      <c r="AO429" s="78" t="str">
        <f>REPLACE(INDEX(GroupVertices[Group],MATCH(Vertices[[#This Row],[Vertex]],GroupVertices[Vertex],0)),1,1,"")</f>
        <v>eazley Group</v>
      </c>
      <c r="AP429" s="2"/>
      <c r="AQ429" s="3"/>
      <c r="AR429" s="3"/>
      <c r="AS429" s="3"/>
      <c r="AT429" s="3"/>
    </row>
    <row r="430" spans="1:46" ht="15">
      <c r="A430" s="64" t="s">
        <v>2325</v>
      </c>
      <c r="B430" s="65"/>
      <c r="C430" s="65"/>
      <c r="D430" s="66">
        <v>150</v>
      </c>
      <c r="E430" s="102">
        <v>97.85714285714286</v>
      </c>
      <c r="F430" s="98" t="str">
        <f>HYPERLINK("https://i.ytimg.com/vi/h-osCG6Bz5w/default.jpg")</f>
        <v>https://i.ytimg.com/vi/h-osCG6Bz5w/default.jpg</v>
      </c>
      <c r="G430" s="100"/>
      <c r="H430" s="69" t="s">
        <v>2802</v>
      </c>
      <c r="I430" s="70"/>
      <c r="J430" s="104" t="s">
        <v>159</v>
      </c>
      <c r="K430" s="69" t="s">
        <v>2802</v>
      </c>
      <c r="L430" s="105">
        <v>1</v>
      </c>
      <c r="M430" s="74">
        <v>7118.103515625</v>
      </c>
      <c r="N430" s="74">
        <v>9855.3359375</v>
      </c>
      <c r="O430" s="75"/>
      <c r="P430" s="76"/>
      <c r="Q430" s="76"/>
      <c r="R430" s="106"/>
      <c r="S430" s="48">
        <v>1</v>
      </c>
      <c r="T430" s="48">
        <v>0</v>
      </c>
      <c r="U430" s="49">
        <v>0</v>
      </c>
      <c r="V430" s="49">
        <v>0.149534</v>
      </c>
      <c r="W430" s="107"/>
      <c r="X430" s="50"/>
      <c r="Y430" s="50"/>
      <c r="Z430" s="49">
        <v>0</v>
      </c>
      <c r="AA430" s="71">
        <v>430</v>
      </c>
      <c r="AB430" s="71"/>
      <c r="AC430" s="72"/>
      <c r="AD430" s="79" t="s">
        <v>2802</v>
      </c>
      <c r="AE430" s="79" t="s">
        <v>3248</v>
      </c>
      <c r="AF430" s="79"/>
      <c r="AG430" s="79" t="s">
        <v>3813</v>
      </c>
      <c r="AH430" s="79" t="s">
        <v>4167</v>
      </c>
      <c r="AI430" s="79">
        <v>44</v>
      </c>
      <c r="AJ430" s="79">
        <v>0</v>
      </c>
      <c r="AK430" s="79">
        <v>0</v>
      </c>
      <c r="AL430" s="79">
        <v>0</v>
      </c>
      <c r="AM430" s="79" t="s">
        <v>2092</v>
      </c>
      <c r="AN430" s="114" t="str">
        <f>HYPERLINK("https://www.youtube.com/watch?v=h-osCG6Bz5w")</f>
        <v>https://www.youtube.com/watch?v=h-osCG6Bz5w</v>
      </c>
      <c r="AO430" s="78" t="str">
        <f>REPLACE(INDEX(GroupVertices[Group],MATCH(Vertices[[#This Row],[Vertex]],GroupVertices[Vertex],0)),1,1,"")</f>
        <v>SC Victoria</v>
      </c>
      <c r="AP430" s="2"/>
      <c r="AQ430" s="3"/>
      <c r="AR430" s="3"/>
      <c r="AS430" s="3"/>
      <c r="AT430" s="3"/>
    </row>
    <row r="431" spans="1:46" ht="15">
      <c r="A431" s="64" t="s">
        <v>2326</v>
      </c>
      <c r="B431" s="65"/>
      <c r="C431" s="65"/>
      <c r="D431" s="66">
        <v>150</v>
      </c>
      <c r="E431" s="102">
        <v>97.85714285714286</v>
      </c>
      <c r="F431" s="98" t="str">
        <f>HYPERLINK("https://i.ytimg.com/vi/7nXtYPfaqm8/default.jpg")</f>
        <v>https://i.ytimg.com/vi/7nXtYPfaqm8/default.jpg</v>
      </c>
      <c r="G431" s="100"/>
      <c r="H431" s="69" t="s">
        <v>2803</v>
      </c>
      <c r="I431" s="70"/>
      <c r="J431" s="104" t="s">
        <v>159</v>
      </c>
      <c r="K431" s="69" t="s">
        <v>2803</v>
      </c>
      <c r="L431" s="105">
        <v>1</v>
      </c>
      <c r="M431" s="74">
        <v>7325.16259765625</v>
      </c>
      <c r="N431" s="74">
        <v>7837.2275390625</v>
      </c>
      <c r="O431" s="75"/>
      <c r="P431" s="76"/>
      <c r="Q431" s="76"/>
      <c r="R431" s="106"/>
      <c r="S431" s="48">
        <v>1</v>
      </c>
      <c r="T431" s="48">
        <v>0</v>
      </c>
      <c r="U431" s="49">
        <v>0</v>
      </c>
      <c r="V431" s="49">
        <v>0.149534</v>
      </c>
      <c r="W431" s="107"/>
      <c r="X431" s="50"/>
      <c r="Y431" s="50"/>
      <c r="Z431" s="49">
        <v>0</v>
      </c>
      <c r="AA431" s="71">
        <v>431</v>
      </c>
      <c r="AB431" s="71"/>
      <c r="AC431" s="72"/>
      <c r="AD431" s="79" t="s">
        <v>2803</v>
      </c>
      <c r="AE431" s="79" t="s">
        <v>3249</v>
      </c>
      <c r="AF431" s="79"/>
      <c r="AG431" s="79" t="s">
        <v>3814</v>
      </c>
      <c r="AH431" s="79" t="s">
        <v>4168</v>
      </c>
      <c r="AI431" s="79">
        <v>4</v>
      </c>
      <c r="AJ431" s="79">
        <v>0</v>
      </c>
      <c r="AK431" s="79">
        <v>0</v>
      </c>
      <c r="AL431" s="79">
        <v>0</v>
      </c>
      <c r="AM431" s="79" t="s">
        <v>2092</v>
      </c>
      <c r="AN431" s="114" t="str">
        <f>HYPERLINK("https://www.youtube.com/watch?v=7nXtYPfaqm8")</f>
        <v>https://www.youtube.com/watch?v=7nXtYPfaqm8</v>
      </c>
      <c r="AO431" s="78" t="str">
        <f>REPLACE(INDEX(GroupVertices[Group],MATCH(Vertices[[#This Row],[Vertex]],GroupVertices[Vertex],0)),1,1,"")</f>
        <v>onnectivity Traumatic Brain Injury Australia</v>
      </c>
      <c r="AP431" s="2"/>
      <c r="AQ431" s="3"/>
      <c r="AR431" s="3"/>
      <c r="AS431" s="3"/>
      <c r="AT431" s="3"/>
    </row>
    <row r="432" spans="1:46" ht="15">
      <c r="A432" s="64" t="s">
        <v>2327</v>
      </c>
      <c r="B432" s="65"/>
      <c r="C432" s="65"/>
      <c r="D432" s="66">
        <v>150</v>
      </c>
      <c r="E432" s="102">
        <v>97.85714285714286</v>
      </c>
      <c r="F432" s="98" t="str">
        <f>HYPERLINK("https://i.ytimg.com/vi/HDcrTUnul2I/default.jpg")</f>
        <v>https://i.ytimg.com/vi/HDcrTUnul2I/default.jpg</v>
      </c>
      <c r="G432" s="100"/>
      <c r="H432" s="69" t="s">
        <v>2804</v>
      </c>
      <c r="I432" s="70"/>
      <c r="J432" s="104" t="s">
        <v>159</v>
      </c>
      <c r="K432" s="69" t="s">
        <v>2804</v>
      </c>
      <c r="L432" s="105">
        <v>1</v>
      </c>
      <c r="M432" s="74">
        <v>7314.3173828125</v>
      </c>
      <c r="N432" s="74">
        <v>9478.669921875</v>
      </c>
      <c r="O432" s="75"/>
      <c r="P432" s="76"/>
      <c r="Q432" s="76"/>
      <c r="R432" s="106"/>
      <c r="S432" s="48">
        <v>1</v>
      </c>
      <c r="T432" s="48">
        <v>0</v>
      </c>
      <c r="U432" s="49">
        <v>0</v>
      </c>
      <c r="V432" s="49">
        <v>0.149534</v>
      </c>
      <c r="W432" s="107"/>
      <c r="X432" s="50"/>
      <c r="Y432" s="50"/>
      <c r="Z432" s="49">
        <v>0</v>
      </c>
      <c r="AA432" s="71">
        <v>432</v>
      </c>
      <c r="AB432" s="71"/>
      <c r="AC432" s="72"/>
      <c r="AD432" s="79" t="s">
        <v>2804</v>
      </c>
      <c r="AE432" s="79" t="s">
        <v>3250</v>
      </c>
      <c r="AF432" s="79"/>
      <c r="AG432" s="79" t="s">
        <v>3815</v>
      </c>
      <c r="AH432" s="79" t="s">
        <v>4169</v>
      </c>
      <c r="AI432" s="79">
        <v>69</v>
      </c>
      <c r="AJ432" s="79">
        <v>0</v>
      </c>
      <c r="AK432" s="79">
        <v>4</v>
      </c>
      <c r="AL432" s="79">
        <v>0</v>
      </c>
      <c r="AM432" s="79" t="s">
        <v>2092</v>
      </c>
      <c r="AN432" s="114" t="str">
        <f>HYPERLINK("https://www.youtube.com/watch?v=HDcrTUnul2I")</f>
        <v>https://www.youtube.com/watch?v=HDcrTUnul2I</v>
      </c>
      <c r="AO432" s="78" t="str">
        <f>REPLACE(INDEX(GroupVertices[Group],MATCH(Vertices[[#This Row],[Vertex]],GroupVertices[Vertex],0)),1,1,"")</f>
        <v>ooki</v>
      </c>
      <c r="AP432" s="2"/>
      <c r="AQ432" s="3"/>
      <c r="AR432" s="3"/>
      <c r="AS432" s="3"/>
      <c r="AT432" s="3"/>
    </row>
    <row r="433" spans="1:46" ht="15">
      <c r="A433" s="64" t="s">
        <v>2328</v>
      </c>
      <c r="B433" s="65"/>
      <c r="C433" s="65"/>
      <c r="D433" s="66">
        <v>150</v>
      </c>
      <c r="E433" s="102">
        <v>97.85714285714286</v>
      </c>
      <c r="F433" s="98" t="str">
        <f>HYPERLINK("https://i.ytimg.com/vi/iqHydsgS6eo/default.jpg")</f>
        <v>https://i.ytimg.com/vi/iqHydsgS6eo/default.jpg</v>
      </c>
      <c r="G433" s="100"/>
      <c r="H433" s="69" t="s">
        <v>2805</v>
      </c>
      <c r="I433" s="70"/>
      <c r="J433" s="104" t="s">
        <v>159</v>
      </c>
      <c r="K433" s="69" t="s">
        <v>2805</v>
      </c>
      <c r="L433" s="105">
        <v>1</v>
      </c>
      <c r="M433" s="74">
        <v>7546.37451171875</v>
      </c>
      <c r="N433" s="74">
        <v>9329.9248046875</v>
      </c>
      <c r="O433" s="75"/>
      <c r="P433" s="76"/>
      <c r="Q433" s="76"/>
      <c r="R433" s="106"/>
      <c r="S433" s="48">
        <v>1</v>
      </c>
      <c r="T433" s="48">
        <v>0</v>
      </c>
      <c r="U433" s="49">
        <v>0</v>
      </c>
      <c r="V433" s="49">
        <v>0.149534</v>
      </c>
      <c r="W433" s="107"/>
      <c r="X433" s="50"/>
      <c r="Y433" s="50"/>
      <c r="Z433" s="49">
        <v>0</v>
      </c>
      <c r="AA433" s="71">
        <v>433</v>
      </c>
      <c r="AB433" s="71"/>
      <c r="AC433" s="72"/>
      <c r="AD433" s="79" t="s">
        <v>2805</v>
      </c>
      <c r="AE433" s="79" t="s">
        <v>3251</v>
      </c>
      <c r="AF433" s="79"/>
      <c r="AG433" s="79" t="s">
        <v>3815</v>
      </c>
      <c r="AH433" s="79" t="s">
        <v>4170</v>
      </c>
      <c r="AI433" s="79">
        <v>260</v>
      </c>
      <c r="AJ433" s="79">
        <v>0</v>
      </c>
      <c r="AK433" s="79">
        <v>9</v>
      </c>
      <c r="AL433" s="79">
        <v>0</v>
      </c>
      <c r="AM433" s="79" t="s">
        <v>2092</v>
      </c>
      <c r="AN433" s="114" t="str">
        <f>HYPERLINK("https://www.youtube.com/watch?v=iqHydsgS6eo")</f>
        <v>https://www.youtube.com/watch?v=iqHydsgS6eo</v>
      </c>
      <c r="AO433" s="78" t="str">
        <f>REPLACE(INDEX(GroupVertices[Group],MATCH(Vertices[[#This Row],[Vertex]],GroupVertices[Vertex],0)),1,1,"")</f>
        <v>ooki</v>
      </c>
      <c r="AP433" s="2"/>
      <c r="AQ433" s="3"/>
      <c r="AR433" s="3"/>
      <c r="AS433" s="3"/>
      <c r="AT433" s="3"/>
    </row>
    <row r="434" spans="1:46" ht="15">
      <c r="A434" s="64" t="s">
        <v>2329</v>
      </c>
      <c r="B434" s="65"/>
      <c r="C434" s="65"/>
      <c r="D434" s="66">
        <v>150</v>
      </c>
      <c r="E434" s="102">
        <v>97.85714285714286</v>
      </c>
      <c r="F434" s="98" t="str">
        <f>HYPERLINK("https://i.ytimg.com/vi/MNg1SIoODp4/default.jpg")</f>
        <v>https://i.ytimg.com/vi/MNg1SIoODp4/default.jpg</v>
      </c>
      <c r="G434" s="100"/>
      <c r="H434" s="69" t="s">
        <v>2806</v>
      </c>
      <c r="I434" s="70"/>
      <c r="J434" s="104" t="s">
        <v>159</v>
      </c>
      <c r="K434" s="69" t="s">
        <v>2806</v>
      </c>
      <c r="L434" s="105">
        <v>1</v>
      </c>
      <c r="M434" s="74">
        <v>7458.82763671875</v>
      </c>
      <c r="N434" s="74">
        <v>9563.7060546875</v>
      </c>
      <c r="O434" s="75"/>
      <c r="P434" s="76"/>
      <c r="Q434" s="76"/>
      <c r="R434" s="106"/>
      <c r="S434" s="48">
        <v>1</v>
      </c>
      <c r="T434" s="48">
        <v>0</v>
      </c>
      <c r="U434" s="49">
        <v>0</v>
      </c>
      <c r="V434" s="49">
        <v>0.149534</v>
      </c>
      <c r="W434" s="107"/>
      <c r="X434" s="50"/>
      <c r="Y434" s="50"/>
      <c r="Z434" s="49">
        <v>0</v>
      </c>
      <c r="AA434" s="71">
        <v>434</v>
      </c>
      <c r="AB434" s="71"/>
      <c r="AC434" s="72"/>
      <c r="AD434" s="79" t="s">
        <v>2806</v>
      </c>
      <c r="AE434" s="79" t="s">
        <v>3252</v>
      </c>
      <c r="AF434" s="79"/>
      <c r="AG434" s="79" t="s">
        <v>3815</v>
      </c>
      <c r="AH434" s="79" t="s">
        <v>4171</v>
      </c>
      <c r="AI434" s="79">
        <v>317</v>
      </c>
      <c r="AJ434" s="79">
        <v>0</v>
      </c>
      <c r="AK434" s="79">
        <v>11</v>
      </c>
      <c r="AL434" s="79">
        <v>0</v>
      </c>
      <c r="AM434" s="79" t="s">
        <v>2092</v>
      </c>
      <c r="AN434" s="114" t="str">
        <f>HYPERLINK("https://www.youtube.com/watch?v=MNg1SIoODp4")</f>
        <v>https://www.youtube.com/watch?v=MNg1SIoODp4</v>
      </c>
      <c r="AO434" s="78" t="str">
        <f>REPLACE(INDEX(GroupVertices[Group],MATCH(Vertices[[#This Row],[Vertex]],GroupVertices[Vertex],0)),1,1,"")</f>
        <v>ooki</v>
      </c>
      <c r="AP434" s="2"/>
      <c r="AQ434" s="3"/>
      <c r="AR434" s="3"/>
      <c r="AS434" s="3"/>
      <c r="AT434" s="3"/>
    </row>
    <row r="435" spans="1:46" ht="15">
      <c r="A435" s="64" t="s">
        <v>349</v>
      </c>
      <c r="B435" s="65"/>
      <c r="C435" s="65"/>
      <c r="D435" s="66">
        <v>150</v>
      </c>
      <c r="E435" s="102">
        <v>97.85714285714286</v>
      </c>
      <c r="F435" s="98" t="str">
        <f>HYPERLINK("https://i.ytimg.com/vi/eSENq-qSEVo/default.jpg")</f>
        <v>https://i.ytimg.com/vi/eSENq-qSEVo/default.jpg</v>
      </c>
      <c r="G435" s="100"/>
      <c r="H435" s="69" t="s">
        <v>751</v>
      </c>
      <c r="I435" s="70"/>
      <c r="J435" s="104" t="s">
        <v>159</v>
      </c>
      <c r="K435" s="69" t="s">
        <v>751</v>
      </c>
      <c r="L435" s="105">
        <v>1</v>
      </c>
      <c r="M435" s="74">
        <v>7471.64404296875</v>
      </c>
      <c r="N435" s="74">
        <v>8623.8037109375</v>
      </c>
      <c r="O435" s="75"/>
      <c r="P435" s="76"/>
      <c r="Q435" s="76"/>
      <c r="R435" s="106"/>
      <c r="S435" s="48">
        <v>1</v>
      </c>
      <c r="T435" s="48">
        <v>0</v>
      </c>
      <c r="U435" s="49">
        <v>0</v>
      </c>
      <c r="V435" s="49">
        <v>0.149534</v>
      </c>
      <c r="W435" s="107"/>
      <c r="X435" s="50"/>
      <c r="Y435" s="50"/>
      <c r="Z435" s="49">
        <v>0</v>
      </c>
      <c r="AA435" s="71">
        <v>435</v>
      </c>
      <c r="AB435" s="71"/>
      <c r="AC435" s="72"/>
      <c r="AD435" s="79" t="s">
        <v>751</v>
      </c>
      <c r="AE435" s="79" t="s">
        <v>3253</v>
      </c>
      <c r="AF435" s="79" t="s">
        <v>1358</v>
      </c>
      <c r="AG435" s="79" t="s">
        <v>1524</v>
      </c>
      <c r="AH435" s="79" t="s">
        <v>1807</v>
      </c>
      <c r="AI435" s="79">
        <v>20</v>
      </c>
      <c r="AJ435" s="79">
        <v>0</v>
      </c>
      <c r="AK435" s="79">
        <v>0</v>
      </c>
      <c r="AL435" s="79">
        <v>0</v>
      </c>
      <c r="AM435" s="79" t="s">
        <v>2092</v>
      </c>
      <c r="AN435" s="114" t="str">
        <f>HYPERLINK("https://www.youtube.com/watch?v=eSENq-qSEVo")</f>
        <v>https://www.youtube.com/watch?v=eSENq-qSEVo</v>
      </c>
      <c r="AO435" s="78" t="str">
        <f>REPLACE(INDEX(GroupVertices[Group],MATCH(Vertices[[#This Row],[Vertex]],GroupVertices[Vertex],0)),1,1,"")</f>
        <v>ip in the Bud</v>
      </c>
      <c r="AP435" s="2"/>
      <c r="AQ435" s="3"/>
      <c r="AR435" s="3"/>
      <c r="AS435" s="3"/>
      <c r="AT435" s="3"/>
    </row>
    <row r="436" spans="1:46" ht="15">
      <c r="A436" s="64" t="s">
        <v>370</v>
      </c>
      <c r="B436" s="65"/>
      <c r="C436" s="65"/>
      <c r="D436" s="66">
        <v>150</v>
      </c>
      <c r="E436" s="102">
        <v>97.85714285714286</v>
      </c>
      <c r="F436" s="98" t="str">
        <f>HYPERLINK("https://i.ytimg.com/vi/DatYiiSxxUE/default.jpg")</f>
        <v>https://i.ytimg.com/vi/DatYiiSxxUE/default.jpg</v>
      </c>
      <c r="G436" s="100"/>
      <c r="H436" s="69" t="s">
        <v>776</v>
      </c>
      <c r="I436" s="70"/>
      <c r="J436" s="104" t="s">
        <v>159</v>
      </c>
      <c r="K436" s="69" t="s">
        <v>776</v>
      </c>
      <c r="L436" s="105">
        <v>1</v>
      </c>
      <c r="M436" s="74">
        <v>7262.2197265625</v>
      </c>
      <c r="N436" s="74">
        <v>7642.7314453125</v>
      </c>
      <c r="O436" s="75"/>
      <c r="P436" s="76"/>
      <c r="Q436" s="76"/>
      <c r="R436" s="106"/>
      <c r="S436" s="48">
        <v>1</v>
      </c>
      <c r="T436" s="48">
        <v>0</v>
      </c>
      <c r="U436" s="49">
        <v>0</v>
      </c>
      <c r="V436" s="49">
        <v>0.149534</v>
      </c>
      <c r="W436" s="107"/>
      <c r="X436" s="50"/>
      <c r="Y436" s="50"/>
      <c r="Z436" s="49">
        <v>0</v>
      </c>
      <c r="AA436" s="71">
        <v>436</v>
      </c>
      <c r="AB436" s="71"/>
      <c r="AC436" s="72"/>
      <c r="AD436" s="79" t="s">
        <v>776</v>
      </c>
      <c r="AE436" s="79" t="s">
        <v>3254</v>
      </c>
      <c r="AF436" s="79" t="s">
        <v>1371</v>
      </c>
      <c r="AG436" s="79" t="s">
        <v>1524</v>
      </c>
      <c r="AH436" s="79" t="s">
        <v>1832</v>
      </c>
      <c r="AI436" s="79">
        <v>1679</v>
      </c>
      <c r="AJ436" s="79">
        <v>0</v>
      </c>
      <c r="AK436" s="79">
        <v>10</v>
      </c>
      <c r="AL436" s="79">
        <v>0</v>
      </c>
      <c r="AM436" s="79" t="s">
        <v>2092</v>
      </c>
      <c r="AN436" s="114" t="str">
        <f>HYPERLINK("https://www.youtube.com/watch?v=DatYiiSxxUE")</f>
        <v>https://www.youtube.com/watch?v=DatYiiSxxUE</v>
      </c>
      <c r="AO436" s="78" t="str">
        <f>REPLACE(INDEX(GroupVertices[Group],MATCH(Vertices[[#This Row],[Vertex]],GroupVertices[Vertex],0)),1,1,"")</f>
        <v>ip in the Bud</v>
      </c>
      <c r="AP436" s="2"/>
      <c r="AQ436" s="3"/>
      <c r="AR436" s="3"/>
      <c r="AS436" s="3"/>
      <c r="AT436" s="3"/>
    </row>
    <row r="437" spans="1:46" ht="15">
      <c r="A437" s="64" t="s">
        <v>448</v>
      </c>
      <c r="B437" s="65"/>
      <c r="C437" s="65"/>
      <c r="D437" s="66">
        <v>150</v>
      </c>
      <c r="E437" s="102">
        <v>97.85714285714286</v>
      </c>
      <c r="F437" s="98" t="str">
        <f>HYPERLINK("https://i.ytimg.com/vi/qrVTmmQNDmE/default.jpg")</f>
        <v>https://i.ytimg.com/vi/qrVTmmQNDmE/default.jpg</v>
      </c>
      <c r="G437" s="100"/>
      <c r="H437" s="69" t="s">
        <v>866</v>
      </c>
      <c r="I437" s="70"/>
      <c r="J437" s="104" t="s">
        <v>159</v>
      </c>
      <c r="K437" s="69" t="s">
        <v>866</v>
      </c>
      <c r="L437" s="105">
        <v>1</v>
      </c>
      <c r="M437" s="74">
        <v>7696.6865234375</v>
      </c>
      <c r="N437" s="74">
        <v>8616.568359375</v>
      </c>
      <c r="O437" s="75"/>
      <c r="P437" s="76"/>
      <c r="Q437" s="76"/>
      <c r="R437" s="106"/>
      <c r="S437" s="48">
        <v>1</v>
      </c>
      <c r="T437" s="48">
        <v>0</v>
      </c>
      <c r="U437" s="49">
        <v>0</v>
      </c>
      <c r="V437" s="49">
        <v>0.149534</v>
      </c>
      <c r="W437" s="107"/>
      <c r="X437" s="50"/>
      <c r="Y437" s="50"/>
      <c r="Z437" s="49">
        <v>0</v>
      </c>
      <c r="AA437" s="71">
        <v>437</v>
      </c>
      <c r="AB437" s="71"/>
      <c r="AC437" s="72"/>
      <c r="AD437" s="79" t="s">
        <v>866</v>
      </c>
      <c r="AE437" s="79" t="s">
        <v>3255</v>
      </c>
      <c r="AF437" s="79" t="s">
        <v>1405</v>
      </c>
      <c r="AG437" s="79" t="s">
        <v>1524</v>
      </c>
      <c r="AH437" s="79" t="s">
        <v>1922</v>
      </c>
      <c r="AI437" s="79">
        <v>3645</v>
      </c>
      <c r="AJ437" s="79">
        <v>0</v>
      </c>
      <c r="AK437" s="79">
        <v>31</v>
      </c>
      <c r="AL437" s="79">
        <v>0</v>
      </c>
      <c r="AM437" s="79" t="s">
        <v>2092</v>
      </c>
      <c r="AN437" s="114" t="str">
        <f>HYPERLINK("https://www.youtube.com/watch?v=qrVTmmQNDmE")</f>
        <v>https://www.youtube.com/watch?v=qrVTmmQNDmE</v>
      </c>
      <c r="AO437" s="78" t="str">
        <f>REPLACE(INDEX(GroupVertices[Group],MATCH(Vertices[[#This Row],[Vertex]],GroupVertices[Vertex],0)),1,1,"")</f>
        <v>ip in the Bud</v>
      </c>
      <c r="AP437" s="2"/>
      <c r="AQ437" s="3"/>
      <c r="AR437" s="3"/>
      <c r="AS437" s="3"/>
      <c r="AT437" s="3"/>
    </row>
    <row r="438" spans="1:46" ht="15">
      <c r="A438" s="64" t="s">
        <v>2330</v>
      </c>
      <c r="B438" s="65"/>
      <c r="C438" s="65"/>
      <c r="D438" s="66">
        <v>150</v>
      </c>
      <c r="E438" s="102">
        <v>97.85714285714286</v>
      </c>
      <c r="F438" s="98" t="str">
        <f>HYPERLINK("https://i.ytimg.com/vi/5Fy_FGY44SE/default.jpg")</f>
        <v>https://i.ytimg.com/vi/5Fy_FGY44SE/default.jpg</v>
      </c>
      <c r="G438" s="100"/>
      <c r="H438" s="69" t="s">
        <v>2807</v>
      </c>
      <c r="I438" s="70"/>
      <c r="J438" s="104" t="s">
        <v>159</v>
      </c>
      <c r="K438" s="69" t="s">
        <v>2807</v>
      </c>
      <c r="L438" s="105">
        <v>1</v>
      </c>
      <c r="M438" s="74">
        <v>9708.3134765625</v>
      </c>
      <c r="N438" s="74">
        <v>6983.966796875</v>
      </c>
      <c r="O438" s="75"/>
      <c r="P438" s="76"/>
      <c r="Q438" s="76"/>
      <c r="R438" s="106"/>
      <c r="S438" s="48">
        <v>1</v>
      </c>
      <c r="T438" s="48">
        <v>0</v>
      </c>
      <c r="U438" s="49">
        <v>0</v>
      </c>
      <c r="V438" s="49">
        <v>0.018263</v>
      </c>
      <c r="W438" s="107"/>
      <c r="X438" s="50"/>
      <c r="Y438" s="50"/>
      <c r="Z438" s="49">
        <v>0</v>
      </c>
      <c r="AA438" s="71">
        <v>438</v>
      </c>
      <c r="AB438" s="71"/>
      <c r="AC438" s="72"/>
      <c r="AD438" s="79" t="s">
        <v>2807</v>
      </c>
      <c r="AE438" s="79" t="s">
        <v>3256</v>
      </c>
      <c r="AF438" s="79"/>
      <c r="AG438" s="79" t="s">
        <v>3816</v>
      </c>
      <c r="AH438" s="79" t="s">
        <v>4172</v>
      </c>
      <c r="AI438" s="79">
        <v>4</v>
      </c>
      <c r="AJ438" s="79">
        <v>0</v>
      </c>
      <c r="AK438" s="79">
        <v>0</v>
      </c>
      <c r="AL438" s="79">
        <v>0</v>
      </c>
      <c r="AM438" s="79" t="s">
        <v>2092</v>
      </c>
      <c r="AN438" s="114" t="str">
        <f>HYPERLINK("https://www.youtube.com/watch?v=5Fy_FGY44SE")</f>
        <v>https://www.youtube.com/watch?v=5Fy_FGY44SE</v>
      </c>
      <c r="AO438" s="78" t="str">
        <f>REPLACE(INDEX(GroupVertices[Group],MATCH(Vertices[[#This Row],[Vertex]],GroupVertices[Vertex],0)),1,1,"")</f>
        <v>haun Trezise</v>
      </c>
      <c r="AP438" s="2"/>
      <c r="AQ438" s="3"/>
      <c r="AR438" s="3"/>
      <c r="AS438" s="3"/>
      <c r="AT438" s="3"/>
    </row>
    <row r="439" spans="1:46" ht="15">
      <c r="A439" s="64" t="s">
        <v>485</v>
      </c>
      <c r="B439" s="65"/>
      <c r="C439" s="65"/>
      <c r="D439" s="66">
        <v>150</v>
      </c>
      <c r="E439" s="102">
        <v>97.85714285714286</v>
      </c>
      <c r="F439" s="98" t="str">
        <f>HYPERLINK("https://i.ytimg.com/vi/9uidfsnXxPA/default.jpg")</f>
        <v>https://i.ytimg.com/vi/9uidfsnXxPA/default.jpg</v>
      </c>
      <c r="G439" s="100"/>
      <c r="H439" s="69" t="s">
        <v>2125</v>
      </c>
      <c r="I439" s="70"/>
      <c r="J439" s="104" t="s">
        <v>159</v>
      </c>
      <c r="K439" s="69" t="s">
        <v>2125</v>
      </c>
      <c r="L439" s="105">
        <v>1</v>
      </c>
      <c r="M439" s="74">
        <v>9649.1259765625</v>
      </c>
      <c r="N439" s="74">
        <v>6516.83740234375</v>
      </c>
      <c r="O439" s="75"/>
      <c r="P439" s="76"/>
      <c r="Q439" s="76"/>
      <c r="R439" s="106"/>
      <c r="S439" s="48">
        <v>1</v>
      </c>
      <c r="T439" s="48">
        <v>0</v>
      </c>
      <c r="U439" s="49">
        <v>0</v>
      </c>
      <c r="V439" s="49">
        <v>0.018263</v>
      </c>
      <c r="W439" s="107"/>
      <c r="X439" s="50"/>
      <c r="Y439" s="50"/>
      <c r="Z439" s="49">
        <v>0</v>
      </c>
      <c r="AA439" s="71">
        <v>439</v>
      </c>
      <c r="AB439" s="71"/>
      <c r="AC439" s="72"/>
      <c r="AD439" s="112">
        <v>45053</v>
      </c>
      <c r="AE439" s="79"/>
      <c r="AF439" s="79"/>
      <c r="AG439" s="79" t="s">
        <v>1647</v>
      </c>
      <c r="AH439" s="79" t="s">
        <v>1963</v>
      </c>
      <c r="AI439" s="79">
        <v>10</v>
      </c>
      <c r="AJ439" s="79">
        <v>0</v>
      </c>
      <c r="AK439" s="79">
        <v>0</v>
      </c>
      <c r="AL439" s="79">
        <v>0</v>
      </c>
      <c r="AM439" s="79" t="s">
        <v>2092</v>
      </c>
      <c r="AN439" s="114" t="str">
        <f>HYPERLINK("https://www.youtube.com/watch?v=9uidfsnXxPA")</f>
        <v>https://www.youtube.com/watch?v=9uidfsnXxPA</v>
      </c>
      <c r="AO439" s="78" t="str">
        <f>REPLACE(INDEX(GroupVertices[Group],MATCH(Vertices[[#This Row],[Vertex]],GroupVertices[Vertex],0)),1,1,"")</f>
        <v>uhammad Usman</v>
      </c>
      <c r="AP439" s="2"/>
      <c r="AQ439" s="3"/>
      <c r="AR439" s="3"/>
      <c r="AS439" s="3"/>
      <c r="AT439" s="3"/>
    </row>
    <row r="440" spans="1:46" ht="15">
      <c r="A440" s="64" t="s">
        <v>486</v>
      </c>
      <c r="B440" s="65"/>
      <c r="C440" s="65"/>
      <c r="D440" s="66">
        <v>150</v>
      </c>
      <c r="E440" s="102">
        <v>97.85714285714286</v>
      </c>
      <c r="F440" s="98" t="str">
        <f>HYPERLINK("https://i.ytimg.com/vi/tTQIMz_9pTE/default.jpg")</f>
        <v>https://i.ytimg.com/vi/tTQIMz_9pTE/default.jpg</v>
      </c>
      <c r="G440" s="100"/>
      <c r="H440" s="69" t="s">
        <v>907</v>
      </c>
      <c r="I440" s="70"/>
      <c r="J440" s="104" t="s">
        <v>159</v>
      </c>
      <c r="K440" s="69" t="s">
        <v>907</v>
      </c>
      <c r="L440" s="105">
        <v>1</v>
      </c>
      <c r="M440" s="74">
        <v>9827.857421875</v>
      </c>
      <c r="N440" s="74">
        <v>6034.99560546875</v>
      </c>
      <c r="O440" s="75"/>
      <c r="P440" s="76"/>
      <c r="Q440" s="76"/>
      <c r="R440" s="106"/>
      <c r="S440" s="48">
        <v>1</v>
      </c>
      <c r="T440" s="48">
        <v>0</v>
      </c>
      <c r="U440" s="49">
        <v>0</v>
      </c>
      <c r="V440" s="49">
        <v>0.018263</v>
      </c>
      <c r="W440" s="107"/>
      <c r="X440" s="50"/>
      <c r="Y440" s="50"/>
      <c r="Z440" s="49">
        <v>0</v>
      </c>
      <c r="AA440" s="71">
        <v>440</v>
      </c>
      <c r="AB440" s="71"/>
      <c r="AC440" s="72"/>
      <c r="AD440" s="79" t="s">
        <v>907</v>
      </c>
      <c r="AE440" s="79" t="s">
        <v>1208</v>
      </c>
      <c r="AF440" s="79" t="s">
        <v>1419</v>
      </c>
      <c r="AG440" s="79" t="s">
        <v>1648</v>
      </c>
      <c r="AH440" s="79" t="s">
        <v>1964</v>
      </c>
      <c r="AI440" s="79">
        <v>4</v>
      </c>
      <c r="AJ440" s="79">
        <v>1</v>
      </c>
      <c r="AK440" s="79">
        <v>0</v>
      </c>
      <c r="AL440" s="79">
        <v>0</v>
      </c>
      <c r="AM440" s="79" t="s">
        <v>2092</v>
      </c>
      <c r="AN440" s="114" t="str">
        <f>HYPERLINK("https://www.youtube.com/watch?v=tTQIMz_9pTE")</f>
        <v>https://www.youtube.com/watch?v=tTQIMz_9pTE</v>
      </c>
      <c r="AO440" s="78" t="str">
        <f>REPLACE(INDEX(GroupVertices[Group],MATCH(Vertices[[#This Row],[Vertex]],GroupVertices[Vertex],0)),1,1,"")</f>
        <v>he Sakib XYZ</v>
      </c>
      <c r="AP440" s="2"/>
      <c r="AQ440" s="3"/>
      <c r="AR440" s="3"/>
      <c r="AS440" s="3"/>
      <c r="AT440" s="3"/>
    </row>
    <row r="441" spans="1:46" ht="15">
      <c r="A441" s="64" t="s">
        <v>487</v>
      </c>
      <c r="B441" s="65"/>
      <c r="C441" s="65"/>
      <c r="D441" s="66">
        <v>150</v>
      </c>
      <c r="E441" s="102">
        <v>97.85714285714286</v>
      </c>
      <c r="F441" s="98" t="str">
        <f>HYPERLINK("https://i.ytimg.com/vi/5SDGH9J4Lho/default.jpg")</f>
        <v>https://i.ytimg.com/vi/5SDGH9J4Lho/default.jpg</v>
      </c>
      <c r="G441" s="100"/>
      <c r="H441" s="69" t="s">
        <v>908</v>
      </c>
      <c r="I441" s="70"/>
      <c r="J441" s="104" t="s">
        <v>159</v>
      </c>
      <c r="K441" s="69" t="s">
        <v>908</v>
      </c>
      <c r="L441" s="105">
        <v>1</v>
      </c>
      <c r="M441" s="74">
        <v>9252.62109375</v>
      </c>
      <c r="N441" s="74">
        <v>5358.65966796875</v>
      </c>
      <c r="O441" s="75"/>
      <c r="P441" s="76"/>
      <c r="Q441" s="76"/>
      <c r="R441" s="106"/>
      <c r="S441" s="48">
        <v>1</v>
      </c>
      <c r="T441" s="48">
        <v>0</v>
      </c>
      <c r="U441" s="49">
        <v>0</v>
      </c>
      <c r="V441" s="49">
        <v>0.018263</v>
      </c>
      <c r="W441" s="107"/>
      <c r="X441" s="50"/>
      <c r="Y441" s="50"/>
      <c r="Z441" s="49">
        <v>0</v>
      </c>
      <c r="AA441" s="71">
        <v>441</v>
      </c>
      <c r="AB441" s="71"/>
      <c r="AC441" s="72"/>
      <c r="AD441" s="79" t="s">
        <v>908</v>
      </c>
      <c r="AE441" s="79" t="s">
        <v>1209</v>
      </c>
      <c r="AF441" s="79" t="s">
        <v>1420</v>
      </c>
      <c r="AG441" s="79" t="s">
        <v>1649</v>
      </c>
      <c r="AH441" s="79" t="s">
        <v>1965</v>
      </c>
      <c r="AI441" s="79">
        <v>59</v>
      </c>
      <c r="AJ441" s="79">
        <v>0</v>
      </c>
      <c r="AK441" s="79">
        <v>3</v>
      </c>
      <c r="AL441" s="79">
        <v>0</v>
      </c>
      <c r="AM441" s="79" t="s">
        <v>2092</v>
      </c>
      <c r="AN441" s="114" t="str">
        <f>HYPERLINK("https://www.youtube.com/watch?v=5SDGH9J4Lho")</f>
        <v>https://www.youtube.com/watch?v=5SDGH9J4Lho</v>
      </c>
      <c r="AO441" s="78" t="str">
        <f>REPLACE(INDEX(GroupVertices[Group],MATCH(Vertices[[#This Row],[Vertex]],GroupVertices[Vertex],0)),1,1,"")</f>
        <v>arohi's FIRE Journey</v>
      </c>
      <c r="AP441" s="2"/>
      <c r="AQ441" s="3"/>
      <c r="AR441" s="3"/>
      <c r="AS441" s="3"/>
      <c r="AT441" s="3"/>
    </row>
    <row r="442" spans="1:46" ht="15">
      <c r="A442" s="64" t="s">
        <v>489</v>
      </c>
      <c r="B442" s="65"/>
      <c r="C442" s="65"/>
      <c r="D442" s="66">
        <v>150</v>
      </c>
      <c r="E442" s="102">
        <v>97.85714285714286</v>
      </c>
      <c r="F442" s="98" t="str">
        <f>HYPERLINK("https://i.ytimg.com/vi/46W4SUgqIlw/default.jpg")</f>
        <v>https://i.ytimg.com/vi/46W4SUgqIlw/default.jpg</v>
      </c>
      <c r="G442" s="100"/>
      <c r="H442" s="69" t="s">
        <v>910</v>
      </c>
      <c r="I442" s="70"/>
      <c r="J442" s="104" t="s">
        <v>159</v>
      </c>
      <c r="K442" s="69" t="s">
        <v>910</v>
      </c>
      <c r="L442" s="105">
        <v>1</v>
      </c>
      <c r="M442" s="74">
        <v>8728.5849609375</v>
      </c>
      <c r="N442" s="74">
        <v>7292.15185546875</v>
      </c>
      <c r="O442" s="75"/>
      <c r="P442" s="76"/>
      <c r="Q442" s="76"/>
      <c r="R442" s="106"/>
      <c r="S442" s="48">
        <v>1</v>
      </c>
      <c r="T442" s="48">
        <v>0</v>
      </c>
      <c r="U442" s="49">
        <v>0</v>
      </c>
      <c r="V442" s="49">
        <v>0.018263</v>
      </c>
      <c r="W442" s="107"/>
      <c r="X442" s="50"/>
      <c r="Y442" s="50"/>
      <c r="Z442" s="49">
        <v>0</v>
      </c>
      <c r="AA442" s="71">
        <v>442</v>
      </c>
      <c r="AB442" s="71"/>
      <c r="AC442" s="72"/>
      <c r="AD442" s="79" t="s">
        <v>910</v>
      </c>
      <c r="AE442" s="79" t="s">
        <v>1210</v>
      </c>
      <c r="AF442" s="79" t="s">
        <v>1421</v>
      </c>
      <c r="AG442" s="79" t="s">
        <v>1532</v>
      </c>
      <c r="AH442" s="79" t="s">
        <v>1967</v>
      </c>
      <c r="AI442" s="79">
        <v>9</v>
      </c>
      <c r="AJ442" s="79">
        <v>0</v>
      </c>
      <c r="AK442" s="79">
        <v>0</v>
      </c>
      <c r="AL442" s="79">
        <v>0</v>
      </c>
      <c r="AM442" s="79" t="s">
        <v>2092</v>
      </c>
      <c r="AN442" s="114" t="str">
        <f>HYPERLINK("https://www.youtube.com/watch?v=46W4SUgqIlw")</f>
        <v>https://www.youtube.com/watch?v=46W4SUgqIlw</v>
      </c>
      <c r="AO442" s="78" t="str">
        <f>REPLACE(INDEX(GroupVertices[Group],MATCH(Vertices[[#This Row],[Vertex]],GroupVertices[Vertex],0)),1,1,"")</f>
        <v>hycology Topics</v>
      </c>
      <c r="AP442" s="2"/>
      <c r="AQ442" s="3"/>
      <c r="AR442" s="3"/>
      <c r="AS442" s="3"/>
      <c r="AT442" s="3"/>
    </row>
    <row r="443" spans="1:46" ht="15">
      <c r="A443" s="64" t="s">
        <v>488</v>
      </c>
      <c r="B443" s="65"/>
      <c r="C443" s="65"/>
      <c r="D443" s="66">
        <v>150</v>
      </c>
      <c r="E443" s="102">
        <v>97.85714285714286</v>
      </c>
      <c r="F443" s="98" t="str">
        <f>HYPERLINK("https://i.ytimg.com/vi/MYC8B-vqCqw/default.jpg")</f>
        <v>https://i.ytimg.com/vi/MYC8B-vqCqw/default.jpg</v>
      </c>
      <c r="G443" s="100"/>
      <c r="H443" s="69" t="s">
        <v>909</v>
      </c>
      <c r="I443" s="70"/>
      <c r="J443" s="104" t="s">
        <v>159</v>
      </c>
      <c r="K443" s="69" t="s">
        <v>909</v>
      </c>
      <c r="L443" s="105">
        <v>1</v>
      </c>
      <c r="M443" s="74">
        <v>9420.619140625</v>
      </c>
      <c r="N443" s="74">
        <v>6829.39990234375</v>
      </c>
      <c r="O443" s="75"/>
      <c r="P443" s="76"/>
      <c r="Q443" s="76"/>
      <c r="R443" s="106"/>
      <c r="S443" s="48">
        <v>1</v>
      </c>
      <c r="T443" s="48">
        <v>0</v>
      </c>
      <c r="U443" s="49">
        <v>0</v>
      </c>
      <c r="V443" s="49">
        <v>0.018263</v>
      </c>
      <c r="W443" s="107"/>
      <c r="X443" s="50"/>
      <c r="Y443" s="50"/>
      <c r="Z443" s="49">
        <v>0</v>
      </c>
      <c r="AA443" s="71">
        <v>443</v>
      </c>
      <c r="AB443" s="71"/>
      <c r="AC443" s="72"/>
      <c r="AD443" s="79" t="s">
        <v>909</v>
      </c>
      <c r="AE443" s="79"/>
      <c r="AF443" s="79"/>
      <c r="AG443" s="79" t="s">
        <v>1650</v>
      </c>
      <c r="AH443" s="79" t="s">
        <v>1966</v>
      </c>
      <c r="AI443" s="79">
        <v>3</v>
      </c>
      <c r="AJ443" s="79">
        <v>0</v>
      </c>
      <c r="AK443" s="79">
        <v>0</v>
      </c>
      <c r="AL443" s="79">
        <v>0</v>
      </c>
      <c r="AM443" s="79" t="s">
        <v>2092</v>
      </c>
      <c r="AN443" s="114" t="str">
        <f>HYPERLINK("https://www.youtube.com/watch?v=MYC8B-vqCqw")</f>
        <v>https://www.youtube.com/watch?v=MYC8B-vqCqw</v>
      </c>
      <c r="AO443" s="78" t="str">
        <f>REPLACE(INDEX(GroupVertices[Group],MATCH(Vertices[[#This Row],[Vertex]],GroupVertices[Vertex],0)),1,1,"")</f>
        <v>EHARBANU ABDULLA</v>
      </c>
      <c r="AP443" s="2"/>
      <c r="AQ443" s="3"/>
      <c r="AR443" s="3"/>
      <c r="AS443" s="3"/>
      <c r="AT443" s="3"/>
    </row>
    <row r="444" spans="1:46" ht="15">
      <c r="A444" s="64" t="s">
        <v>2331</v>
      </c>
      <c r="B444" s="65"/>
      <c r="C444" s="65"/>
      <c r="D444" s="66">
        <v>150</v>
      </c>
      <c r="E444" s="102">
        <v>97.85714285714286</v>
      </c>
      <c r="F444" s="98" t="str">
        <f>HYPERLINK("https://i.ytimg.com/vi/7h5uKE-TA4I/default.jpg")</f>
        <v>https://i.ytimg.com/vi/7h5uKE-TA4I/default.jpg</v>
      </c>
      <c r="G444" s="100"/>
      <c r="H444" s="69" t="s">
        <v>2808</v>
      </c>
      <c r="I444" s="70"/>
      <c r="J444" s="104" t="s">
        <v>159</v>
      </c>
      <c r="K444" s="69" t="s">
        <v>2808</v>
      </c>
      <c r="L444" s="105">
        <v>1</v>
      </c>
      <c r="M444" s="74">
        <v>9601.8955078125</v>
      </c>
      <c r="N444" s="74">
        <v>5971.845703125</v>
      </c>
      <c r="O444" s="75"/>
      <c r="P444" s="76"/>
      <c r="Q444" s="76"/>
      <c r="R444" s="106"/>
      <c r="S444" s="48">
        <v>1</v>
      </c>
      <c r="T444" s="48">
        <v>0</v>
      </c>
      <c r="U444" s="49">
        <v>0</v>
      </c>
      <c r="V444" s="49">
        <v>0.018263</v>
      </c>
      <c r="W444" s="107"/>
      <c r="X444" s="50"/>
      <c r="Y444" s="50"/>
      <c r="Z444" s="49">
        <v>0</v>
      </c>
      <c r="AA444" s="71">
        <v>444</v>
      </c>
      <c r="AB444" s="71"/>
      <c r="AC444" s="72"/>
      <c r="AD444" s="79" t="s">
        <v>2808</v>
      </c>
      <c r="AE444" s="79" t="s">
        <v>3257</v>
      </c>
      <c r="AF444" s="79"/>
      <c r="AG444" s="79" t="s">
        <v>3817</v>
      </c>
      <c r="AH444" s="79" t="s">
        <v>4173</v>
      </c>
      <c r="AI444" s="79">
        <v>866</v>
      </c>
      <c r="AJ444" s="79">
        <v>2</v>
      </c>
      <c r="AK444" s="79">
        <v>23</v>
      </c>
      <c r="AL444" s="79">
        <v>0</v>
      </c>
      <c r="AM444" s="79" t="s">
        <v>2092</v>
      </c>
      <c r="AN444" s="114" t="str">
        <f>HYPERLINK("https://www.youtube.com/watch?v=7h5uKE-TA4I")</f>
        <v>https://www.youtube.com/watch?v=7h5uKE-TA4I</v>
      </c>
      <c r="AO444" s="78" t="str">
        <f>REPLACE(INDEX(GroupVertices[Group],MATCH(Vertices[[#This Row],[Vertex]],GroupVertices[Vertex],0)),1,1,"")</f>
        <v>oniYana</v>
      </c>
      <c r="AP444" s="2"/>
      <c r="AQ444" s="3"/>
      <c r="AR444" s="3"/>
      <c r="AS444" s="3"/>
      <c r="AT444" s="3"/>
    </row>
    <row r="445" spans="1:46" ht="15">
      <c r="A445" s="64" t="s">
        <v>490</v>
      </c>
      <c r="B445" s="65"/>
      <c r="C445" s="65"/>
      <c r="D445" s="66">
        <v>150</v>
      </c>
      <c r="E445" s="102">
        <v>97.85714285714286</v>
      </c>
      <c r="F445" s="98" t="str">
        <f>HYPERLINK("https://i.ytimg.com/vi/UgBlMkQogLw/default.jpg")</f>
        <v>https://i.ytimg.com/vi/UgBlMkQogLw/default.jpg</v>
      </c>
      <c r="G445" s="100"/>
      <c r="H445" s="69" t="s">
        <v>911</v>
      </c>
      <c r="I445" s="70"/>
      <c r="J445" s="104" t="s">
        <v>159</v>
      </c>
      <c r="K445" s="69" t="s">
        <v>911</v>
      </c>
      <c r="L445" s="105">
        <v>1</v>
      </c>
      <c r="M445" s="74">
        <v>8462.7431640625</v>
      </c>
      <c r="N445" s="74">
        <v>5854.38134765625</v>
      </c>
      <c r="O445" s="75"/>
      <c r="P445" s="76"/>
      <c r="Q445" s="76"/>
      <c r="R445" s="106"/>
      <c r="S445" s="48">
        <v>1</v>
      </c>
      <c r="T445" s="48">
        <v>0</v>
      </c>
      <c r="U445" s="49">
        <v>0</v>
      </c>
      <c r="V445" s="49">
        <v>0.018263</v>
      </c>
      <c r="W445" s="107"/>
      <c r="X445" s="50"/>
      <c r="Y445" s="50"/>
      <c r="Z445" s="49">
        <v>0</v>
      </c>
      <c r="AA445" s="71">
        <v>445</v>
      </c>
      <c r="AB445" s="71"/>
      <c r="AC445" s="72"/>
      <c r="AD445" s="79" t="s">
        <v>911</v>
      </c>
      <c r="AE445" s="79" t="s">
        <v>1211</v>
      </c>
      <c r="AF445" s="79" t="s">
        <v>1422</v>
      </c>
      <c r="AG445" s="79" t="s">
        <v>1532</v>
      </c>
      <c r="AH445" s="79" t="s">
        <v>1968</v>
      </c>
      <c r="AI445" s="79">
        <v>6</v>
      </c>
      <c r="AJ445" s="79">
        <v>0</v>
      </c>
      <c r="AK445" s="79">
        <v>0</v>
      </c>
      <c r="AL445" s="79">
        <v>0</v>
      </c>
      <c r="AM445" s="79" t="s">
        <v>2092</v>
      </c>
      <c r="AN445" s="114" t="str">
        <f>HYPERLINK("https://www.youtube.com/watch?v=UgBlMkQogLw")</f>
        <v>https://www.youtube.com/watch?v=UgBlMkQogLw</v>
      </c>
      <c r="AO445" s="78" t="str">
        <f>REPLACE(INDEX(GroupVertices[Group],MATCH(Vertices[[#This Row],[Vertex]],GroupVertices[Vertex],0)),1,1,"")</f>
        <v>hycology Topics</v>
      </c>
      <c r="AP445" s="2"/>
      <c r="AQ445" s="3"/>
      <c r="AR445" s="3"/>
      <c r="AS445" s="3"/>
      <c r="AT445" s="3"/>
    </row>
    <row r="446" spans="1:46" ht="15">
      <c r="A446" s="64" t="s">
        <v>491</v>
      </c>
      <c r="B446" s="65"/>
      <c r="C446" s="65"/>
      <c r="D446" s="66">
        <v>150</v>
      </c>
      <c r="E446" s="102">
        <v>97.85714285714286</v>
      </c>
      <c r="F446" s="98" t="str">
        <f>HYPERLINK("https://i.ytimg.com/vi/-ntm1SlKF0A/default.jpg")</f>
        <v>https://i.ytimg.com/vi/-ntm1SlKF0A/default.jpg</v>
      </c>
      <c r="G446" s="100"/>
      <c r="H446" s="69" t="s">
        <v>912</v>
      </c>
      <c r="I446" s="70"/>
      <c r="J446" s="104" t="s">
        <v>159</v>
      </c>
      <c r="K446" s="69" t="s">
        <v>912</v>
      </c>
      <c r="L446" s="105">
        <v>1</v>
      </c>
      <c r="M446" s="74">
        <v>9865.14453125</v>
      </c>
      <c r="N446" s="74">
        <v>6350.48095703125</v>
      </c>
      <c r="O446" s="75"/>
      <c r="P446" s="76"/>
      <c r="Q446" s="76"/>
      <c r="R446" s="106"/>
      <c r="S446" s="48">
        <v>1</v>
      </c>
      <c r="T446" s="48">
        <v>0</v>
      </c>
      <c r="U446" s="49">
        <v>0</v>
      </c>
      <c r="V446" s="49">
        <v>0.018263</v>
      </c>
      <c r="W446" s="107"/>
      <c r="X446" s="50"/>
      <c r="Y446" s="50"/>
      <c r="Z446" s="49">
        <v>0</v>
      </c>
      <c r="AA446" s="71">
        <v>446</v>
      </c>
      <c r="AB446" s="71"/>
      <c r="AC446" s="72"/>
      <c r="AD446" s="79" t="s">
        <v>912</v>
      </c>
      <c r="AE446" s="79" t="s">
        <v>3258</v>
      </c>
      <c r="AF446" s="79" t="s">
        <v>1423</v>
      </c>
      <c r="AG446" s="79" t="s">
        <v>1651</v>
      </c>
      <c r="AH446" s="79" t="s">
        <v>1969</v>
      </c>
      <c r="AI446" s="79">
        <v>4</v>
      </c>
      <c r="AJ446" s="79">
        <v>0</v>
      </c>
      <c r="AK446" s="79">
        <v>2</v>
      </c>
      <c r="AL446" s="79">
        <v>0</v>
      </c>
      <c r="AM446" s="79" t="s">
        <v>2092</v>
      </c>
      <c r="AN446" s="114" t="str">
        <f>HYPERLINK("https://www.youtube.com/watch?v=-ntm1SlKF0A")</f>
        <v>https://www.youtube.com/watch?v=-ntm1SlKF0A</v>
      </c>
      <c r="AO446" s="78" t="str">
        <f>REPLACE(INDEX(GroupVertices[Group],MATCH(Vertices[[#This Row],[Vertex]],GroupVertices[Vertex],0)),1,1,"")</f>
        <v>ady_Psychologist</v>
      </c>
      <c r="AP446" s="2"/>
      <c r="AQ446" s="3"/>
      <c r="AR446" s="3"/>
      <c r="AS446" s="3"/>
      <c r="AT446" s="3"/>
    </row>
    <row r="447" spans="1:46" ht="15">
      <c r="A447" s="64" t="s">
        <v>2332</v>
      </c>
      <c r="B447" s="65"/>
      <c r="C447" s="65"/>
      <c r="D447" s="66">
        <v>150</v>
      </c>
      <c r="E447" s="102">
        <v>97.85714285714286</v>
      </c>
      <c r="F447" s="98" t="str">
        <f>HYPERLINK("https://i.ytimg.com/vi/qqN0PS0aJqc/default.jpg")</f>
        <v>https://i.ytimg.com/vi/qqN0PS0aJqc/default.jpg</v>
      </c>
      <c r="G447" s="100"/>
      <c r="H447" s="69" t="s">
        <v>2809</v>
      </c>
      <c r="I447" s="70"/>
      <c r="J447" s="104" t="s">
        <v>159</v>
      </c>
      <c r="K447" s="69" t="s">
        <v>2809</v>
      </c>
      <c r="L447" s="105">
        <v>1</v>
      </c>
      <c r="M447" s="74">
        <v>9831.7890625</v>
      </c>
      <c r="N447" s="74">
        <v>6716.9716796875</v>
      </c>
      <c r="O447" s="75"/>
      <c r="P447" s="76"/>
      <c r="Q447" s="76"/>
      <c r="R447" s="106"/>
      <c r="S447" s="48">
        <v>1</v>
      </c>
      <c r="T447" s="48">
        <v>0</v>
      </c>
      <c r="U447" s="49">
        <v>0</v>
      </c>
      <c r="V447" s="49">
        <v>0.018263</v>
      </c>
      <c r="W447" s="107"/>
      <c r="X447" s="50"/>
      <c r="Y447" s="50"/>
      <c r="Z447" s="49">
        <v>0</v>
      </c>
      <c r="AA447" s="71">
        <v>447</v>
      </c>
      <c r="AB447" s="71"/>
      <c r="AC447" s="72"/>
      <c r="AD447" s="79" t="s">
        <v>2809</v>
      </c>
      <c r="AE447" s="79" t="s">
        <v>3259</v>
      </c>
      <c r="AF447" s="79" t="s">
        <v>3578</v>
      </c>
      <c r="AG447" s="79" t="s">
        <v>3818</v>
      </c>
      <c r="AH447" s="79" t="s">
        <v>4174</v>
      </c>
      <c r="AI447" s="79">
        <v>4</v>
      </c>
      <c r="AJ447" s="79">
        <v>0</v>
      </c>
      <c r="AK447" s="79">
        <v>0</v>
      </c>
      <c r="AL447" s="79">
        <v>0</v>
      </c>
      <c r="AM447" s="79" t="s">
        <v>2092</v>
      </c>
      <c r="AN447" s="114" t="str">
        <f>HYPERLINK("https://www.youtube.com/watch?v=qqN0PS0aJqc")</f>
        <v>https://www.youtube.com/watch?v=qqN0PS0aJqc</v>
      </c>
      <c r="AO447" s="78" t="str">
        <f>REPLACE(INDEX(GroupVertices[Group],MATCH(Vertices[[#This Row],[Vertex]],GroupVertices[Vertex],0)),1,1,"")</f>
        <v>arcissist Hunter</v>
      </c>
      <c r="AP447" s="2"/>
      <c r="AQ447" s="3"/>
      <c r="AR447" s="3"/>
      <c r="AS447" s="3"/>
      <c r="AT447" s="3"/>
    </row>
    <row r="448" spans="1:46" ht="15">
      <c r="A448" s="64" t="s">
        <v>492</v>
      </c>
      <c r="B448" s="65"/>
      <c r="C448" s="65"/>
      <c r="D448" s="66">
        <v>150</v>
      </c>
      <c r="E448" s="102">
        <v>97.85714285714286</v>
      </c>
      <c r="F448" s="98" t="str">
        <f>HYPERLINK("https://i.ytimg.com/vi/421LQ-ieino/default.jpg")</f>
        <v>https://i.ytimg.com/vi/421LQ-ieino/default.jpg</v>
      </c>
      <c r="G448" s="100"/>
      <c r="H448" s="69" t="s">
        <v>913</v>
      </c>
      <c r="I448" s="70"/>
      <c r="J448" s="104" t="s">
        <v>159</v>
      </c>
      <c r="K448" s="69" t="s">
        <v>913</v>
      </c>
      <c r="L448" s="105">
        <v>1</v>
      </c>
      <c r="M448" s="74">
        <v>9399.671875</v>
      </c>
      <c r="N448" s="74">
        <v>6279.53369140625</v>
      </c>
      <c r="O448" s="75"/>
      <c r="P448" s="76"/>
      <c r="Q448" s="76"/>
      <c r="R448" s="106"/>
      <c r="S448" s="48">
        <v>1</v>
      </c>
      <c r="T448" s="48">
        <v>0</v>
      </c>
      <c r="U448" s="49">
        <v>0</v>
      </c>
      <c r="V448" s="49">
        <v>0.018263</v>
      </c>
      <c r="W448" s="107"/>
      <c r="X448" s="50"/>
      <c r="Y448" s="50"/>
      <c r="Z448" s="49">
        <v>0</v>
      </c>
      <c r="AA448" s="71">
        <v>448</v>
      </c>
      <c r="AB448" s="71"/>
      <c r="AC448" s="72"/>
      <c r="AD448" s="79" t="s">
        <v>913</v>
      </c>
      <c r="AE448" s="79" t="s">
        <v>1212</v>
      </c>
      <c r="AF448" s="79" t="s">
        <v>1424</v>
      </c>
      <c r="AG448" s="79" t="s">
        <v>1652</v>
      </c>
      <c r="AH448" s="79" t="s">
        <v>1970</v>
      </c>
      <c r="AI448" s="79">
        <v>97</v>
      </c>
      <c r="AJ448" s="79">
        <v>2</v>
      </c>
      <c r="AK448" s="79">
        <v>6</v>
      </c>
      <c r="AL448" s="79">
        <v>0</v>
      </c>
      <c r="AM448" s="79" t="s">
        <v>2092</v>
      </c>
      <c r="AN448" s="114" t="str">
        <f>HYPERLINK("https://www.youtube.com/watch?v=421LQ-ieino")</f>
        <v>https://www.youtube.com/watch?v=421LQ-ieino</v>
      </c>
      <c r="AO448" s="78" t="str">
        <f>REPLACE(INDEX(GroupVertices[Group],MATCH(Vertices[[#This Row],[Vertex]],GroupVertices[Vertex],0)),1,1,"")</f>
        <v>riti Deogam</v>
      </c>
      <c r="AP448" s="2"/>
      <c r="AQ448" s="3"/>
      <c r="AR448" s="3"/>
      <c r="AS448" s="3"/>
      <c r="AT448" s="3"/>
    </row>
    <row r="449" spans="1:46" ht="15">
      <c r="A449" s="64" t="s">
        <v>493</v>
      </c>
      <c r="B449" s="65"/>
      <c r="C449" s="65"/>
      <c r="D449" s="66">
        <v>150</v>
      </c>
      <c r="E449" s="102">
        <v>97.85714285714286</v>
      </c>
      <c r="F449" s="98" t="str">
        <f>HYPERLINK("https://i.ytimg.com/vi/5YvWXkpjV94/default.jpg")</f>
        <v>https://i.ytimg.com/vi/5YvWXkpjV94/default.jpg</v>
      </c>
      <c r="G449" s="100"/>
      <c r="H449" s="69" t="s">
        <v>914</v>
      </c>
      <c r="I449" s="70"/>
      <c r="J449" s="104" t="s">
        <v>159</v>
      </c>
      <c r="K449" s="69" t="s">
        <v>914</v>
      </c>
      <c r="L449" s="105">
        <v>1</v>
      </c>
      <c r="M449" s="74">
        <v>8688.2265625</v>
      </c>
      <c r="N449" s="74">
        <v>6134.119140625</v>
      </c>
      <c r="O449" s="75"/>
      <c r="P449" s="76"/>
      <c r="Q449" s="76"/>
      <c r="R449" s="106"/>
      <c r="S449" s="48">
        <v>1</v>
      </c>
      <c r="T449" s="48">
        <v>0</v>
      </c>
      <c r="U449" s="49">
        <v>0</v>
      </c>
      <c r="V449" s="49">
        <v>0.018263</v>
      </c>
      <c r="W449" s="107"/>
      <c r="X449" s="50"/>
      <c r="Y449" s="50"/>
      <c r="Z449" s="49">
        <v>0</v>
      </c>
      <c r="AA449" s="71">
        <v>449</v>
      </c>
      <c r="AB449" s="71"/>
      <c r="AC449" s="72"/>
      <c r="AD449" s="79" t="s">
        <v>914</v>
      </c>
      <c r="AE449" s="79" t="s">
        <v>1213</v>
      </c>
      <c r="AF449" s="79" t="s">
        <v>1425</v>
      </c>
      <c r="AG449" s="79" t="s">
        <v>1653</v>
      </c>
      <c r="AH449" s="79" t="s">
        <v>1971</v>
      </c>
      <c r="AI449" s="79">
        <v>17</v>
      </c>
      <c r="AJ449" s="79">
        <v>0</v>
      </c>
      <c r="AK449" s="79">
        <v>6</v>
      </c>
      <c r="AL449" s="79">
        <v>0</v>
      </c>
      <c r="AM449" s="79" t="s">
        <v>2092</v>
      </c>
      <c r="AN449" s="114" t="str">
        <f>HYPERLINK("https://www.youtube.com/watch?v=5YvWXkpjV94")</f>
        <v>https://www.youtube.com/watch?v=5YvWXkpjV94</v>
      </c>
      <c r="AO449" s="78" t="str">
        <f>REPLACE(INDEX(GroupVertices[Group],MATCH(Vertices[[#This Row],[Vertex]],GroupVertices[Vertex],0)),1,1,"")</f>
        <v>he Learning point</v>
      </c>
      <c r="AP449" s="2"/>
      <c r="AQ449" s="3"/>
      <c r="AR449" s="3"/>
      <c r="AS449" s="3"/>
      <c r="AT449" s="3"/>
    </row>
    <row r="450" spans="1:46" ht="15">
      <c r="A450" s="64" t="s">
        <v>494</v>
      </c>
      <c r="B450" s="65"/>
      <c r="C450" s="65"/>
      <c r="D450" s="66">
        <v>150</v>
      </c>
      <c r="E450" s="102">
        <v>97.85714285714286</v>
      </c>
      <c r="F450" s="98" t="str">
        <f>HYPERLINK("https://i.ytimg.com/vi/mb6IkOfoaW0/default.jpg")</f>
        <v>https://i.ytimg.com/vi/mb6IkOfoaW0/default.jpg</v>
      </c>
      <c r="G450" s="100"/>
      <c r="H450" s="69" t="s">
        <v>915</v>
      </c>
      <c r="I450" s="70"/>
      <c r="J450" s="104" t="s">
        <v>159</v>
      </c>
      <c r="K450" s="69" t="s">
        <v>915</v>
      </c>
      <c r="L450" s="105">
        <v>1</v>
      </c>
      <c r="M450" s="74">
        <v>9493.068359375</v>
      </c>
      <c r="N450" s="74">
        <v>5474.0439453125</v>
      </c>
      <c r="O450" s="75"/>
      <c r="P450" s="76"/>
      <c r="Q450" s="76"/>
      <c r="R450" s="106"/>
      <c r="S450" s="48">
        <v>1</v>
      </c>
      <c r="T450" s="48">
        <v>0</v>
      </c>
      <c r="U450" s="49">
        <v>0</v>
      </c>
      <c r="V450" s="49">
        <v>0.018263</v>
      </c>
      <c r="W450" s="107"/>
      <c r="X450" s="50"/>
      <c r="Y450" s="50"/>
      <c r="Z450" s="49">
        <v>0</v>
      </c>
      <c r="AA450" s="71">
        <v>450</v>
      </c>
      <c r="AB450" s="71"/>
      <c r="AC450" s="72"/>
      <c r="AD450" s="79" t="s">
        <v>915</v>
      </c>
      <c r="AE450" s="79" t="s">
        <v>1214</v>
      </c>
      <c r="AF450" s="79" t="s">
        <v>1426</v>
      </c>
      <c r="AG450" s="79" t="s">
        <v>1654</v>
      </c>
      <c r="AH450" s="79" t="s">
        <v>1972</v>
      </c>
      <c r="AI450" s="79">
        <v>52451</v>
      </c>
      <c r="AJ450" s="79">
        <v>18</v>
      </c>
      <c r="AK450" s="79">
        <v>133</v>
      </c>
      <c r="AL450" s="79">
        <v>0</v>
      </c>
      <c r="AM450" s="79" t="s">
        <v>2092</v>
      </c>
      <c r="AN450" s="114" t="str">
        <f>HYPERLINK("https://www.youtube.com/watch?v=mb6IkOfoaW0")</f>
        <v>https://www.youtube.com/watch?v=mb6IkOfoaW0</v>
      </c>
      <c r="AO450" s="78" t="str">
        <f>REPLACE(INDEX(GroupVertices[Group],MATCH(Vertices[[#This Row],[Vertex]],GroupVertices[Vertex],0)),1,1,"")</f>
        <v>mily Teo</v>
      </c>
      <c r="AP450" s="2"/>
      <c r="AQ450" s="3"/>
      <c r="AR450" s="3"/>
      <c r="AS450" s="3"/>
      <c r="AT450" s="3"/>
    </row>
    <row r="451" spans="1:46" ht="15">
      <c r="A451" s="64" t="s">
        <v>473</v>
      </c>
      <c r="B451" s="65"/>
      <c r="C451" s="65"/>
      <c r="D451" s="66">
        <v>150</v>
      </c>
      <c r="E451" s="102">
        <v>97.85714285714286</v>
      </c>
      <c r="F451" s="98" t="str">
        <f>HYPERLINK("https://i.ytimg.com/vi/iCP5cyfb-uE/default.jpg")</f>
        <v>https://i.ytimg.com/vi/iCP5cyfb-uE/default.jpg</v>
      </c>
      <c r="G451" s="100"/>
      <c r="H451" s="69" t="s">
        <v>895</v>
      </c>
      <c r="I451" s="70"/>
      <c r="J451" s="104" t="s">
        <v>159</v>
      </c>
      <c r="K451" s="69" t="s">
        <v>895</v>
      </c>
      <c r="L451" s="105">
        <v>1</v>
      </c>
      <c r="M451" s="74">
        <v>9166.6875</v>
      </c>
      <c r="N451" s="74">
        <v>7398.685546875</v>
      </c>
      <c r="O451" s="75"/>
      <c r="P451" s="76"/>
      <c r="Q451" s="76"/>
      <c r="R451" s="106"/>
      <c r="S451" s="48">
        <v>1</v>
      </c>
      <c r="T451" s="48">
        <v>0</v>
      </c>
      <c r="U451" s="49">
        <v>0</v>
      </c>
      <c r="V451" s="49">
        <v>0.018263</v>
      </c>
      <c r="W451" s="107"/>
      <c r="X451" s="50"/>
      <c r="Y451" s="50"/>
      <c r="Z451" s="49">
        <v>0</v>
      </c>
      <c r="AA451" s="71">
        <v>451</v>
      </c>
      <c r="AB451" s="71"/>
      <c r="AC451" s="72"/>
      <c r="AD451" s="79" t="s">
        <v>895</v>
      </c>
      <c r="AE451" s="79" t="s">
        <v>3260</v>
      </c>
      <c r="AF451" s="79"/>
      <c r="AG451" s="79" t="s">
        <v>1645</v>
      </c>
      <c r="AH451" s="79" t="s">
        <v>1951</v>
      </c>
      <c r="AI451" s="79">
        <v>1163</v>
      </c>
      <c r="AJ451" s="79">
        <v>0</v>
      </c>
      <c r="AK451" s="79">
        <v>2</v>
      </c>
      <c r="AL451" s="79">
        <v>0</v>
      </c>
      <c r="AM451" s="79" t="s">
        <v>2092</v>
      </c>
      <c r="AN451" s="114" t="str">
        <f>HYPERLINK("https://www.youtube.com/watch?v=iCP5cyfb-uE")</f>
        <v>https://www.youtube.com/watch?v=iCP5cyfb-uE</v>
      </c>
      <c r="AO451" s="78" t="str">
        <f>REPLACE(INDEX(GroupVertices[Group],MATCH(Vertices[[#This Row],[Vertex]],GroupVertices[Vertex],0)),1,1,"")</f>
        <v>hlorophyll Water</v>
      </c>
      <c r="AP451" s="2"/>
      <c r="AQ451" s="3"/>
      <c r="AR451" s="3"/>
      <c r="AS451" s="3"/>
      <c r="AT451" s="3"/>
    </row>
    <row r="452" spans="1:46" ht="15">
      <c r="A452" s="64" t="s">
        <v>495</v>
      </c>
      <c r="B452" s="65"/>
      <c r="C452" s="65"/>
      <c r="D452" s="66">
        <v>150</v>
      </c>
      <c r="E452" s="102">
        <v>97.85714285714286</v>
      </c>
      <c r="F452" s="98" t="str">
        <f>HYPERLINK("https://i.ytimg.com/vi/9JrLgM5HyLg/default.jpg")</f>
        <v>https://i.ytimg.com/vi/9JrLgM5HyLg/default.jpg</v>
      </c>
      <c r="G452" s="100"/>
      <c r="H452" s="69" t="s">
        <v>916</v>
      </c>
      <c r="I452" s="70"/>
      <c r="J452" s="104" t="s">
        <v>159</v>
      </c>
      <c r="K452" s="69" t="s">
        <v>916</v>
      </c>
      <c r="L452" s="105">
        <v>1</v>
      </c>
      <c r="M452" s="74">
        <v>8540.6142578125</v>
      </c>
      <c r="N452" s="74">
        <v>6568.392578125</v>
      </c>
      <c r="O452" s="75"/>
      <c r="P452" s="76"/>
      <c r="Q452" s="76"/>
      <c r="R452" s="106"/>
      <c r="S452" s="48">
        <v>1</v>
      </c>
      <c r="T452" s="48">
        <v>0</v>
      </c>
      <c r="U452" s="49">
        <v>0</v>
      </c>
      <c r="V452" s="49">
        <v>0.018263</v>
      </c>
      <c r="W452" s="107"/>
      <c r="X452" s="50"/>
      <c r="Y452" s="50"/>
      <c r="Z452" s="49">
        <v>0</v>
      </c>
      <c r="AA452" s="71">
        <v>452</v>
      </c>
      <c r="AB452" s="71"/>
      <c r="AC452" s="72"/>
      <c r="AD452" s="79" t="s">
        <v>916</v>
      </c>
      <c r="AE452" s="79" t="s">
        <v>1215</v>
      </c>
      <c r="AF452" s="79"/>
      <c r="AG452" s="79" t="s">
        <v>1655</v>
      </c>
      <c r="AH452" s="79" t="s">
        <v>1973</v>
      </c>
      <c r="AI452" s="79">
        <v>4242</v>
      </c>
      <c r="AJ452" s="79">
        <v>16</v>
      </c>
      <c r="AK452" s="79">
        <v>175</v>
      </c>
      <c r="AL452" s="79">
        <v>0</v>
      </c>
      <c r="AM452" s="79" t="s">
        <v>2092</v>
      </c>
      <c r="AN452" s="114" t="str">
        <f>HYPERLINK("https://www.youtube.com/watch?v=9JrLgM5HyLg")</f>
        <v>https://www.youtube.com/watch?v=9JrLgM5HyLg</v>
      </c>
      <c r="AO452" s="78" t="str">
        <f>REPLACE(INDEX(GroupVertices[Group],MATCH(Vertices[[#This Row],[Vertex]],GroupVertices[Vertex],0)),1,1,"")</f>
        <v>efore You Push</v>
      </c>
      <c r="AP452" s="2"/>
      <c r="AQ452" s="3"/>
      <c r="AR452" s="3"/>
      <c r="AS452" s="3"/>
      <c r="AT452" s="3"/>
    </row>
    <row r="453" spans="1:46" ht="15">
      <c r="A453" s="64" t="s">
        <v>474</v>
      </c>
      <c r="B453" s="65"/>
      <c r="C453" s="65"/>
      <c r="D453" s="66">
        <v>150</v>
      </c>
      <c r="E453" s="102">
        <v>97.85714285714286</v>
      </c>
      <c r="F453" s="98" t="str">
        <f>HYPERLINK("https://i.ytimg.com/vi/47JU6W3HALM/default.jpg")</f>
        <v>https://i.ytimg.com/vi/47JU6W3HALM/default.jpg</v>
      </c>
      <c r="G453" s="100"/>
      <c r="H453" s="69" t="s">
        <v>896</v>
      </c>
      <c r="I453" s="70"/>
      <c r="J453" s="104" t="s">
        <v>159</v>
      </c>
      <c r="K453" s="69" t="s">
        <v>896</v>
      </c>
      <c r="L453" s="105">
        <v>1</v>
      </c>
      <c r="M453" s="74">
        <v>8594.8271484375</v>
      </c>
      <c r="N453" s="74">
        <v>5600.0732421875</v>
      </c>
      <c r="O453" s="75"/>
      <c r="P453" s="76"/>
      <c r="Q453" s="76"/>
      <c r="R453" s="106"/>
      <c r="S453" s="48">
        <v>1</v>
      </c>
      <c r="T453" s="48">
        <v>0</v>
      </c>
      <c r="U453" s="49">
        <v>0</v>
      </c>
      <c r="V453" s="49">
        <v>0.018263</v>
      </c>
      <c r="W453" s="107"/>
      <c r="X453" s="50"/>
      <c r="Y453" s="50"/>
      <c r="Z453" s="49">
        <v>0</v>
      </c>
      <c r="AA453" s="71">
        <v>453</v>
      </c>
      <c r="AB453" s="71"/>
      <c r="AC453" s="72"/>
      <c r="AD453" s="79" t="s">
        <v>896</v>
      </c>
      <c r="AE453" s="79" t="s">
        <v>1198</v>
      </c>
      <c r="AF453" s="79"/>
      <c r="AG453" s="79" t="s">
        <v>1646</v>
      </c>
      <c r="AH453" s="79" t="s">
        <v>1952</v>
      </c>
      <c r="AI453" s="79">
        <v>51</v>
      </c>
      <c r="AJ453" s="79">
        <v>0</v>
      </c>
      <c r="AK453" s="79">
        <v>0</v>
      </c>
      <c r="AL453" s="79">
        <v>0</v>
      </c>
      <c r="AM453" s="79" t="s">
        <v>2092</v>
      </c>
      <c r="AN453" s="114" t="str">
        <f>HYPERLINK("https://www.youtube.com/watch?v=47JU6W3HALM")</f>
        <v>https://www.youtube.com/watch?v=47JU6W3HALM</v>
      </c>
      <c r="AO453" s="78" t="str">
        <f>REPLACE(INDEX(GroupVertices[Group],MATCH(Vertices[[#This Row],[Vertex]],GroupVertices[Vertex],0)),1,1,"")</f>
        <v>shley Mitchell (AsMitch the Labor B*tch)</v>
      </c>
      <c r="AP453" s="2"/>
      <c r="AQ453" s="3"/>
      <c r="AR453" s="3"/>
      <c r="AS453" s="3"/>
      <c r="AT453" s="3"/>
    </row>
    <row r="454" spans="1:46" ht="15">
      <c r="A454" s="64" t="s">
        <v>476</v>
      </c>
      <c r="B454" s="65"/>
      <c r="C454" s="65"/>
      <c r="D454" s="66">
        <v>150</v>
      </c>
      <c r="E454" s="102">
        <v>97.85714285714286</v>
      </c>
      <c r="F454" s="98" t="str">
        <f>HYPERLINK("https://i.ytimg.com/vi/0e6SsZYuNwQ/default.jpg")</f>
        <v>https://i.ytimg.com/vi/0e6SsZYuNwQ/default.jpg</v>
      </c>
      <c r="G454" s="100"/>
      <c r="H454" s="69" t="s">
        <v>898</v>
      </c>
      <c r="I454" s="70"/>
      <c r="J454" s="104" t="s">
        <v>159</v>
      </c>
      <c r="K454" s="69" t="s">
        <v>898</v>
      </c>
      <c r="L454" s="105">
        <v>1</v>
      </c>
      <c r="M454" s="74">
        <v>8836.193359375</v>
      </c>
      <c r="N454" s="74">
        <v>6575.76123046875</v>
      </c>
      <c r="O454" s="75"/>
      <c r="P454" s="76"/>
      <c r="Q454" s="76"/>
      <c r="R454" s="106"/>
      <c r="S454" s="48">
        <v>1</v>
      </c>
      <c r="T454" s="48">
        <v>0</v>
      </c>
      <c r="U454" s="49">
        <v>0</v>
      </c>
      <c r="V454" s="49">
        <v>0.018263</v>
      </c>
      <c r="W454" s="107"/>
      <c r="X454" s="50"/>
      <c r="Y454" s="50"/>
      <c r="Z454" s="49">
        <v>0</v>
      </c>
      <c r="AA454" s="71">
        <v>454</v>
      </c>
      <c r="AB454" s="71"/>
      <c r="AC454" s="72"/>
      <c r="AD454" s="79" t="s">
        <v>898</v>
      </c>
      <c r="AE454" s="79" t="s">
        <v>1200</v>
      </c>
      <c r="AF454" s="79" t="s">
        <v>1410</v>
      </c>
      <c r="AG454" s="79" t="s">
        <v>1644</v>
      </c>
      <c r="AH454" s="79" t="s">
        <v>1954</v>
      </c>
      <c r="AI454" s="79">
        <v>88</v>
      </c>
      <c r="AJ454" s="79">
        <v>0</v>
      </c>
      <c r="AK454" s="79">
        <v>1</v>
      </c>
      <c r="AL454" s="79">
        <v>0</v>
      </c>
      <c r="AM454" s="79" t="s">
        <v>2092</v>
      </c>
      <c r="AN454" s="114" t="str">
        <f>HYPERLINK("https://www.youtube.com/watch?v=0e6SsZYuNwQ")</f>
        <v>https://www.youtube.com/watch?v=0e6SsZYuNwQ</v>
      </c>
      <c r="AO454" s="78" t="str">
        <f>REPLACE(INDEX(GroupVertices[Group],MATCH(Vertices[[#This Row],[Vertex]],GroupVertices[Vertex],0)),1,1,"")</f>
        <v>liyyas Ahammed</v>
      </c>
      <c r="AP454" s="2"/>
      <c r="AQ454" s="3"/>
      <c r="AR454" s="3"/>
      <c r="AS454" s="3"/>
      <c r="AT454" s="3"/>
    </row>
    <row r="455" spans="1:46" ht="15">
      <c r="A455" s="64" t="s">
        <v>2333</v>
      </c>
      <c r="B455" s="65"/>
      <c r="C455" s="65"/>
      <c r="D455" s="66">
        <v>150</v>
      </c>
      <c r="E455" s="102">
        <v>97.85714285714286</v>
      </c>
      <c r="F455" s="98" t="str">
        <f>HYPERLINK("https://i.ytimg.com/vi/QxgQTgVuraU/default.jpg")</f>
        <v>https://i.ytimg.com/vi/QxgQTgVuraU/default.jpg</v>
      </c>
      <c r="G455" s="100"/>
      <c r="H455" s="69" t="s">
        <v>2810</v>
      </c>
      <c r="I455" s="70"/>
      <c r="J455" s="104" t="s">
        <v>159</v>
      </c>
      <c r="K455" s="69" t="s">
        <v>2810</v>
      </c>
      <c r="L455" s="105">
        <v>1</v>
      </c>
      <c r="M455" s="74">
        <v>8955.326171875</v>
      </c>
      <c r="N455" s="74">
        <v>7382.3837890625</v>
      </c>
      <c r="O455" s="75"/>
      <c r="P455" s="76"/>
      <c r="Q455" s="76"/>
      <c r="R455" s="106"/>
      <c r="S455" s="48">
        <v>1</v>
      </c>
      <c r="T455" s="48">
        <v>0</v>
      </c>
      <c r="U455" s="49">
        <v>0</v>
      </c>
      <c r="V455" s="49">
        <v>0.018263</v>
      </c>
      <c r="W455" s="107"/>
      <c r="X455" s="50"/>
      <c r="Y455" s="50"/>
      <c r="Z455" s="49">
        <v>0</v>
      </c>
      <c r="AA455" s="71">
        <v>455</v>
      </c>
      <c r="AB455" s="71"/>
      <c r="AC455" s="72"/>
      <c r="AD455" s="79" t="s">
        <v>2810</v>
      </c>
      <c r="AE455" s="79" t="s">
        <v>3261</v>
      </c>
      <c r="AF455" s="79" t="s">
        <v>3579</v>
      </c>
      <c r="AG455" s="79" t="s">
        <v>1644</v>
      </c>
      <c r="AH455" s="79" t="s">
        <v>4175</v>
      </c>
      <c r="AI455" s="79">
        <v>7</v>
      </c>
      <c r="AJ455" s="79">
        <v>0</v>
      </c>
      <c r="AK455" s="79">
        <v>0</v>
      </c>
      <c r="AL455" s="79">
        <v>0</v>
      </c>
      <c r="AM455" s="79" t="s">
        <v>2092</v>
      </c>
      <c r="AN455" s="114" t="str">
        <f>HYPERLINK("https://www.youtube.com/watch?v=QxgQTgVuraU")</f>
        <v>https://www.youtube.com/watch?v=QxgQTgVuraU</v>
      </c>
      <c r="AO455" s="78" t="str">
        <f>REPLACE(INDEX(GroupVertices[Group],MATCH(Vertices[[#This Row],[Vertex]],GroupVertices[Vertex],0)),1,1,"")</f>
        <v>liyyas Ahammed</v>
      </c>
      <c r="AP455" s="2"/>
      <c r="AQ455" s="3"/>
      <c r="AR455" s="3"/>
      <c r="AS455" s="3"/>
      <c r="AT455" s="3"/>
    </row>
    <row r="456" spans="1:46" ht="15">
      <c r="A456" s="64" t="s">
        <v>480</v>
      </c>
      <c r="B456" s="65"/>
      <c r="C456" s="65"/>
      <c r="D456" s="66">
        <v>150</v>
      </c>
      <c r="E456" s="102">
        <v>97.85714285714286</v>
      </c>
      <c r="F456" s="98" t="str">
        <f>HYPERLINK("https://i.ytimg.com/vi/WPWr05C5PSE/default.jpg")</f>
        <v>https://i.ytimg.com/vi/WPWr05C5PSE/default.jpg</v>
      </c>
      <c r="G456" s="100"/>
      <c r="H456" s="69" t="s">
        <v>902</v>
      </c>
      <c r="I456" s="70"/>
      <c r="J456" s="104" t="s">
        <v>159</v>
      </c>
      <c r="K456" s="69" t="s">
        <v>902</v>
      </c>
      <c r="L456" s="105">
        <v>1</v>
      </c>
      <c r="M456" s="74">
        <v>9557.23828125</v>
      </c>
      <c r="N456" s="74">
        <v>7200.19873046875</v>
      </c>
      <c r="O456" s="75"/>
      <c r="P456" s="76"/>
      <c r="Q456" s="76"/>
      <c r="R456" s="106"/>
      <c r="S456" s="48">
        <v>1</v>
      </c>
      <c r="T456" s="48">
        <v>0</v>
      </c>
      <c r="U456" s="49">
        <v>0</v>
      </c>
      <c r="V456" s="49">
        <v>0.018263</v>
      </c>
      <c r="W456" s="107"/>
      <c r="X456" s="50"/>
      <c r="Y456" s="50"/>
      <c r="Z456" s="49">
        <v>0</v>
      </c>
      <c r="AA456" s="71">
        <v>456</v>
      </c>
      <c r="AB456" s="71"/>
      <c r="AC456" s="72"/>
      <c r="AD456" s="79" t="s">
        <v>902</v>
      </c>
      <c r="AE456" s="79" t="s">
        <v>1204</v>
      </c>
      <c r="AF456" s="79" t="s">
        <v>1414</v>
      </c>
      <c r="AG456" s="79" t="s">
        <v>1644</v>
      </c>
      <c r="AH456" s="79" t="s">
        <v>1958</v>
      </c>
      <c r="AI456" s="79">
        <v>56</v>
      </c>
      <c r="AJ456" s="79">
        <v>0</v>
      </c>
      <c r="AK456" s="79">
        <v>0</v>
      </c>
      <c r="AL456" s="79">
        <v>0</v>
      </c>
      <c r="AM456" s="79" t="s">
        <v>2092</v>
      </c>
      <c r="AN456" s="114" t="str">
        <f>HYPERLINK("https://www.youtube.com/watch?v=WPWr05C5PSE")</f>
        <v>https://www.youtube.com/watch?v=WPWr05C5PSE</v>
      </c>
      <c r="AO456" s="78" t="str">
        <f>REPLACE(INDEX(GroupVertices[Group],MATCH(Vertices[[#This Row],[Vertex]],GroupVertices[Vertex],0)),1,1,"")</f>
        <v>liyyas Ahammed</v>
      </c>
      <c r="AP456" s="2"/>
      <c r="AQ456" s="3"/>
      <c r="AR456" s="3"/>
      <c r="AS456" s="3"/>
      <c r="AT456" s="3"/>
    </row>
    <row r="457" spans="1:46" ht="15">
      <c r="A457" s="64" t="s">
        <v>477</v>
      </c>
      <c r="B457" s="65"/>
      <c r="C457" s="65"/>
      <c r="D457" s="66">
        <v>150</v>
      </c>
      <c r="E457" s="102">
        <v>97.85714285714286</v>
      </c>
      <c r="F457" s="98" t="str">
        <f>HYPERLINK("https://i.ytimg.com/vi/IpzdvY7mBCU/default.jpg")</f>
        <v>https://i.ytimg.com/vi/IpzdvY7mBCU/default.jpg</v>
      </c>
      <c r="G457" s="100"/>
      <c r="H457" s="69" t="s">
        <v>899</v>
      </c>
      <c r="I457" s="70"/>
      <c r="J457" s="104" t="s">
        <v>159</v>
      </c>
      <c r="K457" s="69" t="s">
        <v>899</v>
      </c>
      <c r="L457" s="105">
        <v>1</v>
      </c>
      <c r="M457" s="74">
        <v>9151.884765625</v>
      </c>
      <c r="N457" s="74">
        <v>6971.6904296875</v>
      </c>
      <c r="O457" s="75"/>
      <c r="P457" s="76"/>
      <c r="Q457" s="76"/>
      <c r="R457" s="106"/>
      <c r="S457" s="48">
        <v>1</v>
      </c>
      <c r="T457" s="48">
        <v>0</v>
      </c>
      <c r="U457" s="49">
        <v>0</v>
      </c>
      <c r="V457" s="49">
        <v>0.018263</v>
      </c>
      <c r="W457" s="107"/>
      <c r="X457" s="50"/>
      <c r="Y457" s="50"/>
      <c r="Z457" s="49">
        <v>0</v>
      </c>
      <c r="AA457" s="71">
        <v>457</v>
      </c>
      <c r="AB457" s="71"/>
      <c r="AC457" s="72"/>
      <c r="AD457" s="79" t="s">
        <v>899</v>
      </c>
      <c r="AE457" s="79" t="s">
        <v>1201</v>
      </c>
      <c r="AF457" s="79" t="s">
        <v>1411</v>
      </c>
      <c r="AG457" s="79" t="s">
        <v>1644</v>
      </c>
      <c r="AH457" s="79" t="s">
        <v>1955</v>
      </c>
      <c r="AI457" s="79">
        <v>21</v>
      </c>
      <c r="AJ457" s="79">
        <v>0</v>
      </c>
      <c r="AK457" s="79">
        <v>0</v>
      </c>
      <c r="AL457" s="79">
        <v>0</v>
      </c>
      <c r="AM457" s="79" t="s">
        <v>2092</v>
      </c>
      <c r="AN457" s="114" t="str">
        <f>HYPERLINK("https://www.youtube.com/watch?v=IpzdvY7mBCU")</f>
        <v>https://www.youtube.com/watch?v=IpzdvY7mBCU</v>
      </c>
      <c r="AO457" s="78" t="str">
        <f>REPLACE(INDEX(GroupVertices[Group],MATCH(Vertices[[#This Row],[Vertex]],GroupVertices[Vertex],0)),1,1,"")</f>
        <v>liyyas Ahammed</v>
      </c>
      <c r="AP457" s="2"/>
      <c r="AQ457" s="3"/>
      <c r="AR457" s="3"/>
      <c r="AS457" s="3"/>
      <c r="AT457" s="3"/>
    </row>
    <row r="458" spans="1:46" ht="15">
      <c r="A458" s="64" t="s">
        <v>475</v>
      </c>
      <c r="B458" s="65"/>
      <c r="C458" s="65"/>
      <c r="D458" s="66">
        <v>150</v>
      </c>
      <c r="E458" s="102">
        <v>97.85714285714286</v>
      </c>
      <c r="F458" s="98" t="str">
        <f>HYPERLINK("https://i.ytimg.com/vi/B_WI3OXVyek/default.jpg")</f>
        <v>https://i.ytimg.com/vi/B_WI3OXVyek/default.jpg</v>
      </c>
      <c r="G458" s="100"/>
      <c r="H458" s="69" t="s">
        <v>897</v>
      </c>
      <c r="I458" s="70"/>
      <c r="J458" s="104" t="s">
        <v>159</v>
      </c>
      <c r="K458" s="69" t="s">
        <v>897</v>
      </c>
      <c r="L458" s="105">
        <v>1</v>
      </c>
      <c r="M458" s="74">
        <v>8840.31640625</v>
      </c>
      <c r="N458" s="74">
        <v>6994.7314453125</v>
      </c>
      <c r="O458" s="75"/>
      <c r="P458" s="76"/>
      <c r="Q458" s="76"/>
      <c r="R458" s="106"/>
      <c r="S458" s="48">
        <v>1</v>
      </c>
      <c r="T458" s="48">
        <v>0</v>
      </c>
      <c r="U458" s="49">
        <v>0</v>
      </c>
      <c r="V458" s="49">
        <v>0.018263</v>
      </c>
      <c r="W458" s="107"/>
      <c r="X458" s="50"/>
      <c r="Y458" s="50"/>
      <c r="Z458" s="49">
        <v>0</v>
      </c>
      <c r="AA458" s="71">
        <v>458</v>
      </c>
      <c r="AB458" s="71"/>
      <c r="AC458" s="72"/>
      <c r="AD458" s="79" t="s">
        <v>897</v>
      </c>
      <c r="AE458" s="79" t="s">
        <v>1199</v>
      </c>
      <c r="AF458" s="79" t="s">
        <v>1409</v>
      </c>
      <c r="AG458" s="79" t="s">
        <v>1644</v>
      </c>
      <c r="AH458" s="79" t="s">
        <v>1953</v>
      </c>
      <c r="AI458" s="79">
        <v>9</v>
      </c>
      <c r="AJ458" s="79">
        <v>0</v>
      </c>
      <c r="AK458" s="79">
        <v>0</v>
      </c>
      <c r="AL458" s="79">
        <v>0</v>
      </c>
      <c r="AM458" s="79" t="s">
        <v>2092</v>
      </c>
      <c r="AN458" s="114" t="str">
        <f>HYPERLINK("https://www.youtube.com/watch?v=B_WI3OXVyek")</f>
        <v>https://www.youtube.com/watch?v=B_WI3OXVyek</v>
      </c>
      <c r="AO458" s="78" t="str">
        <f>REPLACE(INDEX(GroupVertices[Group],MATCH(Vertices[[#This Row],[Vertex]],GroupVertices[Vertex],0)),1,1,"")</f>
        <v>liyyas Ahammed</v>
      </c>
      <c r="AP458" s="2"/>
      <c r="AQ458" s="3"/>
      <c r="AR458" s="3"/>
      <c r="AS458" s="3"/>
      <c r="AT458" s="3"/>
    </row>
    <row r="459" spans="1:46" ht="15">
      <c r="A459" s="64" t="s">
        <v>496</v>
      </c>
      <c r="B459" s="65"/>
      <c r="C459" s="65"/>
      <c r="D459" s="66">
        <v>150</v>
      </c>
      <c r="E459" s="102">
        <v>97.85714285714286</v>
      </c>
      <c r="F459" s="98" t="str">
        <f>HYPERLINK("https://i.ytimg.com/vi/oAptJa_uu7w/default.jpg")</f>
        <v>https://i.ytimg.com/vi/oAptJa_uu7w/default.jpg</v>
      </c>
      <c r="G459" s="100"/>
      <c r="H459" s="69" t="s">
        <v>917</v>
      </c>
      <c r="I459" s="70"/>
      <c r="J459" s="104" t="s">
        <v>159</v>
      </c>
      <c r="K459" s="69" t="s">
        <v>917</v>
      </c>
      <c r="L459" s="105">
        <v>1</v>
      </c>
      <c r="M459" s="74">
        <v>9073.4541015625</v>
      </c>
      <c r="N459" s="74">
        <v>5899.22021484375</v>
      </c>
      <c r="O459" s="75"/>
      <c r="P459" s="76"/>
      <c r="Q459" s="76"/>
      <c r="R459" s="106"/>
      <c r="S459" s="48">
        <v>1</v>
      </c>
      <c r="T459" s="48">
        <v>0</v>
      </c>
      <c r="U459" s="49">
        <v>0</v>
      </c>
      <c r="V459" s="49">
        <v>0.018263</v>
      </c>
      <c r="W459" s="107"/>
      <c r="X459" s="50"/>
      <c r="Y459" s="50"/>
      <c r="Z459" s="49">
        <v>0</v>
      </c>
      <c r="AA459" s="71">
        <v>459</v>
      </c>
      <c r="AB459" s="71"/>
      <c r="AC459" s="72"/>
      <c r="AD459" s="79" t="s">
        <v>917</v>
      </c>
      <c r="AE459" s="79" t="s">
        <v>1216</v>
      </c>
      <c r="AF459" s="79" t="s">
        <v>1427</v>
      </c>
      <c r="AG459" s="79" t="s">
        <v>1644</v>
      </c>
      <c r="AH459" s="79" t="s">
        <v>1974</v>
      </c>
      <c r="AI459" s="79">
        <v>2575</v>
      </c>
      <c r="AJ459" s="79">
        <v>3</v>
      </c>
      <c r="AK459" s="79">
        <v>6</v>
      </c>
      <c r="AL459" s="79">
        <v>0</v>
      </c>
      <c r="AM459" s="79" t="s">
        <v>2092</v>
      </c>
      <c r="AN459" s="114" t="str">
        <f>HYPERLINK("https://www.youtube.com/watch?v=oAptJa_uu7w")</f>
        <v>https://www.youtube.com/watch?v=oAptJa_uu7w</v>
      </c>
      <c r="AO459" s="78" t="str">
        <f>REPLACE(INDEX(GroupVertices[Group],MATCH(Vertices[[#This Row],[Vertex]],GroupVertices[Vertex],0)),1,1,"")</f>
        <v>liyyas Ahammed</v>
      </c>
      <c r="AP459" s="2"/>
      <c r="AQ459" s="3"/>
      <c r="AR459" s="3"/>
      <c r="AS459" s="3"/>
      <c r="AT459" s="3"/>
    </row>
    <row r="460" spans="1:46" ht="15">
      <c r="A460" s="64" t="s">
        <v>497</v>
      </c>
      <c r="B460" s="65"/>
      <c r="C460" s="65"/>
      <c r="D460" s="66">
        <v>150</v>
      </c>
      <c r="E460" s="102">
        <v>97.85714285714286</v>
      </c>
      <c r="F460" s="98" t="str">
        <f>HYPERLINK("https://i.ytimg.com/vi/_wrAfdx5F38/default.jpg")</f>
        <v>https://i.ytimg.com/vi/_wrAfdx5F38/default.jpg</v>
      </c>
      <c r="G460" s="100"/>
      <c r="H460" s="69" t="s">
        <v>918</v>
      </c>
      <c r="I460" s="70"/>
      <c r="J460" s="104" t="s">
        <v>159</v>
      </c>
      <c r="K460" s="69" t="s">
        <v>918</v>
      </c>
      <c r="L460" s="105">
        <v>1</v>
      </c>
      <c r="M460" s="74">
        <v>9369.783203125</v>
      </c>
      <c r="N460" s="74">
        <v>7329.86376953125</v>
      </c>
      <c r="O460" s="75"/>
      <c r="P460" s="76"/>
      <c r="Q460" s="76"/>
      <c r="R460" s="106"/>
      <c r="S460" s="48">
        <v>1</v>
      </c>
      <c r="T460" s="48">
        <v>0</v>
      </c>
      <c r="U460" s="49">
        <v>0</v>
      </c>
      <c r="V460" s="49">
        <v>0.018263</v>
      </c>
      <c r="W460" s="107"/>
      <c r="X460" s="50"/>
      <c r="Y460" s="50"/>
      <c r="Z460" s="49">
        <v>0</v>
      </c>
      <c r="AA460" s="71">
        <v>460</v>
      </c>
      <c r="AB460" s="71"/>
      <c r="AC460" s="72"/>
      <c r="AD460" s="79" t="s">
        <v>918</v>
      </c>
      <c r="AE460" s="79" t="s">
        <v>1217</v>
      </c>
      <c r="AF460" s="79" t="s">
        <v>1428</v>
      </c>
      <c r="AG460" s="79" t="s">
        <v>1644</v>
      </c>
      <c r="AH460" s="79" t="s">
        <v>1975</v>
      </c>
      <c r="AI460" s="79">
        <v>2735</v>
      </c>
      <c r="AJ460" s="79">
        <v>1</v>
      </c>
      <c r="AK460" s="79">
        <v>12</v>
      </c>
      <c r="AL460" s="79">
        <v>0</v>
      </c>
      <c r="AM460" s="79" t="s">
        <v>2092</v>
      </c>
      <c r="AN460" s="114" t="str">
        <f>HYPERLINK("https://www.youtube.com/watch?v=_wrAfdx5F38")</f>
        <v>https://www.youtube.com/watch?v=_wrAfdx5F38</v>
      </c>
      <c r="AO460" s="78" t="str">
        <f>REPLACE(INDEX(GroupVertices[Group],MATCH(Vertices[[#This Row],[Vertex]],GroupVertices[Vertex],0)),1,1,"")</f>
        <v>liyyas Ahammed</v>
      </c>
      <c r="AP460" s="2"/>
      <c r="AQ460" s="3"/>
      <c r="AR460" s="3"/>
      <c r="AS460" s="3"/>
      <c r="AT460" s="3"/>
    </row>
    <row r="461" spans="1:46" ht="15">
      <c r="A461" s="64" t="s">
        <v>479</v>
      </c>
      <c r="B461" s="65"/>
      <c r="C461" s="65"/>
      <c r="D461" s="66">
        <v>150</v>
      </c>
      <c r="E461" s="102">
        <v>97.85714285714286</v>
      </c>
      <c r="F461" s="98" t="str">
        <f>HYPERLINK("https://i.ytimg.com/vi/FdLaghEdYkE/default.jpg")</f>
        <v>https://i.ytimg.com/vi/FdLaghEdYkE/default.jpg</v>
      </c>
      <c r="G461" s="100"/>
      <c r="H461" s="69" t="s">
        <v>901</v>
      </c>
      <c r="I461" s="70"/>
      <c r="J461" s="104" t="s">
        <v>159</v>
      </c>
      <c r="K461" s="69" t="s">
        <v>901</v>
      </c>
      <c r="L461" s="105">
        <v>1</v>
      </c>
      <c r="M461" s="74">
        <v>8414.8408203125</v>
      </c>
      <c r="N461" s="74">
        <v>6827.91015625</v>
      </c>
      <c r="O461" s="75"/>
      <c r="P461" s="76"/>
      <c r="Q461" s="76"/>
      <c r="R461" s="106"/>
      <c r="S461" s="48">
        <v>1</v>
      </c>
      <c r="T461" s="48">
        <v>0</v>
      </c>
      <c r="U461" s="49">
        <v>0</v>
      </c>
      <c r="V461" s="49">
        <v>0.018263</v>
      </c>
      <c r="W461" s="107"/>
      <c r="X461" s="50"/>
      <c r="Y461" s="50"/>
      <c r="Z461" s="49">
        <v>0</v>
      </c>
      <c r="AA461" s="71">
        <v>461</v>
      </c>
      <c r="AB461" s="71"/>
      <c r="AC461" s="72"/>
      <c r="AD461" s="79" t="s">
        <v>901</v>
      </c>
      <c r="AE461" s="79" t="s">
        <v>1203</v>
      </c>
      <c r="AF461" s="79" t="s">
        <v>1413</v>
      </c>
      <c r="AG461" s="79" t="s">
        <v>1644</v>
      </c>
      <c r="AH461" s="79" t="s">
        <v>1957</v>
      </c>
      <c r="AI461" s="79">
        <v>228</v>
      </c>
      <c r="AJ461" s="79">
        <v>1</v>
      </c>
      <c r="AK461" s="79">
        <v>6</v>
      </c>
      <c r="AL461" s="79">
        <v>0</v>
      </c>
      <c r="AM461" s="79" t="s">
        <v>2092</v>
      </c>
      <c r="AN461" s="114" t="str">
        <f>HYPERLINK("https://www.youtube.com/watch?v=FdLaghEdYkE")</f>
        <v>https://www.youtube.com/watch?v=FdLaghEdYkE</v>
      </c>
      <c r="AO461" s="78" t="str">
        <f>REPLACE(INDEX(GroupVertices[Group],MATCH(Vertices[[#This Row],[Vertex]],GroupVertices[Vertex],0)),1,1,"")</f>
        <v>liyyas Ahammed</v>
      </c>
      <c r="AP461" s="2"/>
      <c r="AQ461" s="3"/>
      <c r="AR461" s="3"/>
      <c r="AS461" s="3"/>
      <c r="AT461" s="3"/>
    </row>
    <row r="462" spans="1:46" ht="15">
      <c r="A462" s="64" t="s">
        <v>498</v>
      </c>
      <c r="B462" s="65"/>
      <c r="C462" s="65"/>
      <c r="D462" s="66">
        <v>150</v>
      </c>
      <c r="E462" s="102">
        <v>97.85714285714286</v>
      </c>
      <c r="F462" s="98" t="str">
        <f>HYPERLINK("https://i.ytimg.com/vi/DOfWbOzf_NU/default.jpg")</f>
        <v>https://i.ytimg.com/vi/DOfWbOzf_NU/default.jpg</v>
      </c>
      <c r="G462" s="100"/>
      <c r="H462" s="69" t="s">
        <v>919</v>
      </c>
      <c r="I462" s="70"/>
      <c r="J462" s="104" t="s">
        <v>159</v>
      </c>
      <c r="K462" s="69" t="s">
        <v>919</v>
      </c>
      <c r="L462" s="105">
        <v>1</v>
      </c>
      <c r="M462" s="74">
        <v>9327.9736328125</v>
      </c>
      <c r="N462" s="74">
        <v>5711.2998046875</v>
      </c>
      <c r="O462" s="75"/>
      <c r="P462" s="76"/>
      <c r="Q462" s="76"/>
      <c r="R462" s="106"/>
      <c r="S462" s="48">
        <v>1</v>
      </c>
      <c r="T462" s="48">
        <v>0</v>
      </c>
      <c r="U462" s="49">
        <v>0</v>
      </c>
      <c r="V462" s="49">
        <v>0.018263</v>
      </c>
      <c r="W462" s="107"/>
      <c r="X462" s="50"/>
      <c r="Y462" s="50"/>
      <c r="Z462" s="49">
        <v>0</v>
      </c>
      <c r="AA462" s="71">
        <v>462</v>
      </c>
      <c r="AB462" s="71"/>
      <c r="AC462" s="72"/>
      <c r="AD462" s="79" t="s">
        <v>919</v>
      </c>
      <c r="AE462" s="79" t="s">
        <v>1218</v>
      </c>
      <c r="AF462" s="79" t="s">
        <v>1429</v>
      </c>
      <c r="AG462" s="79" t="s">
        <v>1656</v>
      </c>
      <c r="AH462" s="79" t="s">
        <v>1976</v>
      </c>
      <c r="AI462" s="79">
        <v>18396</v>
      </c>
      <c r="AJ462" s="79">
        <v>6</v>
      </c>
      <c r="AK462" s="79">
        <v>176</v>
      </c>
      <c r="AL462" s="79">
        <v>0</v>
      </c>
      <c r="AM462" s="79" t="s">
        <v>2092</v>
      </c>
      <c r="AN462" s="114" t="str">
        <f>HYPERLINK("https://www.youtube.com/watch?v=DOfWbOzf_NU")</f>
        <v>https://www.youtube.com/watch?v=DOfWbOzf_NU</v>
      </c>
      <c r="AO462" s="78" t="str">
        <f>REPLACE(INDEX(GroupVertices[Group],MATCH(Vertices[[#This Row],[Vertex]],GroupVertices[Vertex],0)),1,1,"")</f>
        <v>3 Health</v>
      </c>
      <c r="AP462" s="2"/>
      <c r="AQ462" s="3"/>
      <c r="AR462" s="3"/>
      <c r="AS462" s="3"/>
      <c r="AT462" s="3"/>
    </row>
    <row r="463" spans="1:46" ht="15">
      <c r="A463" s="64" t="s">
        <v>478</v>
      </c>
      <c r="B463" s="65"/>
      <c r="C463" s="65"/>
      <c r="D463" s="66">
        <v>150</v>
      </c>
      <c r="E463" s="102">
        <v>97.85714285714286</v>
      </c>
      <c r="F463" s="98" t="str">
        <f>HYPERLINK("https://i.ytimg.com/vi/VmwRXG9gDZo/default.jpg")</f>
        <v>https://i.ytimg.com/vi/VmwRXG9gDZo/default.jpg</v>
      </c>
      <c r="G463" s="100"/>
      <c r="H463" s="69" t="s">
        <v>900</v>
      </c>
      <c r="I463" s="70"/>
      <c r="J463" s="104" t="s">
        <v>159</v>
      </c>
      <c r="K463" s="69" t="s">
        <v>900</v>
      </c>
      <c r="L463" s="105">
        <v>1</v>
      </c>
      <c r="M463" s="74">
        <v>9041.357421875</v>
      </c>
      <c r="N463" s="74">
        <v>5372.70751953125</v>
      </c>
      <c r="O463" s="75"/>
      <c r="P463" s="76"/>
      <c r="Q463" s="76"/>
      <c r="R463" s="106"/>
      <c r="S463" s="48">
        <v>1</v>
      </c>
      <c r="T463" s="48">
        <v>0</v>
      </c>
      <c r="U463" s="49">
        <v>0</v>
      </c>
      <c r="V463" s="49">
        <v>0.018263</v>
      </c>
      <c r="W463" s="107"/>
      <c r="X463" s="50"/>
      <c r="Y463" s="50"/>
      <c r="Z463" s="49">
        <v>0</v>
      </c>
      <c r="AA463" s="71">
        <v>463</v>
      </c>
      <c r="AB463" s="71"/>
      <c r="AC463" s="72"/>
      <c r="AD463" s="79" t="s">
        <v>900</v>
      </c>
      <c r="AE463" s="79" t="s">
        <v>1202</v>
      </c>
      <c r="AF463" s="79" t="s">
        <v>1412</v>
      </c>
      <c r="AG463" s="79" t="s">
        <v>1644</v>
      </c>
      <c r="AH463" s="79" t="s">
        <v>1956</v>
      </c>
      <c r="AI463" s="79">
        <v>156</v>
      </c>
      <c r="AJ463" s="79">
        <v>0</v>
      </c>
      <c r="AK463" s="79">
        <v>1</v>
      </c>
      <c r="AL463" s="79">
        <v>0</v>
      </c>
      <c r="AM463" s="79" t="s">
        <v>2092</v>
      </c>
      <c r="AN463" s="114" t="str">
        <f>HYPERLINK("https://www.youtube.com/watch?v=VmwRXG9gDZo")</f>
        <v>https://www.youtube.com/watch?v=VmwRXG9gDZo</v>
      </c>
      <c r="AO463" s="78" t="str">
        <f>REPLACE(INDEX(GroupVertices[Group],MATCH(Vertices[[#This Row],[Vertex]],GroupVertices[Vertex],0)),1,1,"")</f>
        <v>liyyas Ahammed</v>
      </c>
      <c r="AP463" s="2"/>
      <c r="AQ463" s="3"/>
      <c r="AR463" s="3"/>
      <c r="AS463" s="3"/>
      <c r="AT463" s="3"/>
    </row>
    <row r="464" spans="1:46" ht="15">
      <c r="A464" s="64" t="s">
        <v>481</v>
      </c>
      <c r="B464" s="65"/>
      <c r="C464" s="65"/>
      <c r="D464" s="66">
        <v>150</v>
      </c>
      <c r="E464" s="102">
        <v>97.85714285714286</v>
      </c>
      <c r="F464" s="98" t="str">
        <f>HYPERLINK("https://i.ytimg.com/vi/DnT2zpKmjKc/default.jpg")</f>
        <v>https://i.ytimg.com/vi/DnT2zpKmjKc/default.jpg</v>
      </c>
      <c r="G464" s="100"/>
      <c r="H464" s="69" t="s">
        <v>903</v>
      </c>
      <c r="I464" s="70"/>
      <c r="J464" s="104" t="s">
        <v>159</v>
      </c>
      <c r="K464" s="69" t="s">
        <v>903</v>
      </c>
      <c r="L464" s="105">
        <v>1</v>
      </c>
      <c r="M464" s="74">
        <v>8383.59765625</v>
      </c>
      <c r="N464" s="74">
        <v>6131.28857421875</v>
      </c>
      <c r="O464" s="75"/>
      <c r="P464" s="76"/>
      <c r="Q464" s="76"/>
      <c r="R464" s="106"/>
      <c r="S464" s="48">
        <v>1</v>
      </c>
      <c r="T464" s="48">
        <v>0</v>
      </c>
      <c r="U464" s="49">
        <v>0</v>
      </c>
      <c r="V464" s="49">
        <v>0.018263</v>
      </c>
      <c r="W464" s="107"/>
      <c r="X464" s="50"/>
      <c r="Y464" s="50"/>
      <c r="Z464" s="49">
        <v>0</v>
      </c>
      <c r="AA464" s="71">
        <v>464</v>
      </c>
      <c r="AB464" s="71"/>
      <c r="AC464" s="72"/>
      <c r="AD464" s="79" t="s">
        <v>903</v>
      </c>
      <c r="AE464" s="79" t="s">
        <v>903</v>
      </c>
      <c r="AF464" s="79" t="s">
        <v>1415</v>
      </c>
      <c r="AG464" s="79" t="s">
        <v>1644</v>
      </c>
      <c r="AH464" s="79" t="s">
        <v>1959</v>
      </c>
      <c r="AI464" s="79">
        <v>45</v>
      </c>
      <c r="AJ464" s="79">
        <v>1</v>
      </c>
      <c r="AK464" s="79">
        <v>2</v>
      </c>
      <c r="AL464" s="79">
        <v>0</v>
      </c>
      <c r="AM464" s="79" t="s">
        <v>2092</v>
      </c>
      <c r="AN464" s="114" t="str">
        <f>HYPERLINK("https://www.youtube.com/watch?v=DnT2zpKmjKc")</f>
        <v>https://www.youtube.com/watch?v=DnT2zpKmjKc</v>
      </c>
      <c r="AO464" s="78" t="str">
        <f>REPLACE(INDEX(GroupVertices[Group],MATCH(Vertices[[#This Row],[Vertex]],GroupVertices[Vertex],0)),1,1,"")</f>
        <v>liyyas Ahammed</v>
      </c>
      <c r="AP464" s="2"/>
      <c r="AQ464" s="3"/>
      <c r="AR464" s="3"/>
      <c r="AS464" s="3"/>
      <c r="AT464" s="3"/>
    </row>
    <row r="465" spans="1:46" ht="15">
      <c r="A465" s="64" t="s">
        <v>2334</v>
      </c>
      <c r="B465" s="65"/>
      <c r="C465" s="65"/>
      <c r="D465" s="66">
        <v>150</v>
      </c>
      <c r="E465" s="102">
        <v>97.85714285714286</v>
      </c>
      <c r="F465" s="98" t="str">
        <f>HYPERLINK("https://i.ytimg.com/vi/w-nUskyr3_A/default.jpg")</f>
        <v>https://i.ytimg.com/vi/w-nUskyr3_A/default.jpg</v>
      </c>
      <c r="G465" s="100"/>
      <c r="H465" s="69" t="s">
        <v>2811</v>
      </c>
      <c r="I465" s="70"/>
      <c r="J465" s="104" t="s">
        <v>159</v>
      </c>
      <c r="K465" s="69" t="s">
        <v>2811</v>
      </c>
      <c r="L465" s="105">
        <v>1</v>
      </c>
      <c r="M465" s="74">
        <v>9686.1279296875</v>
      </c>
      <c r="N465" s="74">
        <v>5687.26220703125</v>
      </c>
      <c r="O465" s="75"/>
      <c r="P465" s="76"/>
      <c r="Q465" s="76"/>
      <c r="R465" s="106"/>
      <c r="S465" s="48">
        <v>1</v>
      </c>
      <c r="T465" s="48">
        <v>0</v>
      </c>
      <c r="U465" s="49">
        <v>0</v>
      </c>
      <c r="V465" s="49">
        <v>0.018263</v>
      </c>
      <c r="W465" s="107"/>
      <c r="X465" s="50"/>
      <c r="Y465" s="50"/>
      <c r="Z465" s="49">
        <v>0</v>
      </c>
      <c r="AA465" s="71">
        <v>465</v>
      </c>
      <c r="AB465" s="71"/>
      <c r="AC465" s="72"/>
      <c r="AD465" s="79" t="s">
        <v>2811</v>
      </c>
      <c r="AE465" s="79" t="s">
        <v>3262</v>
      </c>
      <c r="AF465" s="79" t="s">
        <v>3580</v>
      </c>
      <c r="AG465" s="79" t="s">
        <v>1644</v>
      </c>
      <c r="AH465" s="79" t="s">
        <v>4176</v>
      </c>
      <c r="AI465" s="79">
        <v>82</v>
      </c>
      <c r="AJ465" s="79">
        <v>0</v>
      </c>
      <c r="AK465" s="79">
        <v>0</v>
      </c>
      <c r="AL465" s="79">
        <v>0</v>
      </c>
      <c r="AM465" s="79" t="s">
        <v>2092</v>
      </c>
      <c r="AN465" s="114" t="str">
        <f>HYPERLINK("https://www.youtube.com/watch?v=w-nUskyr3_A")</f>
        <v>https://www.youtube.com/watch?v=w-nUskyr3_A</v>
      </c>
      <c r="AO465" s="78" t="str">
        <f>REPLACE(INDEX(GroupVertices[Group],MATCH(Vertices[[#This Row],[Vertex]],GroupVertices[Vertex],0)),1,1,"")</f>
        <v>liyyas Ahammed</v>
      </c>
      <c r="AP465" s="2"/>
      <c r="AQ465" s="3"/>
      <c r="AR465" s="3"/>
      <c r="AS465" s="3"/>
      <c r="AT465" s="3"/>
    </row>
    <row r="466" spans="1:46" ht="15">
      <c r="A466" s="64" t="s">
        <v>482</v>
      </c>
      <c r="B466" s="65"/>
      <c r="C466" s="65"/>
      <c r="D466" s="66">
        <v>150</v>
      </c>
      <c r="E466" s="102">
        <v>97.85714285714286</v>
      </c>
      <c r="F466" s="98" t="str">
        <f>HYPERLINK("https://i.ytimg.com/vi/0vafeW8xkfo/default.jpg")</f>
        <v>https://i.ytimg.com/vi/0vafeW8xkfo/default.jpg</v>
      </c>
      <c r="G466" s="100"/>
      <c r="H466" s="69" t="s">
        <v>904</v>
      </c>
      <c r="I466" s="70"/>
      <c r="J466" s="104" t="s">
        <v>159</v>
      </c>
      <c r="K466" s="69" t="s">
        <v>904</v>
      </c>
      <c r="L466" s="105">
        <v>1</v>
      </c>
      <c r="M466" s="74">
        <v>8814.6767578125</v>
      </c>
      <c r="N466" s="74">
        <v>5738.2978515625</v>
      </c>
      <c r="O466" s="75"/>
      <c r="P466" s="76"/>
      <c r="Q466" s="76"/>
      <c r="R466" s="106"/>
      <c r="S466" s="48">
        <v>1</v>
      </c>
      <c r="T466" s="48">
        <v>0</v>
      </c>
      <c r="U466" s="49">
        <v>0</v>
      </c>
      <c r="V466" s="49">
        <v>0.018263</v>
      </c>
      <c r="W466" s="107"/>
      <c r="X466" s="50"/>
      <c r="Y466" s="50"/>
      <c r="Z466" s="49">
        <v>0</v>
      </c>
      <c r="AA466" s="71">
        <v>466</v>
      </c>
      <c r="AB466" s="71"/>
      <c r="AC466" s="72"/>
      <c r="AD466" s="79" t="s">
        <v>904</v>
      </c>
      <c r="AE466" s="79" t="s">
        <v>1205</v>
      </c>
      <c r="AF466" s="79" t="s">
        <v>1416</v>
      </c>
      <c r="AG466" s="79" t="s">
        <v>1644</v>
      </c>
      <c r="AH466" s="79" t="s">
        <v>1960</v>
      </c>
      <c r="AI466" s="79">
        <v>14</v>
      </c>
      <c r="AJ466" s="79">
        <v>0</v>
      </c>
      <c r="AK466" s="79">
        <v>1</v>
      </c>
      <c r="AL466" s="79">
        <v>0</v>
      </c>
      <c r="AM466" s="79" t="s">
        <v>2092</v>
      </c>
      <c r="AN466" s="114" t="str">
        <f>HYPERLINK("https://www.youtube.com/watch?v=0vafeW8xkfo")</f>
        <v>https://www.youtube.com/watch?v=0vafeW8xkfo</v>
      </c>
      <c r="AO466" s="78" t="str">
        <f>REPLACE(INDEX(GroupVertices[Group],MATCH(Vertices[[#This Row],[Vertex]],GroupVertices[Vertex],0)),1,1,"")</f>
        <v>liyyas Ahammed</v>
      </c>
      <c r="AP466" s="2"/>
      <c r="AQ466" s="3"/>
      <c r="AR466" s="3"/>
      <c r="AS466" s="3"/>
      <c r="AT466" s="3"/>
    </row>
    <row r="467" spans="1:46" ht="15">
      <c r="A467" s="64" t="s">
        <v>2335</v>
      </c>
      <c r="B467" s="65"/>
      <c r="C467" s="65"/>
      <c r="D467" s="66">
        <v>150</v>
      </c>
      <c r="E467" s="102">
        <v>97.85714285714286</v>
      </c>
      <c r="F467" s="98" t="str">
        <f>HYPERLINK("https://i.ytimg.com/vi/Md8vzqoI3ks/default.jpg")</f>
        <v>https://i.ytimg.com/vi/Md8vzqoI3ks/default.jpg</v>
      </c>
      <c r="G467" s="100"/>
      <c r="H467" s="69" t="s">
        <v>2812</v>
      </c>
      <c r="I467" s="70"/>
      <c r="J467" s="104" t="s">
        <v>159</v>
      </c>
      <c r="K467" s="69" t="s">
        <v>2812</v>
      </c>
      <c r="L467" s="105">
        <v>1</v>
      </c>
      <c r="M467" s="74">
        <v>8339.1923828125</v>
      </c>
      <c r="N467" s="74">
        <v>6437.69482421875</v>
      </c>
      <c r="O467" s="75"/>
      <c r="P467" s="76"/>
      <c r="Q467" s="76"/>
      <c r="R467" s="106"/>
      <c r="S467" s="48">
        <v>1</v>
      </c>
      <c r="T467" s="48">
        <v>0</v>
      </c>
      <c r="U467" s="49">
        <v>0</v>
      </c>
      <c r="V467" s="49">
        <v>0.018263</v>
      </c>
      <c r="W467" s="107"/>
      <c r="X467" s="50"/>
      <c r="Y467" s="50"/>
      <c r="Z467" s="49">
        <v>0</v>
      </c>
      <c r="AA467" s="71">
        <v>467</v>
      </c>
      <c r="AB467" s="71"/>
      <c r="AC467" s="72"/>
      <c r="AD467" s="79" t="s">
        <v>2812</v>
      </c>
      <c r="AE467" s="79" t="s">
        <v>3263</v>
      </c>
      <c r="AF467" s="79" t="s">
        <v>3581</v>
      </c>
      <c r="AG467" s="79" t="s">
        <v>1644</v>
      </c>
      <c r="AH467" s="79" t="s">
        <v>4177</v>
      </c>
      <c r="AI467" s="79">
        <v>16</v>
      </c>
      <c r="AJ467" s="79">
        <v>0</v>
      </c>
      <c r="AK467" s="79">
        <v>1</v>
      </c>
      <c r="AL467" s="79">
        <v>0</v>
      </c>
      <c r="AM467" s="79" t="s">
        <v>2092</v>
      </c>
      <c r="AN467" s="114" t="str">
        <f>HYPERLINK("https://www.youtube.com/watch?v=Md8vzqoI3ks")</f>
        <v>https://www.youtube.com/watch?v=Md8vzqoI3ks</v>
      </c>
      <c r="AO467" s="78" t="str">
        <f>REPLACE(INDEX(GroupVertices[Group],MATCH(Vertices[[#This Row],[Vertex]],GroupVertices[Vertex],0)),1,1,"")</f>
        <v>liyyas Ahammed</v>
      </c>
      <c r="AP467" s="2"/>
      <c r="AQ467" s="3"/>
      <c r="AR467" s="3"/>
      <c r="AS467" s="3"/>
      <c r="AT467" s="3"/>
    </row>
    <row r="468" spans="1:46" ht="15">
      <c r="A468" s="64" t="s">
        <v>483</v>
      </c>
      <c r="B468" s="65"/>
      <c r="C468" s="65"/>
      <c r="D468" s="66">
        <v>150</v>
      </c>
      <c r="E468" s="102">
        <v>97.85714285714286</v>
      </c>
      <c r="F468" s="98" t="str">
        <f>HYPERLINK("https://i.ytimg.com/vi/TG05WcPagi0/default.jpg")</f>
        <v>https://i.ytimg.com/vi/TG05WcPagi0/default.jpg</v>
      </c>
      <c r="G468" s="100"/>
      <c r="H468" s="69" t="s">
        <v>905</v>
      </c>
      <c r="I468" s="70"/>
      <c r="J468" s="104" t="s">
        <v>159</v>
      </c>
      <c r="K468" s="69" t="s">
        <v>905</v>
      </c>
      <c r="L468" s="105">
        <v>1</v>
      </c>
      <c r="M468" s="74">
        <v>8554.818359375</v>
      </c>
      <c r="N468" s="74">
        <v>7065.884765625</v>
      </c>
      <c r="O468" s="75"/>
      <c r="P468" s="76"/>
      <c r="Q468" s="76"/>
      <c r="R468" s="106"/>
      <c r="S468" s="48">
        <v>1</v>
      </c>
      <c r="T468" s="48">
        <v>0</v>
      </c>
      <c r="U468" s="49">
        <v>0</v>
      </c>
      <c r="V468" s="49">
        <v>0.018263</v>
      </c>
      <c r="W468" s="107"/>
      <c r="X468" s="50"/>
      <c r="Y468" s="50"/>
      <c r="Z468" s="49">
        <v>0</v>
      </c>
      <c r="AA468" s="71">
        <v>468</v>
      </c>
      <c r="AB468" s="71"/>
      <c r="AC468" s="72"/>
      <c r="AD468" s="79" t="s">
        <v>905</v>
      </c>
      <c r="AE468" s="79" t="s">
        <v>1206</v>
      </c>
      <c r="AF468" s="79" t="s">
        <v>1417</v>
      </c>
      <c r="AG468" s="79" t="s">
        <v>1644</v>
      </c>
      <c r="AH468" s="79" t="s">
        <v>1961</v>
      </c>
      <c r="AI468" s="79">
        <v>15</v>
      </c>
      <c r="AJ468" s="79">
        <v>1</v>
      </c>
      <c r="AK468" s="79">
        <v>1</v>
      </c>
      <c r="AL468" s="79">
        <v>0</v>
      </c>
      <c r="AM468" s="79" t="s">
        <v>2092</v>
      </c>
      <c r="AN468" s="114" t="str">
        <f>HYPERLINK("https://www.youtube.com/watch?v=TG05WcPagi0")</f>
        <v>https://www.youtube.com/watch?v=TG05WcPagi0</v>
      </c>
      <c r="AO468" s="78" t="str">
        <f>REPLACE(INDEX(GroupVertices[Group],MATCH(Vertices[[#This Row],[Vertex]],GroupVertices[Vertex],0)),1,1,"")</f>
        <v>liyyas Ahammed</v>
      </c>
      <c r="AP468" s="2"/>
      <c r="AQ468" s="3"/>
      <c r="AR468" s="3"/>
      <c r="AS468" s="3"/>
      <c r="AT468" s="3"/>
    </row>
    <row r="469" spans="1:46" ht="15">
      <c r="A469" s="64" t="s">
        <v>499</v>
      </c>
      <c r="B469" s="65"/>
      <c r="C469" s="65"/>
      <c r="D469" s="66">
        <v>150</v>
      </c>
      <c r="E469" s="102">
        <v>97.85714285714286</v>
      </c>
      <c r="F469" s="98" t="str">
        <f>HYPERLINK("https://i.ytimg.com/vi/qmr0QH0XTqI/default.jpg")</f>
        <v>https://i.ytimg.com/vi/qmr0QH0XTqI/default.jpg</v>
      </c>
      <c r="G469" s="100"/>
      <c r="H469" s="69" t="s">
        <v>920</v>
      </c>
      <c r="I469" s="70"/>
      <c r="J469" s="104" t="s">
        <v>159</v>
      </c>
      <c r="K469" s="69" t="s">
        <v>920</v>
      </c>
      <c r="L469" s="105">
        <v>1</v>
      </c>
      <c r="M469" s="74">
        <v>8822.6533203125</v>
      </c>
      <c r="N469" s="74">
        <v>5403.015625</v>
      </c>
      <c r="O469" s="75"/>
      <c r="P469" s="76"/>
      <c r="Q469" s="76"/>
      <c r="R469" s="106"/>
      <c r="S469" s="48">
        <v>1</v>
      </c>
      <c r="T469" s="48">
        <v>0</v>
      </c>
      <c r="U469" s="49">
        <v>0</v>
      </c>
      <c r="V469" s="49">
        <v>0.018263</v>
      </c>
      <c r="W469" s="107"/>
      <c r="X469" s="50"/>
      <c r="Y469" s="50"/>
      <c r="Z469" s="49">
        <v>0</v>
      </c>
      <c r="AA469" s="71">
        <v>469</v>
      </c>
      <c r="AB469" s="71"/>
      <c r="AC469" s="72"/>
      <c r="AD469" s="79" t="s">
        <v>920</v>
      </c>
      <c r="AE469" s="79" t="s">
        <v>1219</v>
      </c>
      <c r="AF469" s="79" t="s">
        <v>1430</v>
      </c>
      <c r="AG469" s="79" t="s">
        <v>1644</v>
      </c>
      <c r="AH469" s="79" t="s">
        <v>1977</v>
      </c>
      <c r="AI469" s="79">
        <v>188</v>
      </c>
      <c r="AJ469" s="79">
        <v>5</v>
      </c>
      <c r="AK469" s="79">
        <v>19</v>
      </c>
      <c r="AL469" s="79">
        <v>0</v>
      </c>
      <c r="AM469" s="79" t="s">
        <v>2092</v>
      </c>
      <c r="AN469" s="114" t="str">
        <f>HYPERLINK("https://www.youtube.com/watch?v=qmr0QH0XTqI")</f>
        <v>https://www.youtube.com/watch?v=qmr0QH0XTqI</v>
      </c>
      <c r="AO469" s="78" t="str">
        <f>REPLACE(INDEX(GroupVertices[Group],MATCH(Vertices[[#This Row],[Vertex]],GroupVertices[Vertex],0)),1,1,"")</f>
        <v>liyyas Ahammed</v>
      </c>
      <c r="AP469" s="2"/>
      <c r="AQ469" s="3"/>
      <c r="AR469" s="3"/>
      <c r="AS469" s="3"/>
      <c r="AT469" s="3"/>
    </row>
    <row r="470" spans="1:46" ht="15">
      <c r="A470" s="64" t="s">
        <v>2336</v>
      </c>
      <c r="B470" s="65"/>
      <c r="C470" s="65"/>
      <c r="D470" s="66">
        <v>150</v>
      </c>
      <c r="E470" s="102">
        <v>97.85714285714286</v>
      </c>
      <c r="F470" s="98" t="str">
        <f>HYPERLINK("https://i.ytimg.com/vi/6kEePXWmx2E/default.jpg")</f>
        <v>https://i.ytimg.com/vi/6kEePXWmx2E/default.jpg</v>
      </c>
      <c r="G470" s="100"/>
      <c r="H470" s="69" t="s">
        <v>2813</v>
      </c>
      <c r="I470" s="70"/>
      <c r="J470" s="104" t="s">
        <v>159</v>
      </c>
      <c r="K470" s="69" t="s">
        <v>2813</v>
      </c>
      <c r="L470" s="105">
        <v>1</v>
      </c>
      <c r="M470" s="74">
        <v>6088.67138671875</v>
      </c>
      <c r="N470" s="74">
        <v>1545.43359375</v>
      </c>
      <c r="O470" s="75"/>
      <c r="P470" s="76"/>
      <c r="Q470" s="76"/>
      <c r="R470" s="106"/>
      <c r="S470" s="48">
        <v>1</v>
      </c>
      <c r="T470" s="48">
        <v>0</v>
      </c>
      <c r="U470" s="49">
        <v>0</v>
      </c>
      <c r="V470" s="49">
        <v>0.152055</v>
      </c>
      <c r="W470" s="107"/>
      <c r="X470" s="50"/>
      <c r="Y470" s="50"/>
      <c r="Z470" s="49">
        <v>0</v>
      </c>
      <c r="AA470" s="71">
        <v>470</v>
      </c>
      <c r="AB470" s="71"/>
      <c r="AC470" s="72"/>
      <c r="AD470" s="79" t="s">
        <v>2813</v>
      </c>
      <c r="AE470" s="79" t="s">
        <v>3264</v>
      </c>
      <c r="AF470" s="79"/>
      <c r="AG470" s="79" t="s">
        <v>3819</v>
      </c>
      <c r="AH470" s="79" t="s">
        <v>4178</v>
      </c>
      <c r="AI470" s="79">
        <v>11</v>
      </c>
      <c r="AJ470" s="79">
        <v>0</v>
      </c>
      <c r="AK470" s="79">
        <v>1</v>
      </c>
      <c r="AL470" s="79">
        <v>0</v>
      </c>
      <c r="AM470" s="79" t="s">
        <v>2092</v>
      </c>
      <c r="AN470" s="114" t="str">
        <f>HYPERLINK("https://www.youtube.com/watch?v=6kEePXWmx2E")</f>
        <v>https://www.youtube.com/watch?v=6kEePXWmx2E</v>
      </c>
      <c r="AO470" s="78" t="str">
        <f>REPLACE(INDEX(GroupVertices[Group],MATCH(Vertices[[#This Row],[Vertex]],GroupVertices[Vertex],0)),1,1,"")</f>
        <v>orld Of Gem</v>
      </c>
      <c r="AP470" s="2"/>
      <c r="AQ470" s="3"/>
      <c r="AR470" s="3"/>
      <c r="AS470" s="3"/>
      <c r="AT470" s="3"/>
    </row>
    <row r="471" spans="1:46" ht="15">
      <c r="A471" s="64" t="s">
        <v>2337</v>
      </c>
      <c r="B471" s="65"/>
      <c r="C471" s="65"/>
      <c r="D471" s="66">
        <v>150</v>
      </c>
      <c r="E471" s="102">
        <v>97.85714285714286</v>
      </c>
      <c r="F471" s="98" t="str">
        <f>HYPERLINK("https://i.ytimg.com/vi/PG6DhrwGCdQ/default.jpg")</f>
        <v>https://i.ytimg.com/vi/PG6DhrwGCdQ/default.jpg</v>
      </c>
      <c r="G471" s="100"/>
      <c r="H471" s="69" t="s">
        <v>2814</v>
      </c>
      <c r="I471" s="70"/>
      <c r="J471" s="104" t="s">
        <v>159</v>
      </c>
      <c r="K471" s="69" t="s">
        <v>2814</v>
      </c>
      <c r="L471" s="105">
        <v>1</v>
      </c>
      <c r="M471" s="74">
        <v>5807.63916015625</v>
      </c>
      <c r="N471" s="74">
        <v>1453.9759521484375</v>
      </c>
      <c r="O471" s="75"/>
      <c r="P471" s="76"/>
      <c r="Q471" s="76"/>
      <c r="R471" s="106"/>
      <c r="S471" s="48">
        <v>1</v>
      </c>
      <c r="T471" s="48">
        <v>0</v>
      </c>
      <c r="U471" s="49">
        <v>0</v>
      </c>
      <c r="V471" s="49">
        <v>0.152055</v>
      </c>
      <c r="W471" s="107"/>
      <c r="X471" s="50"/>
      <c r="Y471" s="50"/>
      <c r="Z471" s="49">
        <v>0</v>
      </c>
      <c r="AA471" s="71">
        <v>471</v>
      </c>
      <c r="AB471" s="71"/>
      <c r="AC471" s="72"/>
      <c r="AD471" s="79" t="s">
        <v>2814</v>
      </c>
      <c r="AE471" s="79" t="s">
        <v>3265</v>
      </c>
      <c r="AF471" s="79" t="s">
        <v>3582</v>
      </c>
      <c r="AG471" s="79" t="s">
        <v>3820</v>
      </c>
      <c r="AH471" s="79" t="s">
        <v>4179</v>
      </c>
      <c r="AI471" s="79">
        <v>5640</v>
      </c>
      <c r="AJ471" s="79">
        <v>10</v>
      </c>
      <c r="AK471" s="79">
        <v>112</v>
      </c>
      <c r="AL471" s="79">
        <v>0</v>
      </c>
      <c r="AM471" s="79" t="s">
        <v>2092</v>
      </c>
      <c r="AN471" s="114" t="str">
        <f>HYPERLINK("https://www.youtube.com/watch?v=PG6DhrwGCdQ")</f>
        <v>https://www.youtube.com/watch?v=PG6DhrwGCdQ</v>
      </c>
      <c r="AO471" s="78" t="str">
        <f>REPLACE(INDEX(GroupVertices[Group],MATCH(Vertices[[#This Row],[Vertex]],GroupVertices[Vertex],0)),1,1,"")</f>
        <v>etro RudyX</v>
      </c>
      <c r="AP471" s="2"/>
      <c r="AQ471" s="3"/>
      <c r="AR471" s="3"/>
      <c r="AS471" s="3"/>
      <c r="AT471" s="3"/>
    </row>
    <row r="472" spans="1:46" ht="15">
      <c r="A472" s="64" t="s">
        <v>2338</v>
      </c>
      <c r="B472" s="65"/>
      <c r="C472" s="65"/>
      <c r="D472" s="66">
        <v>150</v>
      </c>
      <c r="E472" s="102">
        <v>97.85714285714286</v>
      </c>
      <c r="F472" s="98" t="str">
        <f>HYPERLINK("https://i.ytimg.com/vi/aIAsSmb9ksY/default.jpg")</f>
        <v>https://i.ytimg.com/vi/aIAsSmb9ksY/default.jpg</v>
      </c>
      <c r="G472" s="100"/>
      <c r="H472" s="69" t="s">
        <v>2815</v>
      </c>
      <c r="I472" s="70"/>
      <c r="J472" s="104" t="s">
        <v>159</v>
      </c>
      <c r="K472" s="69" t="s">
        <v>2815</v>
      </c>
      <c r="L472" s="105">
        <v>1</v>
      </c>
      <c r="M472" s="74">
        <v>4943.4208984375</v>
      </c>
      <c r="N472" s="74">
        <v>286.6068115234375</v>
      </c>
      <c r="O472" s="75"/>
      <c r="P472" s="76"/>
      <c r="Q472" s="76"/>
      <c r="R472" s="106"/>
      <c r="S472" s="48">
        <v>1</v>
      </c>
      <c r="T472" s="48">
        <v>0</v>
      </c>
      <c r="U472" s="49">
        <v>0</v>
      </c>
      <c r="V472" s="49">
        <v>0.152055</v>
      </c>
      <c r="W472" s="107"/>
      <c r="X472" s="50"/>
      <c r="Y472" s="50"/>
      <c r="Z472" s="49">
        <v>0</v>
      </c>
      <c r="AA472" s="71">
        <v>472</v>
      </c>
      <c r="AB472" s="71"/>
      <c r="AC472" s="72"/>
      <c r="AD472" s="79" t="s">
        <v>2815</v>
      </c>
      <c r="AE472" s="79"/>
      <c r="AF472" s="79"/>
      <c r="AG472" s="79" t="s">
        <v>3821</v>
      </c>
      <c r="AH472" s="79" t="s">
        <v>4180</v>
      </c>
      <c r="AI472" s="79">
        <v>68</v>
      </c>
      <c r="AJ472" s="79">
        <v>1</v>
      </c>
      <c r="AK472" s="79">
        <v>3</v>
      </c>
      <c r="AL472" s="79">
        <v>0</v>
      </c>
      <c r="AM472" s="79" t="s">
        <v>2092</v>
      </c>
      <c r="AN472" s="114" t="str">
        <f>HYPERLINK("https://www.youtube.com/watch?v=aIAsSmb9ksY")</f>
        <v>https://www.youtube.com/watch?v=aIAsSmb9ksY</v>
      </c>
      <c r="AO472" s="78" t="str">
        <f>REPLACE(INDEX(GroupVertices[Group],MATCH(Vertices[[#This Row],[Vertex]],GroupVertices[Vertex],0)),1,1,"")</f>
        <v>OVE STORIES &amp; FAIRY TALES</v>
      </c>
      <c r="AP472" s="2"/>
      <c r="AQ472" s="3"/>
      <c r="AR472" s="3"/>
      <c r="AS472" s="3"/>
      <c r="AT472" s="3"/>
    </row>
    <row r="473" spans="1:46" ht="15">
      <c r="A473" s="64" t="s">
        <v>2339</v>
      </c>
      <c r="B473" s="65"/>
      <c r="C473" s="65"/>
      <c r="D473" s="66">
        <v>150</v>
      </c>
      <c r="E473" s="102">
        <v>97.85714285714286</v>
      </c>
      <c r="F473" s="98" t="str">
        <f>HYPERLINK("https://i.ytimg.com/vi/52aTAJ4LqWk/default.jpg")</f>
        <v>https://i.ytimg.com/vi/52aTAJ4LqWk/default.jpg</v>
      </c>
      <c r="G473" s="100"/>
      <c r="H473" s="69" t="s">
        <v>2816</v>
      </c>
      <c r="I473" s="70"/>
      <c r="J473" s="104" t="s">
        <v>159</v>
      </c>
      <c r="K473" s="69" t="s">
        <v>2816</v>
      </c>
      <c r="L473" s="105">
        <v>1</v>
      </c>
      <c r="M473" s="74">
        <v>4679.6318359375</v>
      </c>
      <c r="N473" s="74">
        <v>1200.2652587890625</v>
      </c>
      <c r="O473" s="75"/>
      <c r="P473" s="76"/>
      <c r="Q473" s="76"/>
      <c r="R473" s="106"/>
      <c r="S473" s="48">
        <v>1</v>
      </c>
      <c r="T473" s="48">
        <v>0</v>
      </c>
      <c r="U473" s="49">
        <v>0</v>
      </c>
      <c r="V473" s="49">
        <v>0.152055</v>
      </c>
      <c r="W473" s="107"/>
      <c r="X473" s="50"/>
      <c r="Y473" s="50"/>
      <c r="Z473" s="49">
        <v>0</v>
      </c>
      <c r="AA473" s="71">
        <v>473</v>
      </c>
      <c r="AB473" s="71"/>
      <c r="AC473" s="72"/>
      <c r="AD473" s="79" t="s">
        <v>2816</v>
      </c>
      <c r="AE473" s="79"/>
      <c r="AF473" s="79"/>
      <c r="AG473" s="79" t="s">
        <v>3822</v>
      </c>
      <c r="AH473" s="79" t="s">
        <v>4181</v>
      </c>
      <c r="AI473" s="79">
        <v>235</v>
      </c>
      <c r="AJ473" s="79">
        <v>1</v>
      </c>
      <c r="AK473" s="79">
        <v>10</v>
      </c>
      <c r="AL473" s="79">
        <v>0</v>
      </c>
      <c r="AM473" s="79" t="s">
        <v>2092</v>
      </c>
      <c r="AN473" s="114" t="str">
        <f>HYPERLINK("https://www.youtube.com/watch?v=52aTAJ4LqWk")</f>
        <v>https://www.youtube.com/watch?v=52aTAJ4LqWk</v>
      </c>
      <c r="AO473" s="78" t="str">
        <f>REPLACE(INDEX(GroupVertices[Group],MATCH(Vertices[[#This Row],[Vertex]],GroupVertices[Vertex],0)),1,1,"")</f>
        <v>eGrapplez</v>
      </c>
      <c r="AP473" s="2"/>
      <c r="AQ473" s="3"/>
      <c r="AR473" s="3"/>
      <c r="AS473" s="3"/>
      <c r="AT473" s="3"/>
    </row>
    <row r="474" spans="1:46" ht="15">
      <c r="A474" s="64" t="s">
        <v>2340</v>
      </c>
      <c r="B474" s="65"/>
      <c r="C474" s="65"/>
      <c r="D474" s="66">
        <v>150</v>
      </c>
      <c r="E474" s="102">
        <v>97.85714285714286</v>
      </c>
      <c r="F474" s="98" t="str">
        <f>HYPERLINK("https://i.ytimg.com/vi/y8iRwEvNnWs/default.jpg")</f>
        <v>https://i.ytimg.com/vi/y8iRwEvNnWs/default.jpg</v>
      </c>
      <c r="G474" s="100"/>
      <c r="H474" s="69" t="s">
        <v>2817</v>
      </c>
      <c r="I474" s="70"/>
      <c r="J474" s="104" t="s">
        <v>159</v>
      </c>
      <c r="K474" s="69" t="s">
        <v>2817</v>
      </c>
      <c r="L474" s="105">
        <v>1</v>
      </c>
      <c r="M474" s="74">
        <v>4631.3974609375</v>
      </c>
      <c r="N474" s="74">
        <v>957.1845703125</v>
      </c>
      <c r="O474" s="75"/>
      <c r="P474" s="76"/>
      <c r="Q474" s="76"/>
      <c r="R474" s="106"/>
      <c r="S474" s="48">
        <v>1</v>
      </c>
      <c r="T474" s="48">
        <v>0</v>
      </c>
      <c r="U474" s="49">
        <v>0</v>
      </c>
      <c r="V474" s="49">
        <v>0.152055</v>
      </c>
      <c r="W474" s="107"/>
      <c r="X474" s="50"/>
      <c r="Y474" s="50"/>
      <c r="Z474" s="49">
        <v>0</v>
      </c>
      <c r="AA474" s="71">
        <v>474</v>
      </c>
      <c r="AB474" s="71"/>
      <c r="AC474" s="72"/>
      <c r="AD474" s="79" t="s">
        <v>2817</v>
      </c>
      <c r="AE474" s="79" t="s">
        <v>3266</v>
      </c>
      <c r="AF474" s="79" t="s">
        <v>3583</v>
      </c>
      <c r="AG474" s="79" t="s">
        <v>3823</v>
      </c>
      <c r="AH474" s="79" t="s">
        <v>4182</v>
      </c>
      <c r="AI474" s="79">
        <v>15729</v>
      </c>
      <c r="AJ474" s="79">
        <v>15</v>
      </c>
      <c r="AK474" s="79">
        <v>216</v>
      </c>
      <c r="AL474" s="79">
        <v>0</v>
      </c>
      <c r="AM474" s="79" t="s">
        <v>2092</v>
      </c>
      <c r="AN474" s="114" t="str">
        <f>HYPERLINK("https://www.youtube.com/watch?v=y8iRwEvNnWs")</f>
        <v>https://www.youtube.com/watch?v=y8iRwEvNnWs</v>
      </c>
      <c r="AO474" s="78" t="str">
        <f>REPLACE(INDEX(GroupVertices[Group],MATCH(Vertices[[#This Row],[Vertex]],GroupVertices[Vertex],0)),1,1,"")</f>
        <v>att Southerland</v>
      </c>
      <c r="AP474" s="2"/>
      <c r="AQ474" s="3"/>
      <c r="AR474" s="3"/>
      <c r="AS474" s="3"/>
      <c r="AT474" s="3"/>
    </row>
    <row r="475" spans="1:46" ht="15">
      <c r="A475" s="64" t="s">
        <v>2341</v>
      </c>
      <c r="B475" s="65"/>
      <c r="C475" s="65"/>
      <c r="D475" s="66">
        <v>150</v>
      </c>
      <c r="E475" s="102">
        <v>97.85714285714286</v>
      </c>
      <c r="F475" s="98" t="str">
        <f>HYPERLINK("https://i.ytimg.com/vi/dywC_93PkWI/default.jpg")</f>
        <v>https://i.ytimg.com/vi/dywC_93PkWI/default.jpg</v>
      </c>
      <c r="G475" s="100"/>
      <c r="H475" s="69" t="s">
        <v>2818</v>
      </c>
      <c r="I475" s="70"/>
      <c r="J475" s="104" t="s">
        <v>159</v>
      </c>
      <c r="K475" s="69" t="s">
        <v>2818</v>
      </c>
      <c r="L475" s="105">
        <v>1</v>
      </c>
      <c r="M475" s="74">
        <v>5074.736328125</v>
      </c>
      <c r="N475" s="74">
        <v>1599.0234375</v>
      </c>
      <c r="O475" s="75"/>
      <c r="P475" s="76"/>
      <c r="Q475" s="76"/>
      <c r="R475" s="106"/>
      <c r="S475" s="48">
        <v>1</v>
      </c>
      <c r="T475" s="48">
        <v>0</v>
      </c>
      <c r="U475" s="49">
        <v>0</v>
      </c>
      <c r="V475" s="49">
        <v>0.152055</v>
      </c>
      <c r="W475" s="107"/>
      <c r="X475" s="50"/>
      <c r="Y475" s="50"/>
      <c r="Z475" s="49">
        <v>0</v>
      </c>
      <c r="AA475" s="71">
        <v>475</v>
      </c>
      <c r="AB475" s="71"/>
      <c r="AC475" s="72"/>
      <c r="AD475" s="79" t="s">
        <v>2818</v>
      </c>
      <c r="AE475" s="79" t="s">
        <v>3267</v>
      </c>
      <c r="AF475" s="79" t="s">
        <v>3584</v>
      </c>
      <c r="AG475" s="79" t="s">
        <v>3824</v>
      </c>
      <c r="AH475" s="79" t="s">
        <v>4183</v>
      </c>
      <c r="AI475" s="79">
        <v>6</v>
      </c>
      <c r="AJ475" s="79">
        <v>1</v>
      </c>
      <c r="AK475" s="79">
        <v>1</v>
      </c>
      <c r="AL475" s="79">
        <v>0</v>
      </c>
      <c r="AM475" s="79" t="s">
        <v>2092</v>
      </c>
      <c r="AN475" s="114" t="str">
        <f>HYPERLINK("https://www.youtube.com/watch?v=dywC_93PkWI")</f>
        <v>https://www.youtube.com/watch?v=dywC_93PkWI</v>
      </c>
      <c r="AO475" s="78" t="str">
        <f>REPLACE(INDEX(GroupVertices[Group],MATCH(Vertices[[#This Row],[Vertex]],GroupVertices[Vertex],0)),1,1,"")</f>
        <v>W Maids</v>
      </c>
      <c r="AP475" s="2"/>
      <c r="AQ475" s="3"/>
      <c r="AR475" s="3"/>
      <c r="AS475" s="3"/>
      <c r="AT475" s="3"/>
    </row>
    <row r="476" spans="1:46" ht="15">
      <c r="A476" s="64" t="s">
        <v>2342</v>
      </c>
      <c r="B476" s="65"/>
      <c r="C476" s="65"/>
      <c r="D476" s="66">
        <v>150</v>
      </c>
      <c r="E476" s="102">
        <v>97.85714285714286</v>
      </c>
      <c r="F476" s="98" t="str">
        <f>HYPERLINK("https://i.ytimg.com/vi/xHcxGAWz064/default.jpg")</f>
        <v>https://i.ytimg.com/vi/xHcxGAWz064/default.jpg</v>
      </c>
      <c r="G476" s="100"/>
      <c r="H476" s="69" t="s">
        <v>2819</v>
      </c>
      <c r="I476" s="70"/>
      <c r="J476" s="104" t="s">
        <v>159</v>
      </c>
      <c r="K476" s="69" t="s">
        <v>2819</v>
      </c>
      <c r="L476" s="105">
        <v>1</v>
      </c>
      <c r="M476" s="74">
        <v>5056.32373046875</v>
      </c>
      <c r="N476" s="74">
        <v>784.1488037109375</v>
      </c>
      <c r="O476" s="75"/>
      <c r="P476" s="76"/>
      <c r="Q476" s="76"/>
      <c r="R476" s="106"/>
      <c r="S476" s="48">
        <v>1</v>
      </c>
      <c r="T476" s="48">
        <v>0</v>
      </c>
      <c r="U476" s="49">
        <v>0</v>
      </c>
      <c r="V476" s="49">
        <v>0.152055</v>
      </c>
      <c r="W476" s="107"/>
      <c r="X476" s="50"/>
      <c r="Y476" s="50"/>
      <c r="Z476" s="49">
        <v>0</v>
      </c>
      <c r="AA476" s="71">
        <v>476</v>
      </c>
      <c r="AB476" s="71"/>
      <c r="AC476" s="72"/>
      <c r="AD476" s="79" t="s">
        <v>2819</v>
      </c>
      <c r="AE476" s="79" t="s">
        <v>3268</v>
      </c>
      <c r="AF476" s="79"/>
      <c r="AG476" s="79" t="s">
        <v>3825</v>
      </c>
      <c r="AH476" s="79" t="s">
        <v>4184</v>
      </c>
      <c r="AI476" s="79">
        <v>22630</v>
      </c>
      <c r="AJ476" s="79">
        <v>0</v>
      </c>
      <c r="AK476" s="79">
        <v>114</v>
      </c>
      <c r="AL476" s="79">
        <v>0</v>
      </c>
      <c r="AM476" s="79" t="s">
        <v>2092</v>
      </c>
      <c r="AN476" s="114" t="str">
        <f>HYPERLINK("https://www.youtube.com/watch?v=xHcxGAWz064")</f>
        <v>https://www.youtube.com/watch?v=xHcxGAWz064</v>
      </c>
      <c r="AO476" s="78" t="str">
        <f>REPLACE(INDEX(GroupVertices[Group],MATCH(Vertices[[#This Row],[Vertex]],GroupVertices[Vertex],0)),1,1,"")</f>
        <v>nnovative Tub Solutions</v>
      </c>
      <c r="AP476" s="2"/>
      <c r="AQ476" s="3"/>
      <c r="AR476" s="3"/>
      <c r="AS476" s="3"/>
      <c r="AT476" s="3"/>
    </row>
    <row r="477" spans="1:46" ht="15">
      <c r="A477" s="64" t="s">
        <v>2343</v>
      </c>
      <c r="B477" s="65"/>
      <c r="C477" s="65"/>
      <c r="D477" s="66">
        <v>150</v>
      </c>
      <c r="E477" s="102">
        <v>97.85714285714286</v>
      </c>
      <c r="F477" s="98" t="str">
        <f>HYPERLINK("https://i.ytimg.com/vi/SvrXEqF86-A/default.jpg")</f>
        <v>https://i.ytimg.com/vi/SvrXEqF86-A/default.jpg</v>
      </c>
      <c r="G477" s="100"/>
      <c r="H477" s="69" t="s">
        <v>2820</v>
      </c>
      <c r="I477" s="70"/>
      <c r="J477" s="104" t="s">
        <v>159</v>
      </c>
      <c r="K477" s="69" t="s">
        <v>2820</v>
      </c>
      <c r="L477" s="105">
        <v>1</v>
      </c>
      <c r="M477" s="74">
        <v>5877.84716796875</v>
      </c>
      <c r="N477" s="74">
        <v>507.531982421875</v>
      </c>
      <c r="O477" s="75"/>
      <c r="P477" s="76"/>
      <c r="Q477" s="76"/>
      <c r="R477" s="106"/>
      <c r="S477" s="48">
        <v>1</v>
      </c>
      <c r="T477" s="48">
        <v>0</v>
      </c>
      <c r="U477" s="49">
        <v>0</v>
      </c>
      <c r="V477" s="49">
        <v>0.152055</v>
      </c>
      <c r="W477" s="107"/>
      <c r="X477" s="50"/>
      <c r="Y477" s="50"/>
      <c r="Z477" s="49">
        <v>0</v>
      </c>
      <c r="AA477" s="71">
        <v>477</v>
      </c>
      <c r="AB477" s="71"/>
      <c r="AC477" s="72"/>
      <c r="AD477" s="79" t="s">
        <v>2820</v>
      </c>
      <c r="AE477" s="79" t="s">
        <v>3269</v>
      </c>
      <c r="AF477" s="79" t="s">
        <v>3585</v>
      </c>
      <c r="AG477" s="79" t="s">
        <v>1560</v>
      </c>
      <c r="AH477" s="79" t="s">
        <v>4185</v>
      </c>
      <c r="AI477" s="79">
        <v>3517</v>
      </c>
      <c r="AJ477" s="79">
        <v>10</v>
      </c>
      <c r="AK477" s="79">
        <v>89</v>
      </c>
      <c r="AL477" s="79">
        <v>0</v>
      </c>
      <c r="AM477" s="79" t="s">
        <v>2092</v>
      </c>
      <c r="AN477" s="114" t="str">
        <f>HYPERLINK("https://www.youtube.com/watch?v=SvrXEqF86-A")</f>
        <v>https://www.youtube.com/watch?v=SvrXEqF86-A</v>
      </c>
      <c r="AO477" s="78" t="str">
        <f>REPLACE(INDEX(GroupVertices[Group],MATCH(Vertices[[#This Row],[Vertex]],GroupVertices[Vertex],0)),1,1,"")</f>
        <v>owcast</v>
      </c>
      <c r="AP477" s="2"/>
      <c r="AQ477" s="3"/>
      <c r="AR477" s="3"/>
      <c r="AS477" s="3"/>
      <c r="AT477" s="3"/>
    </row>
    <row r="478" spans="1:46" ht="15">
      <c r="A478" s="64" t="s">
        <v>2344</v>
      </c>
      <c r="B478" s="65"/>
      <c r="C478" s="65"/>
      <c r="D478" s="66">
        <v>150</v>
      </c>
      <c r="E478" s="102">
        <v>97.85714285714286</v>
      </c>
      <c r="F478" s="98" t="str">
        <f>HYPERLINK("https://i.ytimg.com/vi/Ebgcj9UhnWk/default.jpg")</f>
        <v>https://i.ytimg.com/vi/Ebgcj9UhnWk/default.jpg</v>
      </c>
      <c r="G478" s="100"/>
      <c r="H478" s="69" t="s">
        <v>2821</v>
      </c>
      <c r="I478" s="70"/>
      <c r="J478" s="104" t="s">
        <v>159</v>
      </c>
      <c r="K478" s="69" t="s">
        <v>2821</v>
      </c>
      <c r="L478" s="105">
        <v>1</v>
      </c>
      <c r="M478" s="74">
        <v>6018.810546875</v>
      </c>
      <c r="N478" s="74">
        <v>1148.224853515625</v>
      </c>
      <c r="O478" s="75"/>
      <c r="P478" s="76"/>
      <c r="Q478" s="76"/>
      <c r="R478" s="106"/>
      <c r="S478" s="48">
        <v>1</v>
      </c>
      <c r="T478" s="48">
        <v>0</v>
      </c>
      <c r="U478" s="49">
        <v>0</v>
      </c>
      <c r="V478" s="49">
        <v>0.152055</v>
      </c>
      <c r="W478" s="107"/>
      <c r="X478" s="50"/>
      <c r="Y478" s="50"/>
      <c r="Z478" s="49">
        <v>0</v>
      </c>
      <c r="AA478" s="71">
        <v>478</v>
      </c>
      <c r="AB478" s="71"/>
      <c r="AC478" s="72"/>
      <c r="AD478" s="79" t="s">
        <v>2821</v>
      </c>
      <c r="AE478" s="79" t="s">
        <v>3270</v>
      </c>
      <c r="AF478" s="79" t="s">
        <v>1339</v>
      </c>
      <c r="AG478" s="79" t="s">
        <v>3826</v>
      </c>
      <c r="AH478" s="79" t="s">
        <v>4186</v>
      </c>
      <c r="AI478" s="79">
        <v>4245</v>
      </c>
      <c r="AJ478" s="79">
        <v>0</v>
      </c>
      <c r="AK478" s="79">
        <v>24</v>
      </c>
      <c r="AL478" s="79">
        <v>0</v>
      </c>
      <c r="AM478" s="79" t="s">
        <v>2092</v>
      </c>
      <c r="AN478" s="114" t="str">
        <f>HYPERLINK("https://www.youtube.com/watch?v=Ebgcj9UhnWk")</f>
        <v>https://www.youtube.com/watch?v=Ebgcj9UhnWk</v>
      </c>
      <c r="AO478" s="78" t="str">
        <f>REPLACE(INDEX(GroupVertices[Group],MATCH(Vertices[[#This Row],[Vertex]],GroupVertices[Vertex],0)),1,1,"")</f>
        <v>ise Above Personal Training</v>
      </c>
      <c r="AP478" s="2"/>
      <c r="AQ478" s="3"/>
      <c r="AR478" s="3"/>
      <c r="AS478" s="3"/>
      <c r="AT478" s="3"/>
    </row>
    <row r="479" spans="1:46" ht="15">
      <c r="A479" s="64" t="s">
        <v>2345</v>
      </c>
      <c r="B479" s="65"/>
      <c r="C479" s="65"/>
      <c r="D479" s="66">
        <v>150</v>
      </c>
      <c r="E479" s="102">
        <v>97.85714285714286</v>
      </c>
      <c r="F479" s="98" t="str">
        <f>HYPERLINK("https://i.ytimg.com/vi/Aj1ttBcPm14/default.jpg")</f>
        <v>https://i.ytimg.com/vi/Aj1ttBcPm14/default.jpg</v>
      </c>
      <c r="G479" s="100"/>
      <c r="H479" s="69" t="s">
        <v>2822</v>
      </c>
      <c r="I479" s="70"/>
      <c r="J479" s="104" t="s">
        <v>159</v>
      </c>
      <c r="K479" s="69" t="s">
        <v>2822</v>
      </c>
      <c r="L479" s="105">
        <v>1</v>
      </c>
      <c r="M479" s="74">
        <v>6089.31884765625</v>
      </c>
      <c r="N479" s="74">
        <v>277.5348815917969</v>
      </c>
      <c r="O479" s="75"/>
      <c r="P479" s="76"/>
      <c r="Q479" s="76"/>
      <c r="R479" s="106"/>
      <c r="S479" s="48">
        <v>1</v>
      </c>
      <c r="T479" s="48">
        <v>0</v>
      </c>
      <c r="U479" s="49">
        <v>0</v>
      </c>
      <c r="V479" s="49">
        <v>0.152055</v>
      </c>
      <c r="W479" s="107"/>
      <c r="X479" s="50"/>
      <c r="Y479" s="50"/>
      <c r="Z479" s="49">
        <v>0</v>
      </c>
      <c r="AA479" s="71">
        <v>479</v>
      </c>
      <c r="AB479" s="71"/>
      <c r="AC479" s="72"/>
      <c r="AD479" s="79" t="s">
        <v>2822</v>
      </c>
      <c r="AE479" s="79" t="s">
        <v>3271</v>
      </c>
      <c r="AF479" s="79" t="s">
        <v>3586</v>
      </c>
      <c r="AG479" s="79" t="s">
        <v>3827</v>
      </c>
      <c r="AH479" s="79" t="s">
        <v>4187</v>
      </c>
      <c r="AI479" s="79">
        <v>4860</v>
      </c>
      <c r="AJ479" s="79">
        <v>3</v>
      </c>
      <c r="AK479" s="79">
        <v>44</v>
      </c>
      <c r="AL479" s="79">
        <v>0</v>
      </c>
      <c r="AM479" s="79" t="s">
        <v>2092</v>
      </c>
      <c r="AN479" s="114" t="str">
        <f>HYPERLINK("https://www.youtube.com/watch?v=Aj1ttBcPm14")</f>
        <v>https://www.youtube.com/watch?v=Aj1ttBcPm14</v>
      </c>
      <c r="AO479" s="78" t="str">
        <f>REPLACE(INDEX(GroupVertices[Group],MATCH(Vertices[[#This Row],[Vertex]],GroupVertices[Vertex],0)),1,1,"")</f>
        <v>arre None Dance Company</v>
      </c>
      <c r="AP479" s="2"/>
      <c r="AQ479" s="3"/>
      <c r="AR479" s="3"/>
      <c r="AS479" s="3"/>
      <c r="AT479" s="3"/>
    </row>
    <row r="480" spans="1:46" ht="15">
      <c r="A480" s="64" t="s">
        <v>2346</v>
      </c>
      <c r="B480" s="65"/>
      <c r="C480" s="65"/>
      <c r="D480" s="66">
        <v>150</v>
      </c>
      <c r="E480" s="102">
        <v>97.85714285714286</v>
      </c>
      <c r="F480" s="98" t="str">
        <f>HYPERLINK("https://i.ytimg.com/vi/zAo8Pz-PM9o/default.jpg")</f>
        <v>https://i.ytimg.com/vi/zAo8Pz-PM9o/default.jpg</v>
      </c>
      <c r="G480" s="100"/>
      <c r="H480" s="69" t="s">
        <v>2823</v>
      </c>
      <c r="I480" s="70"/>
      <c r="J480" s="104" t="s">
        <v>159</v>
      </c>
      <c r="K480" s="69" t="s">
        <v>2823</v>
      </c>
      <c r="L480" s="105">
        <v>1</v>
      </c>
      <c r="M480" s="74">
        <v>5730.15234375</v>
      </c>
      <c r="N480" s="74">
        <v>1680.8663330078125</v>
      </c>
      <c r="O480" s="75"/>
      <c r="P480" s="76"/>
      <c r="Q480" s="76"/>
      <c r="R480" s="106"/>
      <c r="S480" s="48">
        <v>1</v>
      </c>
      <c r="T480" s="48">
        <v>0</v>
      </c>
      <c r="U480" s="49">
        <v>0</v>
      </c>
      <c r="V480" s="49">
        <v>0.152055</v>
      </c>
      <c r="W480" s="107"/>
      <c r="X480" s="50"/>
      <c r="Y480" s="50"/>
      <c r="Z480" s="49">
        <v>0</v>
      </c>
      <c r="AA480" s="71">
        <v>480</v>
      </c>
      <c r="AB480" s="71"/>
      <c r="AC480" s="72"/>
      <c r="AD480" s="79" t="s">
        <v>2823</v>
      </c>
      <c r="AE480" s="79" t="s">
        <v>3272</v>
      </c>
      <c r="AF480" s="79" t="s">
        <v>3587</v>
      </c>
      <c r="AG480" s="79" t="s">
        <v>1560</v>
      </c>
      <c r="AH480" s="79" t="s">
        <v>4188</v>
      </c>
      <c r="AI480" s="79">
        <v>6198</v>
      </c>
      <c r="AJ480" s="79">
        <v>4</v>
      </c>
      <c r="AK480" s="79">
        <v>109</v>
      </c>
      <c r="AL480" s="79">
        <v>0</v>
      </c>
      <c r="AM480" s="79" t="s">
        <v>2092</v>
      </c>
      <c r="AN480" s="114" t="str">
        <f>HYPERLINK("https://www.youtube.com/watch?v=zAo8Pz-PM9o")</f>
        <v>https://www.youtube.com/watch?v=zAo8Pz-PM9o</v>
      </c>
      <c r="AO480" s="78" t="str">
        <f>REPLACE(INDEX(GroupVertices[Group],MATCH(Vertices[[#This Row],[Vertex]],GroupVertices[Vertex],0)),1,1,"")</f>
        <v>owcast</v>
      </c>
      <c r="AP480" s="2"/>
      <c r="AQ480" s="3"/>
      <c r="AR480" s="3"/>
      <c r="AS480" s="3"/>
      <c r="AT480" s="3"/>
    </row>
    <row r="481" spans="1:46" ht="15">
      <c r="A481" s="64" t="s">
        <v>2347</v>
      </c>
      <c r="B481" s="65"/>
      <c r="C481" s="65"/>
      <c r="D481" s="66">
        <v>150</v>
      </c>
      <c r="E481" s="102">
        <v>97.85714285714286</v>
      </c>
      <c r="F481" s="98" t="str">
        <f>HYPERLINK("https://i.ytimg.com/vi/352bQTw8T0k/default.jpg")</f>
        <v>https://i.ytimg.com/vi/352bQTw8T0k/default.jpg</v>
      </c>
      <c r="G481" s="100"/>
      <c r="H481" s="69" t="s">
        <v>2824</v>
      </c>
      <c r="I481" s="70"/>
      <c r="J481" s="104" t="s">
        <v>159</v>
      </c>
      <c r="K481" s="69" t="s">
        <v>2824</v>
      </c>
      <c r="L481" s="105">
        <v>1</v>
      </c>
      <c r="M481" s="74">
        <v>6287.5888671875</v>
      </c>
      <c r="N481" s="74">
        <v>1352.3775634765625</v>
      </c>
      <c r="O481" s="75"/>
      <c r="P481" s="76"/>
      <c r="Q481" s="76"/>
      <c r="R481" s="106"/>
      <c r="S481" s="48">
        <v>1</v>
      </c>
      <c r="T481" s="48">
        <v>0</v>
      </c>
      <c r="U481" s="49">
        <v>0</v>
      </c>
      <c r="V481" s="49">
        <v>0.152055</v>
      </c>
      <c r="W481" s="107"/>
      <c r="X481" s="50"/>
      <c r="Y481" s="50"/>
      <c r="Z481" s="49">
        <v>0</v>
      </c>
      <c r="AA481" s="71">
        <v>481</v>
      </c>
      <c r="AB481" s="71"/>
      <c r="AC481" s="72"/>
      <c r="AD481" s="79" t="s">
        <v>2824</v>
      </c>
      <c r="AE481" s="79" t="s">
        <v>3273</v>
      </c>
      <c r="AF481" s="79" t="s">
        <v>3588</v>
      </c>
      <c r="AG481" s="79" t="s">
        <v>1560</v>
      </c>
      <c r="AH481" s="79" t="s">
        <v>4189</v>
      </c>
      <c r="AI481" s="79">
        <v>5899</v>
      </c>
      <c r="AJ481" s="79">
        <v>16</v>
      </c>
      <c r="AK481" s="79">
        <v>142</v>
      </c>
      <c r="AL481" s="79">
        <v>0</v>
      </c>
      <c r="AM481" s="79" t="s">
        <v>2092</v>
      </c>
      <c r="AN481" s="114" t="str">
        <f>HYPERLINK("https://www.youtube.com/watch?v=352bQTw8T0k")</f>
        <v>https://www.youtube.com/watch?v=352bQTw8T0k</v>
      </c>
      <c r="AO481" s="78" t="str">
        <f>REPLACE(INDEX(GroupVertices[Group],MATCH(Vertices[[#This Row],[Vertex]],GroupVertices[Vertex],0)),1,1,"")</f>
        <v>owcast</v>
      </c>
      <c r="AP481" s="2"/>
      <c r="AQ481" s="3"/>
      <c r="AR481" s="3"/>
      <c r="AS481" s="3"/>
      <c r="AT481" s="3"/>
    </row>
    <row r="482" spans="1:46" ht="15">
      <c r="A482" s="64" t="s">
        <v>2348</v>
      </c>
      <c r="B482" s="65"/>
      <c r="C482" s="65"/>
      <c r="D482" s="66">
        <v>150</v>
      </c>
      <c r="E482" s="102">
        <v>97.85714285714286</v>
      </c>
      <c r="F482" s="98" t="str">
        <f>HYPERLINK("https://i.ytimg.com/vi/G4pmr7pPhnI/default.jpg")</f>
        <v>https://i.ytimg.com/vi/G4pmr7pPhnI/default.jpg</v>
      </c>
      <c r="G482" s="100"/>
      <c r="H482" s="69" t="s">
        <v>2825</v>
      </c>
      <c r="I482" s="70"/>
      <c r="J482" s="104" t="s">
        <v>159</v>
      </c>
      <c r="K482" s="69" t="s">
        <v>2825</v>
      </c>
      <c r="L482" s="105">
        <v>1</v>
      </c>
      <c r="M482" s="74">
        <v>6438.44580078125</v>
      </c>
      <c r="N482" s="74">
        <v>901.8656005859375</v>
      </c>
      <c r="O482" s="75"/>
      <c r="P482" s="76"/>
      <c r="Q482" s="76"/>
      <c r="R482" s="106"/>
      <c r="S482" s="48">
        <v>1</v>
      </c>
      <c r="T482" s="48">
        <v>0</v>
      </c>
      <c r="U482" s="49">
        <v>0</v>
      </c>
      <c r="V482" s="49">
        <v>0.152055</v>
      </c>
      <c r="W482" s="107"/>
      <c r="X482" s="50"/>
      <c r="Y482" s="50"/>
      <c r="Z482" s="49">
        <v>0</v>
      </c>
      <c r="AA482" s="71">
        <v>482</v>
      </c>
      <c r="AB482" s="71"/>
      <c r="AC482" s="72"/>
      <c r="AD482" s="79" t="s">
        <v>2825</v>
      </c>
      <c r="AE482" s="79" t="s">
        <v>3274</v>
      </c>
      <c r="AF482" s="79" t="s">
        <v>3589</v>
      </c>
      <c r="AG482" s="79" t="s">
        <v>1560</v>
      </c>
      <c r="AH482" s="79" t="s">
        <v>4190</v>
      </c>
      <c r="AI482" s="79">
        <v>2839</v>
      </c>
      <c r="AJ482" s="79">
        <v>7</v>
      </c>
      <c r="AK482" s="79">
        <v>83</v>
      </c>
      <c r="AL482" s="79">
        <v>0</v>
      </c>
      <c r="AM482" s="79" t="s">
        <v>2092</v>
      </c>
      <c r="AN482" s="114" t="str">
        <f>HYPERLINK("https://www.youtube.com/watch?v=G4pmr7pPhnI")</f>
        <v>https://www.youtube.com/watch?v=G4pmr7pPhnI</v>
      </c>
      <c r="AO482" s="78" t="str">
        <f>REPLACE(INDEX(GroupVertices[Group],MATCH(Vertices[[#This Row],[Vertex]],GroupVertices[Vertex],0)),1,1,"")</f>
        <v>owcast</v>
      </c>
      <c r="AP482" s="2"/>
      <c r="AQ482" s="3"/>
      <c r="AR482" s="3"/>
      <c r="AS482" s="3"/>
      <c r="AT482" s="3"/>
    </row>
    <row r="483" spans="1:46" ht="15">
      <c r="A483" s="64" t="s">
        <v>2349</v>
      </c>
      <c r="B483" s="65"/>
      <c r="C483" s="65"/>
      <c r="D483" s="66">
        <v>150</v>
      </c>
      <c r="E483" s="102">
        <v>97.85714285714286</v>
      </c>
      <c r="F483" s="98" t="str">
        <f>HYPERLINK("https://i.ytimg.com/vi/6K3x9cI18Fk/default.jpg")</f>
        <v>https://i.ytimg.com/vi/6K3x9cI18Fk/default.jpg</v>
      </c>
      <c r="G483" s="100"/>
      <c r="H483" s="69" t="s">
        <v>2826</v>
      </c>
      <c r="I483" s="70"/>
      <c r="J483" s="104" t="s">
        <v>159</v>
      </c>
      <c r="K483" s="69" t="s">
        <v>2826</v>
      </c>
      <c r="L483" s="105">
        <v>1</v>
      </c>
      <c r="M483" s="74">
        <v>6278.8154296875</v>
      </c>
      <c r="N483" s="74">
        <v>469.9105529785156</v>
      </c>
      <c r="O483" s="75"/>
      <c r="P483" s="76"/>
      <c r="Q483" s="76"/>
      <c r="R483" s="106"/>
      <c r="S483" s="48">
        <v>1</v>
      </c>
      <c r="T483" s="48">
        <v>0</v>
      </c>
      <c r="U483" s="49">
        <v>0</v>
      </c>
      <c r="V483" s="49">
        <v>0.152055</v>
      </c>
      <c r="W483" s="107"/>
      <c r="X483" s="50"/>
      <c r="Y483" s="50"/>
      <c r="Z483" s="49">
        <v>0</v>
      </c>
      <c r="AA483" s="71">
        <v>483</v>
      </c>
      <c r="AB483" s="71"/>
      <c r="AC483" s="72"/>
      <c r="AD483" s="79" t="s">
        <v>2826</v>
      </c>
      <c r="AE483" s="79" t="s">
        <v>3275</v>
      </c>
      <c r="AF483" s="79" t="s">
        <v>3590</v>
      </c>
      <c r="AG483" s="79" t="s">
        <v>1560</v>
      </c>
      <c r="AH483" s="79" t="s">
        <v>4191</v>
      </c>
      <c r="AI483" s="79">
        <v>8265</v>
      </c>
      <c r="AJ483" s="79">
        <v>4</v>
      </c>
      <c r="AK483" s="79">
        <v>161</v>
      </c>
      <c r="AL483" s="79">
        <v>0</v>
      </c>
      <c r="AM483" s="79" t="s">
        <v>2092</v>
      </c>
      <c r="AN483" s="114" t="str">
        <f>HYPERLINK("https://www.youtube.com/watch?v=6K3x9cI18Fk")</f>
        <v>https://www.youtube.com/watch?v=6K3x9cI18Fk</v>
      </c>
      <c r="AO483" s="78" t="str">
        <f>REPLACE(INDEX(GroupVertices[Group],MATCH(Vertices[[#This Row],[Vertex]],GroupVertices[Vertex],0)),1,1,"")</f>
        <v>owcast</v>
      </c>
      <c r="AP483" s="2"/>
      <c r="AQ483" s="3"/>
      <c r="AR483" s="3"/>
      <c r="AS483" s="3"/>
      <c r="AT483" s="3"/>
    </row>
    <row r="484" spans="1:46" ht="15">
      <c r="A484" s="64" t="s">
        <v>2350</v>
      </c>
      <c r="B484" s="65"/>
      <c r="C484" s="65"/>
      <c r="D484" s="66">
        <v>150</v>
      </c>
      <c r="E484" s="102">
        <v>97.85714285714286</v>
      </c>
      <c r="F484" s="98" t="str">
        <f>HYPERLINK("https://i.ytimg.com/vi/Oa0LvpqlnEA/default.jpg")</f>
        <v>https://i.ytimg.com/vi/Oa0LvpqlnEA/default.jpg</v>
      </c>
      <c r="G484" s="100"/>
      <c r="H484" s="69" t="s">
        <v>2827</v>
      </c>
      <c r="I484" s="70"/>
      <c r="J484" s="104" t="s">
        <v>159</v>
      </c>
      <c r="K484" s="69" t="s">
        <v>2827</v>
      </c>
      <c r="L484" s="105">
        <v>1</v>
      </c>
      <c r="M484" s="74">
        <v>5507.8056640625</v>
      </c>
      <c r="N484" s="74">
        <v>503.1056213378906</v>
      </c>
      <c r="O484" s="75"/>
      <c r="P484" s="76"/>
      <c r="Q484" s="76"/>
      <c r="R484" s="106"/>
      <c r="S484" s="48">
        <v>1</v>
      </c>
      <c r="T484" s="48">
        <v>0</v>
      </c>
      <c r="U484" s="49">
        <v>0</v>
      </c>
      <c r="V484" s="49">
        <v>0.152055</v>
      </c>
      <c r="W484" s="107"/>
      <c r="X484" s="50"/>
      <c r="Y484" s="50"/>
      <c r="Z484" s="49">
        <v>0</v>
      </c>
      <c r="AA484" s="71">
        <v>484</v>
      </c>
      <c r="AB484" s="71"/>
      <c r="AC484" s="72"/>
      <c r="AD484" s="79" t="s">
        <v>2827</v>
      </c>
      <c r="AE484" s="79" t="s">
        <v>3276</v>
      </c>
      <c r="AF484" s="79" t="s">
        <v>3591</v>
      </c>
      <c r="AG484" s="79" t="s">
        <v>1560</v>
      </c>
      <c r="AH484" s="79" t="s">
        <v>4192</v>
      </c>
      <c r="AI484" s="79">
        <v>4547</v>
      </c>
      <c r="AJ484" s="79">
        <v>27</v>
      </c>
      <c r="AK484" s="79">
        <v>71</v>
      </c>
      <c r="AL484" s="79">
        <v>0</v>
      </c>
      <c r="AM484" s="79" t="s">
        <v>2092</v>
      </c>
      <c r="AN484" s="114" t="str">
        <f>HYPERLINK("https://www.youtube.com/watch?v=Oa0LvpqlnEA")</f>
        <v>https://www.youtube.com/watch?v=Oa0LvpqlnEA</v>
      </c>
      <c r="AO484" s="78" t="str">
        <f>REPLACE(INDEX(GroupVertices[Group],MATCH(Vertices[[#This Row],[Vertex]],GroupVertices[Vertex],0)),1,1,"")</f>
        <v>owcast</v>
      </c>
      <c r="AP484" s="2"/>
      <c r="AQ484" s="3"/>
      <c r="AR484" s="3"/>
      <c r="AS484" s="3"/>
      <c r="AT484" s="3"/>
    </row>
    <row r="485" spans="1:46" ht="15">
      <c r="A485" s="64" t="s">
        <v>2351</v>
      </c>
      <c r="B485" s="65"/>
      <c r="C485" s="65"/>
      <c r="D485" s="66">
        <v>150</v>
      </c>
      <c r="E485" s="102">
        <v>97.85714285714286</v>
      </c>
      <c r="F485" s="98" t="str">
        <f>HYPERLINK("https://i.ytimg.com/vi/kXgJMvrbpKM/default.jpg")</f>
        <v>https://i.ytimg.com/vi/kXgJMvrbpKM/default.jpg</v>
      </c>
      <c r="G485" s="100"/>
      <c r="H485" s="69" t="s">
        <v>2828</v>
      </c>
      <c r="I485" s="70"/>
      <c r="J485" s="104" t="s">
        <v>159</v>
      </c>
      <c r="K485" s="69" t="s">
        <v>2828</v>
      </c>
      <c r="L485" s="105">
        <v>1</v>
      </c>
      <c r="M485" s="74">
        <v>5259.79736328125</v>
      </c>
      <c r="N485" s="74">
        <v>165.15724182128906</v>
      </c>
      <c r="O485" s="75"/>
      <c r="P485" s="76"/>
      <c r="Q485" s="76"/>
      <c r="R485" s="106"/>
      <c r="S485" s="48">
        <v>1</v>
      </c>
      <c r="T485" s="48">
        <v>0</v>
      </c>
      <c r="U485" s="49">
        <v>0</v>
      </c>
      <c r="V485" s="49">
        <v>0.152055</v>
      </c>
      <c r="W485" s="107"/>
      <c r="X485" s="50"/>
      <c r="Y485" s="50"/>
      <c r="Z485" s="49">
        <v>0</v>
      </c>
      <c r="AA485" s="71">
        <v>485</v>
      </c>
      <c r="AB485" s="71"/>
      <c r="AC485" s="72"/>
      <c r="AD485" s="79" t="s">
        <v>2828</v>
      </c>
      <c r="AE485" s="79" t="s">
        <v>3277</v>
      </c>
      <c r="AF485" s="79" t="s">
        <v>3592</v>
      </c>
      <c r="AG485" s="79" t="s">
        <v>1560</v>
      </c>
      <c r="AH485" s="79" t="s">
        <v>4193</v>
      </c>
      <c r="AI485" s="79">
        <v>1956</v>
      </c>
      <c r="AJ485" s="79">
        <v>6</v>
      </c>
      <c r="AK485" s="79">
        <v>68</v>
      </c>
      <c r="AL485" s="79">
        <v>0</v>
      </c>
      <c r="AM485" s="79" t="s">
        <v>2092</v>
      </c>
      <c r="AN485" s="114" t="str">
        <f>HYPERLINK("https://www.youtube.com/watch?v=kXgJMvrbpKM")</f>
        <v>https://www.youtube.com/watch?v=kXgJMvrbpKM</v>
      </c>
      <c r="AO485" s="78" t="str">
        <f>REPLACE(INDEX(GroupVertices[Group],MATCH(Vertices[[#This Row],[Vertex]],GroupVertices[Vertex],0)),1,1,"")</f>
        <v>owcast</v>
      </c>
      <c r="AP485" s="2"/>
      <c r="AQ485" s="3"/>
      <c r="AR485" s="3"/>
      <c r="AS485" s="3"/>
      <c r="AT485" s="3"/>
    </row>
    <row r="486" spans="1:46" ht="15">
      <c r="A486" s="64" t="s">
        <v>2352</v>
      </c>
      <c r="B486" s="65"/>
      <c r="C486" s="65"/>
      <c r="D486" s="66">
        <v>150</v>
      </c>
      <c r="E486" s="102">
        <v>97.85714285714286</v>
      </c>
      <c r="F486" s="98" t="str">
        <f>HYPERLINK("https://i.ytimg.com/vi/_EiZq4CgUL8/default.jpg")</f>
        <v>https://i.ytimg.com/vi/_EiZq4CgUL8/default.jpg</v>
      </c>
      <c r="G486" s="100"/>
      <c r="H486" s="69" t="s">
        <v>2829</v>
      </c>
      <c r="I486" s="70"/>
      <c r="J486" s="104" t="s">
        <v>159</v>
      </c>
      <c r="K486" s="69" t="s">
        <v>2829</v>
      </c>
      <c r="L486" s="105">
        <v>1</v>
      </c>
      <c r="M486" s="74">
        <v>5522.1474609375</v>
      </c>
      <c r="N486" s="74">
        <v>1209.59228515625</v>
      </c>
      <c r="O486" s="75"/>
      <c r="P486" s="76"/>
      <c r="Q486" s="76"/>
      <c r="R486" s="106"/>
      <c r="S486" s="48">
        <v>1</v>
      </c>
      <c r="T486" s="48">
        <v>0</v>
      </c>
      <c r="U486" s="49">
        <v>0</v>
      </c>
      <c r="V486" s="49">
        <v>0.152055</v>
      </c>
      <c r="W486" s="107"/>
      <c r="X486" s="50"/>
      <c r="Y486" s="50"/>
      <c r="Z486" s="49">
        <v>0</v>
      </c>
      <c r="AA486" s="71">
        <v>486</v>
      </c>
      <c r="AB486" s="71"/>
      <c r="AC486" s="72"/>
      <c r="AD486" s="79" t="s">
        <v>2829</v>
      </c>
      <c r="AE486" s="79" t="s">
        <v>3278</v>
      </c>
      <c r="AF486" s="79" t="s">
        <v>3593</v>
      </c>
      <c r="AG486" s="79" t="s">
        <v>1560</v>
      </c>
      <c r="AH486" s="79" t="s">
        <v>4194</v>
      </c>
      <c r="AI486" s="79">
        <v>7655</v>
      </c>
      <c r="AJ486" s="79">
        <v>7</v>
      </c>
      <c r="AK486" s="79">
        <v>109</v>
      </c>
      <c r="AL486" s="79">
        <v>0</v>
      </c>
      <c r="AM486" s="79" t="s">
        <v>2092</v>
      </c>
      <c r="AN486" s="114" t="str">
        <f>HYPERLINK("https://www.youtube.com/watch?v=_EiZq4CgUL8")</f>
        <v>https://www.youtube.com/watch?v=_EiZq4CgUL8</v>
      </c>
      <c r="AO486" s="78" t="str">
        <f>REPLACE(INDEX(GroupVertices[Group],MATCH(Vertices[[#This Row],[Vertex]],GroupVertices[Vertex],0)),1,1,"")</f>
        <v>owcast</v>
      </c>
      <c r="AP486" s="2"/>
      <c r="AQ486" s="3"/>
      <c r="AR486" s="3"/>
      <c r="AS486" s="3"/>
      <c r="AT486" s="3"/>
    </row>
    <row r="487" spans="1:46" ht="15">
      <c r="A487" s="64" t="s">
        <v>2353</v>
      </c>
      <c r="B487" s="65"/>
      <c r="C487" s="65"/>
      <c r="D487" s="66">
        <v>150</v>
      </c>
      <c r="E487" s="102">
        <v>97.85714285714286</v>
      </c>
      <c r="F487" s="98" t="str">
        <f>HYPERLINK("https://i.ytimg.com/vi/3jhUMHMt3IA/default.jpg")</f>
        <v>https://i.ytimg.com/vi/3jhUMHMt3IA/default.jpg</v>
      </c>
      <c r="G487" s="100"/>
      <c r="H487" s="69" t="s">
        <v>2830</v>
      </c>
      <c r="I487" s="70"/>
      <c r="J487" s="104" t="s">
        <v>159</v>
      </c>
      <c r="K487" s="69" t="s">
        <v>2830</v>
      </c>
      <c r="L487" s="105">
        <v>1</v>
      </c>
      <c r="M487" s="74">
        <v>6031.1455078125</v>
      </c>
      <c r="N487" s="74">
        <v>814.4046630859375</v>
      </c>
      <c r="O487" s="75"/>
      <c r="P487" s="76"/>
      <c r="Q487" s="76"/>
      <c r="R487" s="106"/>
      <c r="S487" s="48">
        <v>1</v>
      </c>
      <c r="T487" s="48">
        <v>0</v>
      </c>
      <c r="U487" s="49">
        <v>0</v>
      </c>
      <c r="V487" s="49">
        <v>0.152055</v>
      </c>
      <c r="W487" s="107"/>
      <c r="X487" s="50"/>
      <c r="Y487" s="50"/>
      <c r="Z487" s="49">
        <v>0</v>
      </c>
      <c r="AA487" s="71">
        <v>487</v>
      </c>
      <c r="AB487" s="71"/>
      <c r="AC487" s="72"/>
      <c r="AD487" s="79" t="s">
        <v>2830</v>
      </c>
      <c r="AE487" s="79" t="s">
        <v>3279</v>
      </c>
      <c r="AF487" s="79" t="s">
        <v>3594</v>
      </c>
      <c r="AG487" s="79" t="s">
        <v>1560</v>
      </c>
      <c r="AH487" s="79" t="s">
        <v>4195</v>
      </c>
      <c r="AI487" s="79">
        <v>4229</v>
      </c>
      <c r="AJ487" s="79">
        <v>25</v>
      </c>
      <c r="AK487" s="79">
        <v>83</v>
      </c>
      <c r="AL487" s="79">
        <v>0</v>
      </c>
      <c r="AM487" s="79" t="s">
        <v>2092</v>
      </c>
      <c r="AN487" s="114" t="str">
        <f>HYPERLINK("https://www.youtube.com/watch?v=3jhUMHMt3IA")</f>
        <v>https://www.youtube.com/watch?v=3jhUMHMt3IA</v>
      </c>
      <c r="AO487" s="78" t="str">
        <f>REPLACE(INDEX(GroupVertices[Group],MATCH(Vertices[[#This Row],[Vertex]],GroupVertices[Vertex],0)),1,1,"")</f>
        <v>owcast</v>
      </c>
      <c r="AP487" s="2"/>
      <c r="AQ487" s="3"/>
      <c r="AR487" s="3"/>
      <c r="AS487" s="3"/>
      <c r="AT487" s="3"/>
    </row>
    <row r="488" spans="1:46" ht="15">
      <c r="A488" s="64" t="s">
        <v>2354</v>
      </c>
      <c r="B488" s="65"/>
      <c r="C488" s="65"/>
      <c r="D488" s="66">
        <v>150</v>
      </c>
      <c r="E488" s="102">
        <v>97.85714285714286</v>
      </c>
      <c r="F488" s="98" t="str">
        <f>HYPERLINK("https://i.ytimg.com/vi/6yv_YDgaax4/default.jpg")</f>
        <v>https://i.ytimg.com/vi/6yv_YDgaax4/default.jpg</v>
      </c>
      <c r="G488" s="100"/>
      <c r="H488" s="69" t="s">
        <v>2831</v>
      </c>
      <c r="I488" s="70"/>
      <c r="J488" s="104" t="s">
        <v>159</v>
      </c>
      <c r="K488" s="69" t="s">
        <v>2831</v>
      </c>
      <c r="L488" s="105">
        <v>1</v>
      </c>
      <c r="M488" s="74">
        <v>5145.9111328125</v>
      </c>
      <c r="N488" s="74">
        <v>458.10986328125</v>
      </c>
      <c r="O488" s="75"/>
      <c r="P488" s="76"/>
      <c r="Q488" s="76"/>
      <c r="R488" s="106"/>
      <c r="S488" s="48">
        <v>1</v>
      </c>
      <c r="T488" s="48">
        <v>0</v>
      </c>
      <c r="U488" s="49">
        <v>0</v>
      </c>
      <c r="V488" s="49">
        <v>0.152055</v>
      </c>
      <c r="W488" s="107"/>
      <c r="X488" s="50"/>
      <c r="Y488" s="50"/>
      <c r="Z488" s="49">
        <v>0</v>
      </c>
      <c r="AA488" s="71">
        <v>488</v>
      </c>
      <c r="AB488" s="71"/>
      <c r="AC488" s="72"/>
      <c r="AD488" s="79" t="s">
        <v>2831</v>
      </c>
      <c r="AE488" s="79" t="s">
        <v>3280</v>
      </c>
      <c r="AF488" s="79" t="s">
        <v>3595</v>
      </c>
      <c r="AG488" s="79" t="s">
        <v>1560</v>
      </c>
      <c r="AH488" s="79" t="s">
        <v>4196</v>
      </c>
      <c r="AI488" s="79">
        <v>10756</v>
      </c>
      <c r="AJ488" s="79">
        <v>7</v>
      </c>
      <c r="AK488" s="79">
        <v>193</v>
      </c>
      <c r="AL488" s="79">
        <v>0</v>
      </c>
      <c r="AM488" s="79" t="s">
        <v>2092</v>
      </c>
      <c r="AN488" s="114" t="str">
        <f>HYPERLINK("https://www.youtube.com/watch?v=6yv_YDgaax4")</f>
        <v>https://www.youtube.com/watch?v=6yv_YDgaax4</v>
      </c>
      <c r="AO488" s="78" t="str">
        <f>REPLACE(INDEX(GroupVertices[Group],MATCH(Vertices[[#This Row],[Vertex]],GroupVertices[Vertex],0)),1,1,"")</f>
        <v>owcast</v>
      </c>
      <c r="AP488" s="2"/>
      <c r="AQ488" s="3"/>
      <c r="AR488" s="3"/>
      <c r="AS488" s="3"/>
      <c r="AT488" s="3"/>
    </row>
    <row r="489" spans="1:46" ht="15">
      <c r="A489" s="64" t="s">
        <v>2355</v>
      </c>
      <c r="B489" s="65"/>
      <c r="C489" s="65"/>
      <c r="D489" s="66">
        <v>150</v>
      </c>
      <c r="E489" s="102">
        <v>97.85714285714286</v>
      </c>
      <c r="F489" s="98" t="str">
        <f>HYPERLINK("https://i.ytimg.com/vi/rB00RY-hByM/default.jpg")</f>
        <v>https://i.ytimg.com/vi/rB00RY-hByM/default.jpg</v>
      </c>
      <c r="G489" s="100"/>
      <c r="H489" s="69" t="s">
        <v>2832</v>
      </c>
      <c r="I489" s="70"/>
      <c r="J489" s="104" t="s">
        <v>159</v>
      </c>
      <c r="K489" s="69" t="s">
        <v>2832</v>
      </c>
      <c r="L489" s="105">
        <v>1</v>
      </c>
      <c r="M489" s="74">
        <v>5258.40478515625</v>
      </c>
      <c r="N489" s="74">
        <v>1423.95166015625</v>
      </c>
      <c r="O489" s="75"/>
      <c r="P489" s="76"/>
      <c r="Q489" s="76"/>
      <c r="R489" s="106"/>
      <c r="S489" s="48">
        <v>1</v>
      </c>
      <c r="T489" s="48">
        <v>0</v>
      </c>
      <c r="U489" s="49">
        <v>0</v>
      </c>
      <c r="V489" s="49">
        <v>0.152055</v>
      </c>
      <c r="W489" s="107"/>
      <c r="X489" s="50"/>
      <c r="Y489" s="50"/>
      <c r="Z489" s="49">
        <v>0</v>
      </c>
      <c r="AA489" s="71">
        <v>489</v>
      </c>
      <c r="AB489" s="71"/>
      <c r="AC489" s="72"/>
      <c r="AD489" s="79" t="s">
        <v>2832</v>
      </c>
      <c r="AE489" s="79" t="s">
        <v>3281</v>
      </c>
      <c r="AF489" s="79" t="s">
        <v>3596</v>
      </c>
      <c r="AG489" s="79" t="s">
        <v>1560</v>
      </c>
      <c r="AH489" s="79" t="s">
        <v>4197</v>
      </c>
      <c r="AI489" s="79">
        <v>11981</v>
      </c>
      <c r="AJ489" s="79">
        <v>9</v>
      </c>
      <c r="AK489" s="79">
        <v>129</v>
      </c>
      <c r="AL489" s="79">
        <v>0</v>
      </c>
      <c r="AM489" s="79" t="s">
        <v>2092</v>
      </c>
      <c r="AN489" s="114" t="str">
        <f>HYPERLINK("https://www.youtube.com/watch?v=rB00RY-hByM")</f>
        <v>https://www.youtube.com/watch?v=rB00RY-hByM</v>
      </c>
      <c r="AO489" s="78" t="str">
        <f>REPLACE(INDEX(GroupVertices[Group],MATCH(Vertices[[#This Row],[Vertex]],GroupVertices[Vertex],0)),1,1,"")</f>
        <v>owcast</v>
      </c>
      <c r="AP489" s="2"/>
      <c r="AQ489" s="3"/>
      <c r="AR489" s="3"/>
      <c r="AS489" s="3"/>
      <c r="AT489" s="3"/>
    </row>
    <row r="490" spans="1:46" ht="15">
      <c r="A490" s="64" t="s">
        <v>2356</v>
      </c>
      <c r="B490" s="65"/>
      <c r="C490" s="65"/>
      <c r="D490" s="66">
        <v>150</v>
      </c>
      <c r="E490" s="102">
        <v>97.85714285714286</v>
      </c>
      <c r="F490" s="98" t="str">
        <f>HYPERLINK("https://i.ytimg.com/vi/YAT6SWSDgJQ/default.jpg")</f>
        <v>https://i.ytimg.com/vi/YAT6SWSDgJQ/default.jpg</v>
      </c>
      <c r="G490" s="100"/>
      <c r="H490" s="69" t="s">
        <v>2833</v>
      </c>
      <c r="I490" s="70"/>
      <c r="J490" s="104" t="s">
        <v>159</v>
      </c>
      <c r="K490" s="69" t="s">
        <v>2833</v>
      </c>
      <c r="L490" s="105">
        <v>1</v>
      </c>
      <c r="M490" s="74">
        <v>5814.6396484375</v>
      </c>
      <c r="N490" s="74">
        <v>171.83535766601562</v>
      </c>
      <c r="O490" s="75"/>
      <c r="P490" s="76"/>
      <c r="Q490" s="76"/>
      <c r="R490" s="106"/>
      <c r="S490" s="48">
        <v>1</v>
      </c>
      <c r="T490" s="48">
        <v>0</v>
      </c>
      <c r="U490" s="49">
        <v>0</v>
      </c>
      <c r="V490" s="49">
        <v>0.152055</v>
      </c>
      <c r="W490" s="107"/>
      <c r="X490" s="50"/>
      <c r="Y490" s="50"/>
      <c r="Z490" s="49">
        <v>0</v>
      </c>
      <c r="AA490" s="71">
        <v>490</v>
      </c>
      <c r="AB490" s="71"/>
      <c r="AC490" s="72"/>
      <c r="AD490" s="79" t="s">
        <v>2833</v>
      </c>
      <c r="AE490" s="79" t="s">
        <v>3282</v>
      </c>
      <c r="AF490" s="79" t="s">
        <v>3597</v>
      </c>
      <c r="AG490" s="79" t="s">
        <v>1560</v>
      </c>
      <c r="AH490" s="79" t="s">
        <v>4198</v>
      </c>
      <c r="AI490" s="79">
        <v>8288</v>
      </c>
      <c r="AJ490" s="79">
        <v>24</v>
      </c>
      <c r="AK490" s="79">
        <v>282</v>
      </c>
      <c r="AL490" s="79">
        <v>0</v>
      </c>
      <c r="AM490" s="79" t="s">
        <v>2092</v>
      </c>
      <c r="AN490" s="114" t="str">
        <f>HYPERLINK("https://www.youtube.com/watch?v=YAT6SWSDgJQ")</f>
        <v>https://www.youtube.com/watch?v=YAT6SWSDgJQ</v>
      </c>
      <c r="AO490" s="78" t="str">
        <f>REPLACE(INDEX(GroupVertices[Group],MATCH(Vertices[[#This Row],[Vertex]],GroupVertices[Vertex],0)),1,1,"")</f>
        <v>owcast</v>
      </c>
      <c r="AP490" s="2"/>
      <c r="AQ490" s="3"/>
      <c r="AR490" s="3"/>
      <c r="AS490" s="3"/>
      <c r="AT490" s="3"/>
    </row>
    <row r="491" spans="1:46" ht="15">
      <c r="A491" s="64" t="s">
        <v>2357</v>
      </c>
      <c r="B491" s="65"/>
      <c r="C491" s="65"/>
      <c r="D491" s="66">
        <v>150</v>
      </c>
      <c r="E491" s="102">
        <v>97.85714285714286</v>
      </c>
      <c r="F491" s="98" t="str">
        <f>HYPERLINK("https://i.ytimg.com/vi/hk0moXO7W74/default.jpg")</f>
        <v>https://i.ytimg.com/vi/hk0moXO7W74/default.jpg</v>
      </c>
      <c r="G491" s="100"/>
      <c r="H491" s="69" t="s">
        <v>2834</v>
      </c>
      <c r="I491" s="70"/>
      <c r="J491" s="104" t="s">
        <v>159</v>
      </c>
      <c r="K491" s="69" t="s">
        <v>2834</v>
      </c>
      <c r="L491" s="105">
        <v>1</v>
      </c>
      <c r="M491" s="74">
        <v>6414.67626953125</v>
      </c>
      <c r="N491" s="74">
        <v>1128.317626953125</v>
      </c>
      <c r="O491" s="75"/>
      <c r="P491" s="76"/>
      <c r="Q491" s="76"/>
      <c r="R491" s="106"/>
      <c r="S491" s="48">
        <v>1</v>
      </c>
      <c r="T491" s="48">
        <v>0</v>
      </c>
      <c r="U491" s="49">
        <v>0</v>
      </c>
      <c r="V491" s="49">
        <v>0.152055</v>
      </c>
      <c r="W491" s="107"/>
      <c r="X491" s="50"/>
      <c r="Y491" s="50"/>
      <c r="Z491" s="49">
        <v>0</v>
      </c>
      <c r="AA491" s="71">
        <v>491</v>
      </c>
      <c r="AB491" s="71"/>
      <c r="AC491" s="72"/>
      <c r="AD491" s="79" t="s">
        <v>2834</v>
      </c>
      <c r="AE491" s="79" t="s">
        <v>3283</v>
      </c>
      <c r="AF491" s="79" t="s">
        <v>3598</v>
      </c>
      <c r="AG491" s="79" t="s">
        <v>1527</v>
      </c>
      <c r="AH491" s="79" t="s">
        <v>4199</v>
      </c>
      <c r="AI491" s="79">
        <v>559820</v>
      </c>
      <c r="AJ491" s="79">
        <v>862</v>
      </c>
      <c r="AK491" s="79">
        <v>7696</v>
      </c>
      <c r="AL491" s="79">
        <v>0</v>
      </c>
      <c r="AM491" s="79" t="s">
        <v>2092</v>
      </c>
      <c r="AN491" s="114" t="str">
        <f>HYPERLINK("https://www.youtube.com/watch?v=hk0moXO7W74")</f>
        <v>https://www.youtube.com/watch?v=hk0moXO7W74</v>
      </c>
      <c r="AO491" s="78" t="str">
        <f>REPLACE(INDEX(GroupVertices[Group],MATCH(Vertices[[#This Row],[Vertex]],GroupVertices[Vertex],0)),1,1,"")</f>
        <v>smosis from Elsevier</v>
      </c>
      <c r="AP491" s="2"/>
      <c r="AQ491" s="3"/>
      <c r="AR491" s="3"/>
      <c r="AS491" s="3"/>
      <c r="AT491" s="3"/>
    </row>
    <row r="492" spans="1:46" ht="15">
      <c r="A492" s="64" t="s">
        <v>373</v>
      </c>
      <c r="B492" s="65"/>
      <c r="C492" s="65"/>
      <c r="D492" s="66">
        <v>150</v>
      </c>
      <c r="E492" s="102">
        <v>97.85714285714286</v>
      </c>
      <c r="F492" s="98" t="str">
        <f>HYPERLINK("https://i.ytimg.com/vi/R3RQIn_smFY/default.jpg")</f>
        <v>https://i.ytimg.com/vi/R3RQIn_smFY/default.jpg</v>
      </c>
      <c r="G492" s="100"/>
      <c r="H492" s="69" t="s">
        <v>779</v>
      </c>
      <c r="I492" s="70"/>
      <c r="J492" s="104" t="s">
        <v>159</v>
      </c>
      <c r="K492" s="69" t="s">
        <v>779</v>
      </c>
      <c r="L492" s="105">
        <v>1</v>
      </c>
      <c r="M492" s="74">
        <v>4758.58642578125</v>
      </c>
      <c r="N492" s="74">
        <v>510.7518005371094</v>
      </c>
      <c r="O492" s="75"/>
      <c r="P492" s="76"/>
      <c r="Q492" s="76"/>
      <c r="R492" s="106"/>
      <c r="S492" s="48">
        <v>1</v>
      </c>
      <c r="T492" s="48">
        <v>0</v>
      </c>
      <c r="U492" s="49">
        <v>0</v>
      </c>
      <c r="V492" s="49">
        <v>0.152055</v>
      </c>
      <c r="W492" s="107"/>
      <c r="X492" s="50"/>
      <c r="Y492" s="50"/>
      <c r="Z492" s="49">
        <v>0</v>
      </c>
      <c r="AA492" s="71">
        <v>492</v>
      </c>
      <c r="AB492" s="71"/>
      <c r="AC492" s="72"/>
      <c r="AD492" s="79" t="s">
        <v>779</v>
      </c>
      <c r="AE492" s="79" t="s">
        <v>1120</v>
      </c>
      <c r="AF492" s="79" t="s">
        <v>1373</v>
      </c>
      <c r="AG492" s="79" t="s">
        <v>1560</v>
      </c>
      <c r="AH492" s="79" t="s">
        <v>1835</v>
      </c>
      <c r="AI492" s="79">
        <v>13398</v>
      </c>
      <c r="AJ492" s="79">
        <v>6</v>
      </c>
      <c r="AK492" s="79">
        <v>58</v>
      </c>
      <c r="AL492" s="79">
        <v>0</v>
      </c>
      <c r="AM492" s="79" t="s">
        <v>2092</v>
      </c>
      <c r="AN492" s="114" t="str">
        <f>HYPERLINK("https://www.youtube.com/watch?v=R3RQIn_smFY")</f>
        <v>https://www.youtube.com/watch?v=R3RQIn_smFY</v>
      </c>
      <c r="AO492" s="78" t="str">
        <f>REPLACE(INDEX(GroupVertices[Group],MATCH(Vertices[[#This Row],[Vertex]],GroupVertices[Vertex],0)),1,1,"")</f>
        <v>owcast</v>
      </c>
      <c r="AP492" s="2"/>
      <c r="AQ492" s="3"/>
      <c r="AR492" s="3"/>
      <c r="AS492" s="3"/>
      <c r="AT492" s="3"/>
    </row>
    <row r="493" spans="1:46" ht="15">
      <c r="A493" s="64" t="s">
        <v>374</v>
      </c>
      <c r="B493" s="65"/>
      <c r="C493" s="65"/>
      <c r="D493" s="66">
        <v>150</v>
      </c>
      <c r="E493" s="102">
        <v>97.85714285714286</v>
      </c>
      <c r="F493" s="98" t="str">
        <f>HYPERLINK("https://i.ytimg.com/vi/LUt42r5-5AE/default.jpg")</f>
        <v>https://i.ytimg.com/vi/LUt42r5-5AE/default.jpg</v>
      </c>
      <c r="G493" s="100"/>
      <c r="H493" s="69" t="s">
        <v>780</v>
      </c>
      <c r="I493" s="70"/>
      <c r="J493" s="104" t="s">
        <v>159</v>
      </c>
      <c r="K493" s="69" t="s">
        <v>780</v>
      </c>
      <c r="L493" s="105">
        <v>1</v>
      </c>
      <c r="M493" s="74">
        <v>4848.75048828125</v>
      </c>
      <c r="N493" s="74">
        <v>1409.9920654296875</v>
      </c>
      <c r="O493" s="75"/>
      <c r="P493" s="76"/>
      <c r="Q493" s="76"/>
      <c r="R493" s="106"/>
      <c r="S493" s="48">
        <v>1</v>
      </c>
      <c r="T493" s="48">
        <v>0</v>
      </c>
      <c r="U493" s="49">
        <v>0</v>
      </c>
      <c r="V493" s="49">
        <v>0.152055</v>
      </c>
      <c r="W493" s="107"/>
      <c r="X493" s="50"/>
      <c r="Y493" s="50"/>
      <c r="Z493" s="49">
        <v>0</v>
      </c>
      <c r="AA493" s="71">
        <v>493</v>
      </c>
      <c r="AB493" s="71"/>
      <c r="AC493" s="72"/>
      <c r="AD493" s="79" t="s">
        <v>780</v>
      </c>
      <c r="AE493" s="79" t="s">
        <v>1121</v>
      </c>
      <c r="AF493" s="79" t="s">
        <v>1374</v>
      </c>
      <c r="AG493" s="79" t="s">
        <v>1527</v>
      </c>
      <c r="AH493" s="79" t="s">
        <v>1836</v>
      </c>
      <c r="AI493" s="79">
        <v>544174</v>
      </c>
      <c r="AJ493" s="79">
        <v>1545</v>
      </c>
      <c r="AK493" s="79">
        <v>7619</v>
      </c>
      <c r="AL493" s="79">
        <v>0</v>
      </c>
      <c r="AM493" s="79" t="s">
        <v>2092</v>
      </c>
      <c r="AN493" s="114" t="str">
        <f>HYPERLINK("https://www.youtube.com/watch?v=LUt42r5-5AE")</f>
        <v>https://www.youtube.com/watch?v=LUt42r5-5AE</v>
      </c>
      <c r="AO493" s="78" t="str">
        <f>REPLACE(INDEX(GroupVertices[Group],MATCH(Vertices[[#This Row],[Vertex]],GroupVertices[Vertex],0)),1,1,"")</f>
        <v>smosis from Elsevier</v>
      </c>
      <c r="AP493" s="2"/>
      <c r="AQ493" s="3"/>
      <c r="AR493" s="3"/>
      <c r="AS493" s="3"/>
      <c r="AT493" s="3"/>
    </row>
    <row r="494" spans="1:46" ht="15">
      <c r="A494" s="64" t="s">
        <v>375</v>
      </c>
      <c r="B494" s="65"/>
      <c r="C494" s="65"/>
      <c r="D494" s="66">
        <v>150</v>
      </c>
      <c r="E494" s="102">
        <v>97.85714285714286</v>
      </c>
      <c r="F494" s="98" t="str">
        <f>HYPERLINK("https://i.ytimg.com/vi/WcE8CmaYTHY/default.jpg")</f>
        <v>https://i.ytimg.com/vi/WcE8CmaYTHY/default.jpg</v>
      </c>
      <c r="G494" s="100"/>
      <c r="H494" s="69" t="s">
        <v>781</v>
      </c>
      <c r="I494" s="70"/>
      <c r="J494" s="104" t="s">
        <v>159</v>
      </c>
      <c r="K494" s="69" t="s">
        <v>781</v>
      </c>
      <c r="L494" s="105">
        <v>1</v>
      </c>
      <c r="M494" s="74">
        <v>5420.2236328125</v>
      </c>
      <c r="N494" s="74">
        <v>1678.240234375</v>
      </c>
      <c r="O494" s="75"/>
      <c r="P494" s="76"/>
      <c r="Q494" s="76"/>
      <c r="R494" s="106"/>
      <c r="S494" s="48">
        <v>1</v>
      </c>
      <c r="T494" s="48">
        <v>0</v>
      </c>
      <c r="U494" s="49">
        <v>0</v>
      </c>
      <c r="V494" s="49">
        <v>0.152055</v>
      </c>
      <c r="W494" s="107"/>
      <c r="X494" s="50"/>
      <c r="Y494" s="50"/>
      <c r="Z494" s="49">
        <v>0</v>
      </c>
      <c r="AA494" s="71">
        <v>494</v>
      </c>
      <c r="AB494" s="71"/>
      <c r="AC494" s="72"/>
      <c r="AD494" s="79" t="s">
        <v>781</v>
      </c>
      <c r="AE494" s="79" t="s">
        <v>1122</v>
      </c>
      <c r="AF494" s="79" t="s">
        <v>1375</v>
      </c>
      <c r="AG494" s="79" t="s">
        <v>1560</v>
      </c>
      <c r="AH494" s="79" t="s">
        <v>1837</v>
      </c>
      <c r="AI494" s="79">
        <v>195115</v>
      </c>
      <c r="AJ494" s="79">
        <v>583</v>
      </c>
      <c r="AK494" s="79">
        <v>1177</v>
      </c>
      <c r="AL494" s="79">
        <v>0</v>
      </c>
      <c r="AM494" s="79" t="s">
        <v>2092</v>
      </c>
      <c r="AN494" s="114" t="str">
        <f>HYPERLINK("https://www.youtube.com/watch?v=WcE8CmaYTHY")</f>
        <v>https://www.youtube.com/watch?v=WcE8CmaYTHY</v>
      </c>
      <c r="AO494" s="78" t="str">
        <f>REPLACE(INDEX(GroupVertices[Group],MATCH(Vertices[[#This Row],[Vertex]],GroupVertices[Vertex],0)),1,1,"")</f>
        <v>owcast</v>
      </c>
      <c r="AP494" s="2"/>
      <c r="AQ494" s="3"/>
      <c r="AR494" s="3"/>
      <c r="AS494" s="3"/>
      <c r="AT494" s="3"/>
    </row>
    <row r="495" spans="1:46" ht="15">
      <c r="A495" s="64" t="s">
        <v>377</v>
      </c>
      <c r="B495" s="65"/>
      <c r="C495" s="65"/>
      <c r="D495" s="66">
        <v>150</v>
      </c>
      <c r="E495" s="102">
        <v>97.85714285714286</v>
      </c>
      <c r="F495" s="98" t="str">
        <f>HYPERLINK("https://i.ytimg.com/vi/Sa8zUrMRDzU/default.jpg")</f>
        <v>https://i.ytimg.com/vi/Sa8zUrMRDzU/default.jpg</v>
      </c>
      <c r="G495" s="100"/>
      <c r="H495" s="69" t="s">
        <v>783</v>
      </c>
      <c r="I495" s="70"/>
      <c r="J495" s="104" t="s">
        <v>159</v>
      </c>
      <c r="K495" s="69" t="s">
        <v>783</v>
      </c>
      <c r="L495" s="105">
        <v>1</v>
      </c>
      <c r="M495" s="74">
        <v>5013.41259765625</v>
      </c>
      <c r="N495" s="74">
        <v>1107.91845703125</v>
      </c>
      <c r="O495" s="75"/>
      <c r="P495" s="76"/>
      <c r="Q495" s="76"/>
      <c r="R495" s="106"/>
      <c r="S495" s="48">
        <v>1</v>
      </c>
      <c r="T495" s="48">
        <v>0</v>
      </c>
      <c r="U495" s="49">
        <v>0</v>
      </c>
      <c r="V495" s="49">
        <v>0.152055</v>
      </c>
      <c r="W495" s="107"/>
      <c r="X495" s="50"/>
      <c r="Y495" s="50"/>
      <c r="Z495" s="49">
        <v>0</v>
      </c>
      <c r="AA495" s="71">
        <v>495</v>
      </c>
      <c r="AB495" s="71"/>
      <c r="AC495" s="72"/>
      <c r="AD495" s="79" t="s">
        <v>783</v>
      </c>
      <c r="AE495" s="79" t="s">
        <v>1124</v>
      </c>
      <c r="AF495" s="79" t="s">
        <v>1377</v>
      </c>
      <c r="AG495" s="79" t="s">
        <v>1560</v>
      </c>
      <c r="AH495" s="79" t="s">
        <v>1839</v>
      </c>
      <c r="AI495" s="79">
        <v>90749</v>
      </c>
      <c r="AJ495" s="79">
        <v>42</v>
      </c>
      <c r="AK495" s="79">
        <v>179</v>
      </c>
      <c r="AL495" s="79">
        <v>0</v>
      </c>
      <c r="AM495" s="79" t="s">
        <v>2092</v>
      </c>
      <c r="AN495" s="114" t="str">
        <f>HYPERLINK("https://www.youtube.com/watch?v=Sa8zUrMRDzU")</f>
        <v>https://www.youtube.com/watch?v=Sa8zUrMRDzU</v>
      </c>
      <c r="AO495" s="78" t="str">
        <f>REPLACE(INDEX(GroupVertices[Group],MATCH(Vertices[[#This Row],[Vertex]],GroupVertices[Vertex],0)),1,1,"")</f>
        <v>owcast</v>
      </c>
      <c r="AP495" s="2"/>
      <c r="AQ495" s="3"/>
      <c r="AR495" s="3"/>
      <c r="AS495" s="3"/>
      <c r="AT495" s="3"/>
    </row>
    <row r="496" spans="1:46" ht="15">
      <c r="A496" s="64" t="s">
        <v>376</v>
      </c>
      <c r="B496" s="65"/>
      <c r="C496" s="65"/>
      <c r="D496" s="66">
        <v>150</v>
      </c>
      <c r="E496" s="102">
        <v>97.85714285714286</v>
      </c>
      <c r="F496" s="98" t="str">
        <f>HYPERLINK("https://i.ytimg.com/vi/tEnbnBJSXXI/default.jpg")</f>
        <v>https://i.ytimg.com/vi/tEnbnBJSXXI/default.jpg</v>
      </c>
      <c r="G496" s="100"/>
      <c r="H496" s="69" t="s">
        <v>782</v>
      </c>
      <c r="I496" s="70"/>
      <c r="J496" s="104" t="s">
        <v>159</v>
      </c>
      <c r="K496" s="69" t="s">
        <v>782</v>
      </c>
      <c r="L496" s="105">
        <v>1</v>
      </c>
      <c r="M496" s="74">
        <v>6411.84375</v>
      </c>
      <c r="N496" s="74">
        <v>672.1210327148438</v>
      </c>
      <c r="O496" s="75"/>
      <c r="P496" s="76"/>
      <c r="Q496" s="76"/>
      <c r="R496" s="106"/>
      <c r="S496" s="48">
        <v>1</v>
      </c>
      <c r="T496" s="48">
        <v>0</v>
      </c>
      <c r="U496" s="49">
        <v>0</v>
      </c>
      <c r="V496" s="49">
        <v>0.152055</v>
      </c>
      <c r="W496" s="107"/>
      <c r="X496" s="50"/>
      <c r="Y496" s="50"/>
      <c r="Z496" s="49">
        <v>0</v>
      </c>
      <c r="AA496" s="71">
        <v>496</v>
      </c>
      <c r="AB496" s="71"/>
      <c r="AC496" s="72"/>
      <c r="AD496" s="79" t="s">
        <v>782</v>
      </c>
      <c r="AE496" s="79" t="s">
        <v>1123</v>
      </c>
      <c r="AF496" s="79" t="s">
        <v>1376</v>
      </c>
      <c r="AG496" s="79" t="s">
        <v>1560</v>
      </c>
      <c r="AH496" s="79" t="s">
        <v>1838</v>
      </c>
      <c r="AI496" s="79">
        <v>95051</v>
      </c>
      <c r="AJ496" s="79">
        <v>24</v>
      </c>
      <c r="AK496" s="79">
        <v>164</v>
      </c>
      <c r="AL496" s="79">
        <v>0</v>
      </c>
      <c r="AM496" s="79" t="s">
        <v>2092</v>
      </c>
      <c r="AN496" s="114" t="str">
        <f>HYPERLINK("https://www.youtube.com/watch?v=tEnbnBJSXXI")</f>
        <v>https://www.youtube.com/watch?v=tEnbnBJSXXI</v>
      </c>
      <c r="AO496" s="78" t="str">
        <f>REPLACE(INDEX(GroupVertices[Group],MATCH(Vertices[[#This Row],[Vertex]],GroupVertices[Vertex],0)),1,1,"")</f>
        <v>owcast</v>
      </c>
      <c r="AP496" s="2"/>
      <c r="AQ496" s="3"/>
      <c r="AR496" s="3"/>
      <c r="AS496" s="3"/>
      <c r="AT496" s="3"/>
    </row>
    <row r="497" spans="1:46" ht="15">
      <c r="A497" s="64" t="s">
        <v>322</v>
      </c>
      <c r="B497" s="65"/>
      <c r="C497" s="65"/>
      <c r="D497" s="66">
        <v>150</v>
      </c>
      <c r="E497" s="102">
        <v>97.85714285714286</v>
      </c>
      <c r="F497" s="98" t="str">
        <f>HYPERLINK("https://i.ytimg.com/vi/QLc22unQOfI/default.jpg")</f>
        <v>https://i.ytimg.com/vi/QLc22unQOfI/default.jpg</v>
      </c>
      <c r="G497" s="100"/>
      <c r="H497" s="69" t="s">
        <v>720</v>
      </c>
      <c r="I497" s="70"/>
      <c r="J497" s="104" t="s">
        <v>159</v>
      </c>
      <c r="K497" s="69" t="s">
        <v>720</v>
      </c>
      <c r="L497" s="105">
        <v>1</v>
      </c>
      <c r="M497" s="74">
        <v>4656.15087890625</v>
      </c>
      <c r="N497" s="74">
        <v>727.4654541015625</v>
      </c>
      <c r="O497" s="75"/>
      <c r="P497" s="76"/>
      <c r="Q497" s="76"/>
      <c r="R497" s="106"/>
      <c r="S497" s="48">
        <v>1</v>
      </c>
      <c r="T497" s="48">
        <v>0</v>
      </c>
      <c r="U497" s="49">
        <v>0</v>
      </c>
      <c r="V497" s="49">
        <v>0.152055</v>
      </c>
      <c r="W497" s="107"/>
      <c r="X497" s="50"/>
      <c r="Y497" s="50"/>
      <c r="Z497" s="49">
        <v>0</v>
      </c>
      <c r="AA497" s="71">
        <v>497</v>
      </c>
      <c r="AB497" s="71"/>
      <c r="AC497" s="72"/>
      <c r="AD497" s="79" t="s">
        <v>720</v>
      </c>
      <c r="AE497" s="79" t="s">
        <v>1083</v>
      </c>
      <c r="AF497" s="79" t="s">
        <v>1352</v>
      </c>
      <c r="AG497" s="79" t="s">
        <v>1560</v>
      </c>
      <c r="AH497" s="79" t="s">
        <v>1775</v>
      </c>
      <c r="AI497" s="79">
        <v>43321</v>
      </c>
      <c r="AJ497" s="79">
        <v>15</v>
      </c>
      <c r="AK497" s="79">
        <v>182</v>
      </c>
      <c r="AL497" s="79">
        <v>0</v>
      </c>
      <c r="AM497" s="79" t="s">
        <v>2092</v>
      </c>
      <c r="AN497" s="114" t="str">
        <f>HYPERLINK("https://www.youtube.com/watch?v=QLc22unQOfI")</f>
        <v>https://www.youtube.com/watch?v=QLc22unQOfI</v>
      </c>
      <c r="AO497" s="78" t="str">
        <f>REPLACE(INDEX(GroupVertices[Group],MATCH(Vertices[[#This Row],[Vertex]],GroupVertices[Vertex],0)),1,1,"")</f>
        <v>owcast</v>
      </c>
      <c r="AP497" s="2"/>
      <c r="AQ497" s="3"/>
      <c r="AR497" s="3"/>
      <c r="AS497" s="3"/>
      <c r="AT497" s="3"/>
    </row>
    <row r="498" spans="1:46" ht="15">
      <c r="A498" s="64" t="s">
        <v>502</v>
      </c>
      <c r="B498" s="65"/>
      <c r="C498" s="65"/>
      <c r="D498" s="66">
        <v>150</v>
      </c>
      <c r="E498" s="102">
        <v>97.85714285714286</v>
      </c>
      <c r="F498" s="98" t="str">
        <f>HYPERLINK("https://i.ytimg.com/vi/LbuFPFvOEqg/default.jpg")</f>
        <v>https://i.ytimg.com/vi/LbuFPFvOEqg/default.jpg</v>
      </c>
      <c r="G498" s="100"/>
      <c r="H498" s="69" t="s">
        <v>924</v>
      </c>
      <c r="I498" s="70"/>
      <c r="J498" s="104" t="s">
        <v>159</v>
      </c>
      <c r="K498" s="69" t="s">
        <v>924</v>
      </c>
      <c r="L498" s="105">
        <v>1</v>
      </c>
      <c r="M498" s="74">
        <v>4983.9287109375</v>
      </c>
      <c r="N498" s="74">
        <v>2613.76904296875</v>
      </c>
      <c r="O498" s="75"/>
      <c r="P498" s="76"/>
      <c r="Q498" s="76"/>
      <c r="R498" s="106"/>
      <c r="S498" s="48">
        <v>1</v>
      </c>
      <c r="T498" s="48">
        <v>0</v>
      </c>
      <c r="U498" s="49">
        <v>0</v>
      </c>
      <c r="V498" s="49">
        <v>0.01714</v>
      </c>
      <c r="W498" s="107"/>
      <c r="X498" s="50"/>
      <c r="Y498" s="50"/>
      <c r="Z498" s="49">
        <v>0</v>
      </c>
      <c r="AA498" s="71">
        <v>498</v>
      </c>
      <c r="AB498" s="71"/>
      <c r="AC498" s="72"/>
      <c r="AD498" s="79" t="s">
        <v>924</v>
      </c>
      <c r="AE498" s="79" t="s">
        <v>1223</v>
      </c>
      <c r="AF498" s="79"/>
      <c r="AG498" s="79" t="s">
        <v>1658</v>
      </c>
      <c r="AH498" s="79" t="s">
        <v>1981</v>
      </c>
      <c r="AI498" s="79">
        <v>5</v>
      </c>
      <c r="AJ498" s="79">
        <v>0</v>
      </c>
      <c r="AK498" s="79">
        <v>0</v>
      </c>
      <c r="AL498" s="79">
        <v>0</v>
      </c>
      <c r="AM498" s="79" t="s">
        <v>2092</v>
      </c>
      <c r="AN498" s="114" t="str">
        <f>HYPERLINK("https://www.youtube.com/watch?v=LbuFPFvOEqg")</f>
        <v>https://www.youtube.com/watch?v=LbuFPFvOEqg</v>
      </c>
      <c r="AO498" s="78" t="str">
        <f>REPLACE(INDEX(GroupVertices[Group],MATCH(Vertices[[#This Row],[Vertex]],GroupVertices[Vertex],0)),1,1,"")</f>
        <v>healbertareporter</v>
      </c>
      <c r="AP498" s="2"/>
      <c r="AQ498" s="3"/>
      <c r="AR498" s="3"/>
      <c r="AS498" s="3"/>
      <c r="AT498" s="3"/>
    </row>
    <row r="499" spans="1:46" ht="15">
      <c r="A499" s="64" t="s">
        <v>503</v>
      </c>
      <c r="B499" s="65"/>
      <c r="C499" s="65"/>
      <c r="D499" s="66">
        <v>150</v>
      </c>
      <c r="E499" s="102">
        <v>97.85714285714286</v>
      </c>
      <c r="F499" s="98" t="str">
        <f>HYPERLINK("https://i.ytimg.com/vi/cnWBTecpf-8/default.jpg")</f>
        <v>https://i.ytimg.com/vi/cnWBTecpf-8/default.jpg</v>
      </c>
      <c r="G499" s="100"/>
      <c r="H499" s="69" t="s">
        <v>925</v>
      </c>
      <c r="I499" s="70"/>
      <c r="J499" s="104" t="s">
        <v>159</v>
      </c>
      <c r="K499" s="69" t="s">
        <v>925</v>
      </c>
      <c r="L499" s="105">
        <v>1</v>
      </c>
      <c r="M499" s="74">
        <v>6438.44580078125</v>
      </c>
      <c r="N499" s="74">
        <v>2626.65283203125</v>
      </c>
      <c r="O499" s="75"/>
      <c r="P499" s="76"/>
      <c r="Q499" s="76"/>
      <c r="R499" s="106"/>
      <c r="S499" s="48">
        <v>1</v>
      </c>
      <c r="T499" s="48">
        <v>0</v>
      </c>
      <c r="U499" s="49">
        <v>0</v>
      </c>
      <c r="V499" s="49">
        <v>0.01714</v>
      </c>
      <c r="W499" s="107"/>
      <c r="X499" s="50"/>
      <c r="Y499" s="50"/>
      <c r="Z499" s="49">
        <v>0</v>
      </c>
      <c r="AA499" s="71">
        <v>499</v>
      </c>
      <c r="AB499" s="71"/>
      <c r="AC499" s="72"/>
      <c r="AD499" s="79" t="s">
        <v>925</v>
      </c>
      <c r="AE499" s="79" t="s">
        <v>3284</v>
      </c>
      <c r="AF499" s="79" t="s">
        <v>1434</v>
      </c>
      <c r="AG499" s="79" t="s">
        <v>1659</v>
      </c>
      <c r="AH499" s="79" t="s">
        <v>1982</v>
      </c>
      <c r="AI499" s="79">
        <v>10</v>
      </c>
      <c r="AJ499" s="79">
        <v>1</v>
      </c>
      <c r="AK499" s="79">
        <v>1</v>
      </c>
      <c r="AL499" s="79">
        <v>0</v>
      </c>
      <c r="AM499" s="79" t="s">
        <v>2092</v>
      </c>
      <c r="AN499" s="114" t="str">
        <f>HYPERLINK("https://www.youtube.com/watch?v=cnWBTecpf-8")</f>
        <v>https://www.youtube.com/watch?v=cnWBTecpf-8</v>
      </c>
      <c r="AO499" s="78" t="str">
        <f>REPLACE(INDEX(GroupVertices[Group],MATCH(Vertices[[#This Row],[Vertex]],GroupVertices[Vertex],0)),1,1,"")</f>
        <v>xposure Therapy</v>
      </c>
      <c r="AP499" s="2"/>
      <c r="AQ499" s="3"/>
      <c r="AR499" s="3"/>
      <c r="AS499" s="3"/>
      <c r="AT499" s="3"/>
    </row>
    <row r="500" spans="1:46" ht="15">
      <c r="A500" s="64" t="s">
        <v>504</v>
      </c>
      <c r="B500" s="65"/>
      <c r="C500" s="65"/>
      <c r="D500" s="66">
        <v>150</v>
      </c>
      <c r="E500" s="102">
        <v>97.85714285714286</v>
      </c>
      <c r="F500" s="98" t="str">
        <f>HYPERLINK("https://i.ytimg.com/vi/yPN2Jb5RcZ4/default.jpg")</f>
        <v>https://i.ytimg.com/vi/yPN2Jb5RcZ4/default.jpg</v>
      </c>
      <c r="G500" s="100"/>
      <c r="H500" s="69" t="s">
        <v>926</v>
      </c>
      <c r="I500" s="70"/>
      <c r="J500" s="104" t="s">
        <v>159</v>
      </c>
      <c r="K500" s="69" t="s">
        <v>926</v>
      </c>
      <c r="L500" s="105">
        <v>1</v>
      </c>
      <c r="M500" s="74">
        <v>4699.126953125</v>
      </c>
      <c r="N500" s="74">
        <v>2889.32568359375</v>
      </c>
      <c r="O500" s="75"/>
      <c r="P500" s="76"/>
      <c r="Q500" s="76"/>
      <c r="R500" s="106"/>
      <c r="S500" s="48">
        <v>1</v>
      </c>
      <c r="T500" s="48">
        <v>0</v>
      </c>
      <c r="U500" s="49">
        <v>0</v>
      </c>
      <c r="V500" s="49">
        <v>0.01714</v>
      </c>
      <c r="W500" s="107"/>
      <c r="X500" s="50"/>
      <c r="Y500" s="50"/>
      <c r="Z500" s="49">
        <v>0</v>
      </c>
      <c r="AA500" s="71">
        <v>500</v>
      </c>
      <c r="AB500" s="71"/>
      <c r="AC500" s="72"/>
      <c r="AD500" s="79" t="s">
        <v>926</v>
      </c>
      <c r="AE500" s="79" t="s">
        <v>1224</v>
      </c>
      <c r="AF500" s="79" t="s">
        <v>1435</v>
      </c>
      <c r="AG500" s="79" t="s">
        <v>1659</v>
      </c>
      <c r="AH500" s="79" t="s">
        <v>1983</v>
      </c>
      <c r="AI500" s="79">
        <v>792</v>
      </c>
      <c r="AJ500" s="79">
        <v>0</v>
      </c>
      <c r="AK500" s="79">
        <v>4</v>
      </c>
      <c r="AL500" s="79">
        <v>0</v>
      </c>
      <c r="AM500" s="79" t="s">
        <v>2092</v>
      </c>
      <c r="AN500" s="114" t="str">
        <f>HYPERLINK("https://www.youtube.com/watch?v=yPN2Jb5RcZ4")</f>
        <v>https://www.youtube.com/watch?v=yPN2Jb5RcZ4</v>
      </c>
      <c r="AO500" s="78" t="str">
        <f>REPLACE(INDEX(GroupVertices[Group],MATCH(Vertices[[#This Row],[Vertex]],GroupVertices[Vertex],0)),1,1,"")</f>
        <v>xposure Therapy</v>
      </c>
      <c r="AP500" s="2"/>
      <c r="AQ500" s="3"/>
      <c r="AR500" s="3"/>
      <c r="AS500" s="3"/>
      <c r="AT500" s="3"/>
    </row>
    <row r="501" spans="1:46" ht="15">
      <c r="A501" s="64" t="s">
        <v>505</v>
      </c>
      <c r="B501" s="65"/>
      <c r="C501" s="65"/>
      <c r="D501" s="66">
        <v>150</v>
      </c>
      <c r="E501" s="102">
        <v>97.85714285714286</v>
      </c>
      <c r="F501" s="98" t="str">
        <f>HYPERLINK("https://i.ytimg.com/vi/wqJP6_8Jdis/default.jpg")</f>
        <v>https://i.ytimg.com/vi/wqJP6_8Jdis/default.jpg</v>
      </c>
      <c r="G501" s="100"/>
      <c r="H501" s="69" t="s">
        <v>927</v>
      </c>
      <c r="I501" s="70"/>
      <c r="J501" s="104" t="s">
        <v>159</v>
      </c>
      <c r="K501" s="69" t="s">
        <v>927</v>
      </c>
      <c r="L501" s="105">
        <v>1</v>
      </c>
      <c r="M501" s="74">
        <v>4788.08251953125</v>
      </c>
      <c r="N501" s="74">
        <v>2199.353759765625</v>
      </c>
      <c r="O501" s="75"/>
      <c r="P501" s="76"/>
      <c r="Q501" s="76"/>
      <c r="R501" s="106"/>
      <c r="S501" s="48">
        <v>1</v>
      </c>
      <c r="T501" s="48">
        <v>0</v>
      </c>
      <c r="U501" s="49">
        <v>0</v>
      </c>
      <c r="V501" s="49">
        <v>0.01714</v>
      </c>
      <c r="W501" s="107"/>
      <c r="X501" s="50"/>
      <c r="Y501" s="50"/>
      <c r="Z501" s="49">
        <v>0</v>
      </c>
      <c r="AA501" s="71">
        <v>501</v>
      </c>
      <c r="AB501" s="71"/>
      <c r="AC501" s="72"/>
      <c r="AD501" s="79" t="s">
        <v>927</v>
      </c>
      <c r="AE501" s="79"/>
      <c r="AF501" s="79"/>
      <c r="AG501" s="79" t="s">
        <v>1660</v>
      </c>
      <c r="AH501" s="79" t="s">
        <v>1984</v>
      </c>
      <c r="AI501" s="79">
        <v>278</v>
      </c>
      <c r="AJ501" s="79">
        <v>1</v>
      </c>
      <c r="AK501" s="79">
        <v>14</v>
      </c>
      <c r="AL501" s="79">
        <v>0</v>
      </c>
      <c r="AM501" s="79" t="s">
        <v>2092</v>
      </c>
      <c r="AN501" s="114" t="str">
        <f>HYPERLINK("https://www.youtube.com/watch?v=wqJP6_8Jdis")</f>
        <v>https://www.youtube.com/watch?v=wqJP6_8Jdis</v>
      </c>
      <c r="AO501" s="78" t="str">
        <f>REPLACE(INDEX(GroupVertices[Group],MATCH(Vertices[[#This Row],[Vertex]],GroupVertices[Vertex],0)),1,1,"")</f>
        <v>ovingtoCalgary</v>
      </c>
      <c r="AP501" s="2"/>
      <c r="AQ501" s="3"/>
      <c r="AR501" s="3"/>
      <c r="AS501" s="3"/>
      <c r="AT501" s="3"/>
    </row>
    <row r="502" spans="1:46" ht="15">
      <c r="A502" s="64" t="s">
        <v>507</v>
      </c>
      <c r="B502" s="65"/>
      <c r="C502" s="65"/>
      <c r="D502" s="66">
        <v>150</v>
      </c>
      <c r="E502" s="102">
        <v>97.85714285714286</v>
      </c>
      <c r="F502" s="98" t="str">
        <f>HYPERLINK("https://i.ytimg.com/vi/oc-W8q0ViIc/default.jpg")</f>
        <v>https://i.ytimg.com/vi/oc-W8q0ViIc/default.jpg</v>
      </c>
      <c r="G502" s="100"/>
      <c r="H502" s="69" t="s">
        <v>929</v>
      </c>
      <c r="I502" s="70"/>
      <c r="J502" s="104" t="s">
        <v>159</v>
      </c>
      <c r="K502" s="69" t="s">
        <v>929</v>
      </c>
      <c r="L502" s="105">
        <v>1</v>
      </c>
      <c r="M502" s="74">
        <v>4673.96044921875</v>
      </c>
      <c r="N502" s="74">
        <v>2409.625244140625</v>
      </c>
      <c r="O502" s="75"/>
      <c r="P502" s="76"/>
      <c r="Q502" s="76"/>
      <c r="R502" s="106"/>
      <c r="S502" s="48">
        <v>1</v>
      </c>
      <c r="T502" s="48">
        <v>0</v>
      </c>
      <c r="U502" s="49">
        <v>0</v>
      </c>
      <c r="V502" s="49">
        <v>0.01714</v>
      </c>
      <c r="W502" s="107"/>
      <c r="X502" s="50"/>
      <c r="Y502" s="50"/>
      <c r="Z502" s="49">
        <v>0</v>
      </c>
      <c r="AA502" s="71">
        <v>502</v>
      </c>
      <c r="AB502" s="71"/>
      <c r="AC502" s="72"/>
      <c r="AD502" s="79" t="s">
        <v>929</v>
      </c>
      <c r="AE502" s="79" t="s">
        <v>1225</v>
      </c>
      <c r="AF502" s="79"/>
      <c r="AG502" s="79" t="s">
        <v>1662</v>
      </c>
      <c r="AH502" s="79" t="s">
        <v>1986</v>
      </c>
      <c r="AI502" s="79">
        <v>614</v>
      </c>
      <c r="AJ502" s="79">
        <v>0</v>
      </c>
      <c r="AK502" s="79">
        <v>10</v>
      </c>
      <c r="AL502" s="79">
        <v>0</v>
      </c>
      <c r="AM502" s="79" t="s">
        <v>2092</v>
      </c>
      <c r="AN502" s="114" t="str">
        <f>HYPERLINK("https://www.youtube.com/watch?v=oc-W8q0ViIc")</f>
        <v>https://www.youtube.com/watch?v=oc-W8q0ViIc</v>
      </c>
      <c r="AO502" s="78" t="str">
        <f>REPLACE(INDEX(GroupVertices[Group],MATCH(Vertices[[#This Row],[Vertex]],GroupVertices[Vertex],0)),1,1,"")</f>
        <v>atching Carbon</v>
      </c>
      <c r="AP502" s="2"/>
      <c r="AQ502" s="3"/>
      <c r="AR502" s="3"/>
      <c r="AS502" s="3"/>
      <c r="AT502" s="3"/>
    </row>
    <row r="503" spans="1:46" ht="15">
      <c r="A503" s="64" t="s">
        <v>506</v>
      </c>
      <c r="B503" s="65"/>
      <c r="C503" s="65"/>
      <c r="D503" s="66">
        <v>150</v>
      </c>
      <c r="E503" s="102">
        <v>97.85714285714286</v>
      </c>
      <c r="F503" s="98" t="str">
        <f>HYPERLINK("https://i.ytimg.com/vi/-0ngKr0GyGw/default.jpg")</f>
        <v>https://i.ytimg.com/vi/-0ngKr0GyGw/default.jpg</v>
      </c>
      <c r="G503" s="100"/>
      <c r="H503" s="69" t="s">
        <v>928</v>
      </c>
      <c r="I503" s="70"/>
      <c r="J503" s="104" t="s">
        <v>159</v>
      </c>
      <c r="K503" s="69" t="s">
        <v>928</v>
      </c>
      <c r="L503" s="105">
        <v>1</v>
      </c>
      <c r="M503" s="74">
        <v>6006.9296875</v>
      </c>
      <c r="N503" s="74">
        <v>1943.3868408203125</v>
      </c>
      <c r="O503" s="75"/>
      <c r="P503" s="76"/>
      <c r="Q503" s="76"/>
      <c r="R503" s="106"/>
      <c r="S503" s="48">
        <v>1</v>
      </c>
      <c r="T503" s="48">
        <v>0</v>
      </c>
      <c r="U503" s="49">
        <v>0</v>
      </c>
      <c r="V503" s="49">
        <v>0.01714</v>
      </c>
      <c r="W503" s="107"/>
      <c r="X503" s="50"/>
      <c r="Y503" s="50"/>
      <c r="Z503" s="49">
        <v>0</v>
      </c>
      <c r="AA503" s="71">
        <v>503</v>
      </c>
      <c r="AB503" s="71"/>
      <c r="AC503" s="72"/>
      <c r="AD503" s="79" t="s">
        <v>928</v>
      </c>
      <c r="AE503" s="79"/>
      <c r="AF503" s="79"/>
      <c r="AG503" s="79" t="s">
        <v>1661</v>
      </c>
      <c r="AH503" s="79" t="s">
        <v>1985</v>
      </c>
      <c r="AI503" s="79">
        <v>620</v>
      </c>
      <c r="AJ503" s="79">
        <v>0</v>
      </c>
      <c r="AK503" s="79">
        <v>7</v>
      </c>
      <c r="AL503" s="79">
        <v>0</v>
      </c>
      <c r="AM503" s="79" t="s">
        <v>2092</v>
      </c>
      <c r="AN503" s="114" t="str">
        <f>HYPERLINK("https://www.youtube.com/watch?v=-0ngKr0GyGw")</f>
        <v>https://www.youtube.com/watch?v=-0ngKr0GyGw</v>
      </c>
      <c r="AO503" s="78" t="str">
        <f>REPLACE(INDEX(GroupVertices[Group],MATCH(Vertices[[#This Row],[Vertex]],GroupVertices[Vertex],0)),1,1,"")</f>
        <v>ounty of Grande Prairie</v>
      </c>
      <c r="AP503" s="2"/>
      <c r="AQ503" s="3"/>
      <c r="AR503" s="3"/>
      <c r="AS503" s="3"/>
      <c r="AT503" s="3"/>
    </row>
    <row r="504" spans="1:46" ht="15">
      <c r="A504" s="64" t="s">
        <v>508</v>
      </c>
      <c r="B504" s="65"/>
      <c r="C504" s="65"/>
      <c r="D504" s="66">
        <v>150</v>
      </c>
      <c r="E504" s="102">
        <v>97.85714285714286</v>
      </c>
      <c r="F504" s="98" t="str">
        <f>HYPERLINK("https://i.ytimg.com/vi/vOHp2Gj5KhA/default.jpg")</f>
        <v>https://i.ytimg.com/vi/vOHp2Gj5KhA/default.jpg</v>
      </c>
      <c r="G504" s="100"/>
      <c r="H504" s="69" t="s">
        <v>930</v>
      </c>
      <c r="I504" s="70"/>
      <c r="J504" s="104" t="s">
        <v>159</v>
      </c>
      <c r="K504" s="69" t="s">
        <v>930</v>
      </c>
      <c r="L504" s="105">
        <v>1</v>
      </c>
      <c r="M504" s="74">
        <v>6038.23095703125</v>
      </c>
      <c r="N504" s="74">
        <v>3288.536376953125</v>
      </c>
      <c r="O504" s="75"/>
      <c r="P504" s="76"/>
      <c r="Q504" s="76"/>
      <c r="R504" s="106"/>
      <c r="S504" s="48">
        <v>1</v>
      </c>
      <c r="T504" s="48">
        <v>0</v>
      </c>
      <c r="U504" s="49">
        <v>0</v>
      </c>
      <c r="V504" s="49">
        <v>0.01714</v>
      </c>
      <c r="W504" s="107"/>
      <c r="X504" s="50"/>
      <c r="Y504" s="50"/>
      <c r="Z504" s="49">
        <v>0</v>
      </c>
      <c r="AA504" s="71">
        <v>504</v>
      </c>
      <c r="AB504" s="71"/>
      <c r="AC504" s="72"/>
      <c r="AD504" s="79" t="s">
        <v>930</v>
      </c>
      <c r="AE504" s="79" t="s">
        <v>1226</v>
      </c>
      <c r="AF504" s="79" t="s">
        <v>1436</v>
      </c>
      <c r="AG504" s="79" t="s">
        <v>1663</v>
      </c>
      <c r="AH504" s="79" t="s">
        <v>1987</v>
      </c>
      <c r="AI504" s="79">
        <v>1230</v>
      </c>
      <c r="AJ504" s="79">
        <v>0</v>
      </c>
      <c r="AK504" s="79">
        <v>9</v>
      </c>
      <c r="AL504" s="79">
        <v>0</v>
      </c>
      <c r="AM504" s="79" t="s">
        <v>2092</v>
      </c>
      <c r="AN504" s="114" t="str">
        <f>HYPERLINK("https://www.youtube.com/watch?v=vOHp2Gj5KhA")</f>
        <v>https://www.youtube.com/watch?v=vOHp2Gj5KhA</v>
      </c>
      <c r="AO504" s="78" t="str">
        <f>REPLACE(INDEX(GroupVertices[Group],MATCH(Vertices[[#This Row],[Vertex]],GroupVertices[Vertex],0)),1,1,"")</f>
        <v>ehigh County PA</v>
      </c>
      <c r="AP504" s="2"/>
      <c r="AQ504" s="3"/>
      <c r="AR504" s="3"/>
      <c r="AS504" s="3"/>
      <c r="AT504" s="3"/>
    </row>
    <row r="505" spans="1:46" ht="15">
      <c r="A505" s="64" t="s">
        <v>509</v>
      </c>
      <c r="B505" s="65"/>
      <c r="C505" s="65"/>
      <c r="D505" s="66">
        <v>150</v>
      </c>
      <c r="E505" s="102">
        <v>97.85714285714286</v>
      </c>
      <c r="F505" s="98" t="str">
        <f>HYPERLINK("https://i.ytimg.com/vi/B22wNQjerzo/default.jpg")</f>
        <v>https://i.ytimg.com/vi/B22wNQjerzo/default.jpg</v>
      </c>
      <c r="G505" s="100"/>
      <c r="H505" s="69" t="s">
        <v>931</v>
      </c>
      <c r="I505" s="70"/>
      <c r="J505" s="104" t="s">
        <v>159</v>
      </c>
      <c r="K505" s="69" t="s">
        <v>931</v>
      </c>
      <c r="L505" s="105">
        <v>1</v>
      </c>
      <c r="M505" s="74">
        <v>5520.48974609375</v>
      </c>
      <c r="N505" s="74">
        <v>3419.1982421875</v>
      </c>
      <c r="O505" s="75"/>
      <c r="P505" s="76"/>
      <c r="Q505" s="76"/>
      <c r="R505" s="106"/>
      <c r="S505" s="48">
        <v>1</v>
      </c>
      <c r="T505" s="48">
        <v>0</v>
      </c>
      <c r="U505" s="49">
        <v>0</v>
      </c>
      <c r="V505" s="49">
        <v>0.01714</v>
      </c>
      <c r="W505" s="107"/>
      <c r="X505" s="50"/>
      <c r="Y505" s="50"/>
      <c r="Z505" s="49">
        <v>0</v>
      </c>
      <c r="AA505" s="71">
        <v>505</v>
      </c>
      <c r="AB505" s="71"/>
      <c r="AC505" s="72"/>
      <c r="AD505" s="79" t="s">
        <v>931</v>
      </c>
      <c r="AE505" s="79" t="s">
        <v>1227</v>
      </c>
      <c r="AF505" s="79" t="s">
        <v>1437</v>
      </c>
      <c r="AG505" s="79" t="s">
        <v>1660</v>
      </c>
      <c r="AH505" s="79" t="s">
        <v>1988</v>
      </c>
      <c r="AI505" s="79">
        <v>13658</v>
      </c>
      <c r="AJ505" s="79">
        <v>7</v>
      </c>
      <c r="AK505" s="79">
        <v>245</v>
      </c>
      <c r="AL505" s="79">
        <v>0</v>
      </c>
      <c r="AM505" s="79" t="s">
        <v>2092</v>
      </c>
      <c r="AN505" s="114" t="str">
        <f>HYPERLINK("https://www.youtube.com/watch?v=B22wNQjerzo")</f>
        <v>https://www.youtube.com/watch?v=B22wNQjerzo</v>
      </c>
      <c r="AO505" s="78" t="str">
        <f>REPLACE(INDEX(GroupVertices[Group],MATCH(Vertices[[#This Row],[Vertex]],GroupVertices[Vertex],0)),1,1,"")</f>
        <v>ovingtoCalgary</v>
      </c>
      <c r="AP505" s="2"/>
      <c r="AQ505" s="3"/>
      <c r="AR505" s="3"/>
      <c r="AS505" s="3"/>
      <c r="AT505" s="3"/>
    </row>
    <row r="506" spans="1:46" ht="15">
      <c r="A506" s="64" t="s">
        <v>500</v>
      </c>
      <c r="B506" s="65"/>
      <c r="C506" s="65"/>
      <c r="D506" s="66">
        <v>150</v>
      </c>
      <c r="E506" s="102">
        <v>97.85714285714286</v>
      </c>
      <c r="F506" s="98" t="str">
        <f>HYPERLINK("https://i.ytimg.com/vi/W_q3-CRF6SM/default.jpg")</f>
        <v>https://i.ytimg.com/vi/W_q3-CRF6SM/default.jpg</v>
      </c>
      <c r="G506" s="100"/>
      <c r="H506" s="69" t="s">
        <v>922</v>
      </c>
      <c r="I506" s="70"/>
      <c r="J506" s="104" t="s">
        <v>159</v>
      </c>
      <c r="K506" s="69" t="s">
        <v>922</v>
      </c>
      <c r="L506" s="105">
        <v>1</v>
      </c>
      <c r="M506" s="74">
        <v>5782.21533203125</v>
      </c>
      <c r="N506" s="74">
        <v>2214.120849609375</v>
      </c>
      <c r="O506" s="75"/>
      <c r="P506" s="76"/>
      <c r="Q506" s="76"/>
      <c r="R506" s="106"/>
      <c r="S506" s="48">
        <v>1</v>
      </c>
      <c r="T506" s="48">
        <v>0</v>
      </c>
      <c r="U506" s="49">
        <v>0</v>
      </c>
      <c r="V506" s="49">
        <v>0.01714</v>
      </c>
      <c r="W506" s="107"/>
      <c r="X506" s="50"/>
      <c r="Y506" s="50"/>
      <c r="Z506" s="49">
        <v>0</v>
      </c>
      <c r="AA506" s="71">
        <v>506</v>
      </c>
      <c r="AB506" s="71"/>
      <c r="AC506" s="72"/>
      <c r="AD506" s="79" t="s">
        <v>922</v>
      </c>
      <c r="AE506" s="79" t="s">
        <v>1221</v>
      </c>
      <c r="AF506" s="79"/>
      <c r="AG506" s="79" t="s">
        <v>1657</v>
      </c>
      <c r="AH506" s="79" t="s">
        <v>1979</v>
      </c>
      <c r="AI506" s="79">
        <v>77</v>
      </c>
      <c r="AJ506" s="79">
        <v>0</v>
      </c>
      <c r="AK506" s="79">
        <v>0</v>
      </c>
      <c r="AL506" s="79">
        <v>0</v>
      </c>
      <c r="AM506" s="79" t="s">
        <v>2092</v>
      </c>
      <c r="AN506" s="114" t="str">
        <f>HYPERLINK("https://www.youtube.com/watch?v=W_q3-CRF6SM")</f>
        <v>https://www.youtube.com/watch?v=W_q3-CRF6SM</v>
      </c>
      <c r="AO506" s="78" t="str">
        <f>REPLACE(INDEX(GroupVertices[Group],MATCH(Vertices[[#This Row],[Vertex]],GroupVertices[Vertex],0)),1,1,"")</f>
        <v>ndivided</v>
      </c>
      <c r="AP506" s="2"/>
      <c r="AQ506" s="3"/>
      <c r="AR506" s="3"/>
      <c r="AS506" s="3"/>
      <c r="AT506" s="3"/>
    </row>
    <row r="507" spans="1:46" ht="15">
      <c r="A507" s="64" t="s">
        <v>511</v>
      </c>
      <c r="B507" s="65"/>
      <c r="C507" s="65"/>
      <c r="D507" s="66">
        <v>150</v>
      </c>
      <c r="E507" s="102">
        <v>97.85714285714286</v>
      </c>
      <c r="F507" s="98" t="str">
        <f>HYPERLINK("https://i.ytimg.com/vi/tGdgcvXFIuc/default.jpg")</f>
        <v>https://i.ytimg.com/vi/tGdgcvXFIuc/default.jpg</v>
      </c>
      <c r="G507" s="100"/>
      <c r="H507" s="69" t="s">
        <v>933</v>
      </c>
      <c r="I507" s="70"/>
      <c r="J507" s="104" t="s">
        <v>159</v>
      </c>
      <c r="K507" s="69" t="s">
        <v>933</v>
      </c>
      <c r="L507" s="105">
        <v>1</v>
      </c>
      <c r="M507" s="74">
        <v>5434.54052734375</v>
      </c>
      <c r="N507" s="74">
        <v>3099.011474609375</v>
      </c>
      <c r="O507" s="75"/>
      <c r="P507" s="76"/>
      <c r="Q507" s="76"/>
      <c r="R507" s="106"/>
      <c r="S507" s="48">
        <v>1</v>
      </c>
      <c r="T507" s="48">
        <v>0</v>
      </c>
      <c r="U507" s="49">
        <v>0</v>
      </c>
      <c r="V507" s="49">
        <v>0.01714</v>
      </c>
      <c r="W507" s="107"/>
      <c r="X507" s="50"/>
      <c r="Y507" s="50"/>
      <c r="Z507" s="49">
        <v>0</v>
      </c>
      <c r="AA507" s="71">
        <v>507</v>
      </c>
      <c r="AB507" s="71"/>
      <c r="AC507" s="72"/>
      <c r="AD507" s="79" t="s">
        <v>933</v>
      </c>
      <c r="AE507" s="79" t="s">
        <v>1229</v>
      </c>
      <c r="AF507" s="79"/>
      <c r="AG507" s="79" t="s">
        <v>1664</v>
      </c>
      <c r="AH507" s="79" t="s">
        <v>1990</v>
      </c>
      <c r="AI507" s="79">
        <v>1762</v>
      </c>
      <c r="AJ507" s="79">
        <v>1</v>
      </c>
      <c r="AK507" s="79">
        <v>30</v>
      </c>
      <c r="AL507" s="79">
        <v>0</v>
      </c>
      <c r="AM507" s="79" t="s">
        <v>2092</v>
      </c>
      <c r="AN507" s="114" t="str">
        <f>HYPERLINK("https://www.youtube.com/watch?v=tGdgcvXFIuc")</f>
        <v>https://www.youtube.com/watch?v=tGdgcvXFIuc</v>
      </c>
      <c r="AO507" s="78" t="str">
        <f>REPLACE(INDEX(GroupVertices[Group],MATCH(Vertices[[#This Row],[Vertex]],GroupVertices[Vertex],0)),1,1,"")</f>
        <v>il Sands Magazine</v>
      </c>
      <c r="AP507" s="2"/>
      <c r="AQ507" s="3"/>
      <c r="AR507" s="3"/>
      <c r="AS507" s="3"/>
      <c r="AT507" s="3"/>
    </row>
    <row r="508" spans="1:46" ht="15">
      <c r="A508" s="64" t="s">
        <v>510</v>
      </c>
      <c r="B508" s="65"/>
      <c r="C508" s="65"/>
      <c r="D508" s="66">
        <v>150</v>
      </c>
      <c r="E508" s="102">
        <v>97.85714285714286</v>
      </c>
      <c r="F508" s="98" t="str">
        <f>HYPERLINK("https://i.ytimg.com/vi/nJzseWUFE4g/default.jpg")</f>
        <v>https://i.ytimg.com/vi/nJzseWUFE4g/default.jpg</v>
      </c>
      <c r="G508" s="100"/>
      <c r="H508" s="69" t="s">
        <v>932</v>
      </c>
      <c r="I508" s="70"/>
      <c r="J508" s="104" t="s">
        <v>159</v>
      </c>
      <c r="K508" s="69" t="s">
        <v>932</v>
      </c>
      <c r="L508" s="105">
        <v>1</v>
      </c>
      <c r="M508" s="74">
        <v>6429.08740234375</v>
      </c>
      <c r="N508" s="74">
        <v>2880.890380859375</v>
      </c>
      <c r="O508" s="75"/>
      <c r="P508" s="76"/>
      <c r="Q508" s="76"/>
      <c r="R508" s="106"/>
      <c r="S508" s="48">
        <v>1</v>
      </c>
      <c r="T508" s="48">
        <v>0</v>
      </c>
      <c r="U508" s="49">
        <v>0</v>
      </c>
      <c r="V508" s="49">
        <v>0.01714</v>
      </c>
      <c r="W508" s="107"/>
      <c r="X508" s="50"/>
      <c r="Y508" s="50"/>
      <c r="Z508" s="49">
        <v>0</v>
      </c>
      <c r="AA508" s="71">
        <v>508</v>
      </c>
      <c r="AB508" s="71"/>
      <c r="AC508" s="72"/>
      <c r="AD508" s="79" t="s">
        <v>932</v>
      </c>
      <c r="AE508" s="79" t="s">
        <v>1228</v>
      </c>
      <c r="AF508" s="79"/>
      <c r="AG508" s="79" t="s">
        <v>1664</v>
      </c>
      <c r="AH508" s="79" t="s">
        <v>1989</v>
      </c>
      <c r="AI508" s="79">
        <v>120935</v>
      </c>
      <c r="AJ508" s="79">
        <v>222</v>
      </c>
      <c r="AK508" s="79">
        <v>1893</v>
      </c>
      <c r="AL508" s="79">
        <v>0</v>
      </c>
      <c r="AM508" s="79" t="s">
        <v>2092</v>
      </c>
      <c r="AN508" s="114" t="str">
        <f>HYPERLINK("https://www.youtube.com/watch?v=nJzseWUFE4g")</f>
        <v>https://www.youtube.com/watch?v=nJzseWUFE4g</v>
      </c>
      <c r="AO508" s="78" t="str">
        <f>REPLACE(INDEX(GroupVertices[Group],MATCH(Vertices[[#This Row],[Vertex]],GroupVertices[Vertex],0)),1,1,"")</f>
        <v>il Sands Magazine</v>
      </c>
      <c r="AP508" s="2"/>
      <c r="AQ508" s="3"/>
      <c r="AR508" s="3"/>
      <c r="AS508" s="3"/>
      <c r="AT508" s="3"/>
    </row>
    <row r="509" spans="1:46" ht="15">
      <c r="A509" s="64" t="s">
        <v>513</v>
      </c>
      <c r="B509" s="65"/>
      <c r="C509" s="65"/>
      <c r="D509" s="66">
        <v>150</v>
      </c>
      <c r="E509" s="102">
        <v>97.85714285714286</v>
      </c>
      <c r="F509" s="98" t="str">
        <f>HYPERLINK("https://i.ytimg.com/vi/nANXKZW8kSM/default.jpg")</f>
        <v>https://i.ytimg.com/vi/nANXKZW8kSM/default.jpg</v>
      </c>
      <c r="G509" s="100"/>
      <c r="H509" s="69" t="s">
        <v>935</v>
      </c>
      <c r="I509" s="70"/>
      <c r="J509" s="104" t="s">
        <v>159</v>
      </c>
      <c r="K509" s="69" t="s">
        <v>935</v>
      </c>
      <c r="L509" s="105">
        <v>1</v>
      </c>
      <c r="M509" s="74">
        <v>4819.7626953125</v>
      </c>
      <c r="N509" s="74">
        <v>3094.051025390625</v>
      </c>
      <c r="O509" s="75"/>
      <c r="P509" s="76"/>
      <c r="Q509" s="76"/>
      <c r="R509" s="106"/>
      <c r="S509" s="48">
        <v>1</v>
      </c>
      <c r="T509" s="48">
        <v>0</v>
      </c>
      <c r="U509" s="49">
        <v>0</v>
      </c>
      <c r="V509" s="49">
        <v>0.01714</v>
      </c>
      <c r="W509" s="107"/>
      <c r="X509" s="50"/>
      <c r="Y509" s="50"/>
      <c r="Z509" s="49">
        <v>0</v>
      </c>
      <c r="AA509" s="71">
        <v>509</v>
      </c>
      <c r="AB509" s="71"/>
      <c r="AC509" s="72"/>
      <c r="AD509" s="79" t="s">
        <v>935</v>
      </c>
      <c r="AE509" s="79" t="s">
        <v>1231</v>
      </c>
      <c r="AF509" s="79" t="s">
        <v>1432</v>
      </c>
      <c r="AG509" s="79" t="s">
        <v>1566</v>
      </c>
      <c r="AH509" s="79" t="s">
        <v>1992</v>
      </c>
      <c r="AI509" s="79">
        <v>4424</v>
      </c>
      <c r="AJ509" s="79">
        <v>0</v>
      </c>
      <c r="AK509" s="79">
        <v>0</v>
      </c>
      <c r="AL509" s="79">
        <v>0</v>
      </c>
      <c r="AM509" s="79" t="s">
        <v>2092</v>
      </c>
      <c r="AN509" s="114" t="str">
        <f>HYPERLINK("https://www.youtube.com/watch?v=nANXKZW8kSM")</f>
        <v>https://www.youtube.com/watch?v=nANXKZW8kSM</v>
      </c>
      <c r="AO509" s="78" t="str">
        <f>REPLACE(INDEX(GroupVertices[Group],MATCH(Vertices[[#This Row],[Vertex]],GroupVertices[Vertex],0)),1,1,"")</f>
        <v>ourAlberta</v>
      </c>
      <c r="AP509" s="2"/>
      <c r="AQ509" s="3"/>
      <c r="AR509" s="3"/>
      <c r="AS509" s="3"/>
      <c r="AT509" s="3"/>
    </row>
    <row r="510" spans="1:46" ht="15">
      <c r="A510" s="64" t="s">
        <v>512</v>
      </c>
      <c r="B510" s="65"/>
      <c r="C510" s="65"/>
      <c r="D510" s="66">
        <v>150</v>
      </c>
      <c r="E510" s="102">
        <v>97.85714285714286</v>
      </c>
      <c r="F510" s="98" t="str">
        <f>HYPERLINK("https://i.ytimg.com/vi/C4jGOHW4r84/default.jpg")</f>
        <v>https://i.ytimg.com/vi/C4jGOHW4r84/default.jpg</v>
      </c>
      <c r="G510" s="100"/>
      <c r="H510" s="69" t="s">
        <v>934</v>
      </c>
      <c r="I510" s="70"/>
      <c r="J510" s="104" t="s">
        <v>159</v>
      </c>
      <c r="K510" s="69" t="s">
        <v>934</v>
      </c>
      <c r="L510" s="105">
        <v>1</v>
      </c>
      <c r="M510" s="74">
        <v>5471.76416015625</v>
      </c>
      <c r="N510" s="74">
        <v>1824.5301513671875</v>
      </c>
      <c r="O510" s="75"/>
      <c r="P510" s="76"/>
      <c r="Q510" s="76"/>
      <c r="R510" s="106"/>
      <c r="S510" s="48">
        <v>1</v>
      </c>
      <c r="T510" s="48">
        <v>0</v>
      </c>
      <c r="U510" s="49">
        <v>0</v>
      </c>
      <c r="V510" s="49">
        <v>0.01714</v>
      </c>
      <c r="W510" s="107"/>
      <c r="X510" s="50"/>
      <c r="Y510" s="50"/>
      <c r="Z510" s="49">
        <v>0</v>
      </c>
      <c r="AA510" s="71">
        <v>510</v>
      </c>
      <c r="AB510" s="71"/>
      <c r="AC510" s="72"/>
      <c r="AD510" s="79" t="s">
        <v>934</v>
      </c>
      <c r="AE510" s="79" t="s">
        <v>1230</v>
      </c>
      <c r="AF510" s="79" t="s">
        <v>1432</v>
      </c>
      <c r="AG510" s="79" t="s">
        <v>1566</v>
      </c>
      <c r="AH510" s="79" t="s">
        <v>1991</v>
      </c>
      <c r="AI510" s="79">
        <v>6022</v>
      </c>
      <c r="AJ510" s="79">
        <v>0</v>
      </c>
      <c r="AK510" s="79">
        <v>0</v>
      </c>
      <c r="AL510" s="79">
        <v>0</v>
      </c>
      <c r="AM510" s="79" t="s">
        <v>2092</v>
      </c>
      <c r="AN510" s="114" t="str">
        <f>HYPERLINK("https://www.youtube.com/watch?v=C4jGOHW4r84")</f>
        <v>https://www.youtube.com/watch?v=C4jGOHW4r84</v>
      </c>
      <c r="AO510" s="78" t="str">
        <f>REPLACE(INDEX(GroupVertices[Group],MATCH(Vertices[[#This Row],[Vertex]],GroupVertices[Vertex],0)),1,1,"")</f>
        <v>ourAlberta</v>
      </c>
      <c r="AP510" s="2"/>
      <c r="AQ510" s="3"/>
      <c r="AR510" s="3"/>
      <c r="AS510" s="3"/>
      <c r="AT510" s="3"/>
    </row>
    <row r="511" spans="1:46" ht="15">
      <c r="A511" s="64" t="s">
        <v>514</v>
      </c>
      <c r="B511" s="65"/>
      <c r="C511" s="65"/>
      <c r="D511" s="66">
        <v>150</v>
      </c>
      <c r="E511" s="102">
        <v>97.85714285714286</v>
      </c>
      <c r="F511" s="98" t="str">
        <f>HYPERLINK("https://i.ytimg.com/vi/Y30D1NE1ZKg/default.jpg")</f>
        <v>https://i.ytimg.com/vi/Y30D1NE1ZKg/default.jpg</v>
      </c>
      <c r="G511" s="100"/>
      <c r="H511" s="69" t="s">
        <v>936</v>
      </c>
      <c r="I511" s="70"/>
      <c r="J511" s="104" t="s">
        <v>159</v>
      </c>
      <c r="K511" s="69" t="s">
        <v>936</v>
      </c>
      <c r="L511" s="105">
        <v>1</v>
      </c>
      <c r="M511" s="74">
        <v>5432.51513671875</v>
      </c>
      <c r="N511" s="74">
        <v>2125.475341796875</v>
      </c>
      <c r="O511" s="75"/>
      <c r="P511" s="76"/>
      <c r="Q511" s="76"/>
      <c r="R511" s="106"/>
      <c r="S511" s="48">
        <v>1</v>
      </c>
      <c r="T511" s="48">
        <v>0</v>
      </c>
      <c r="U511" s="49">
        <v>0</v>
      </c>
      <c r="V511" s="49">
        <v>0.01714</v>
      </c>
      <c r="W511" s="107"/>
      <c r="X511" s="50"/>
      <c r="Y511" s="50"/>
      <c r="Z511" s="49">
        <v>0</v>
      </c>
      <c r="AA511" s="71">
        <v>511</v>
      </c>
      <c r="AB511" s="71"/>
      <c r="AC511" s="72"/>
      <c r="AD511" s="79" t="s">
        <v>936</v>
      </c>
      <c r="AE511" s="79" t="s">
        <v>1230</v>
      </c>
      <c r="AF511" s="79" t="s">
        <v>1432</v>
      </c>
      <c r="AG511" s="79" t="s">
        <v>1566</v>
      </c>
      <c r="AH511" s="79" t="s">
        <v>1993</v>
      </c>
      <c r="AI511" s="79">
        <v>4912</v>
      </c>
      <c r="AJ511" s="79">
        <v>0</v>
      </c>
      <c r="AK511" s="79">
        <v>0</v>
      </c>
      <c r="AL511" s="79">
        <v>0</v>
      </c>
      <c r="AM511" s="79" t="s">
        <v>2092</v>
      </c>
      <c r="AN511" s="114" t="str">
        <f>HYPERLINK("https://www.youtube.com/watch?v=Y30D1NE1ZKg")</f>
        <v>https://www.youtube.com/watch?v=Y30D1NE1ZKg</v>
      </c>
      <c r="AO511" s="78" t="str">
        <f>REPLACE(INDEX(GroupVertices[Group],MATCH(Vertices[[#This Row],[Vertex]],GroupVertices[Vertex],0)),1,1,"")</f>
        <v>ourAlberta</v>
      </c>
      <c r="AP511" s="2"/>
      <c r="AQ511" s="3"/>
      <c r="AR511" s="3"/>
      <c r="AS511" s="3"/>
      <c r="AT511" s="3"/>
    </row>
    <row r="512" spans="1:46" ht="15">
      <c r="A512" s="64" t="s">
        <v>515</v>
      </c>
      <c r="B512" s="65"/>
      <c r="C512" s="65"/>
      <c r="D512" s="66">
        <v>150</v>
      </c>
      <c r="E512" s="102">
        <v>97.85714285714286</v>
      </c>
      <c r="F512" s="98" t="str">
        <f>HYPERLINK("https://i.ytimg.com/vi/tdJRVxgn5wE/default.jpg")</f>
        <v>https://i.ytimg.com/vi/tdJRVxgn5wE/default.jpg</v>
      </c>
      <c r="G512" s="100"/>
      <c r="H512" s="69" t="s">
        <v>937</v>
      </c>
      <c r="I512" s="70"/>
      <c r="J512" s="104" t="s">
        <v>159</v>
      </c>
      <c r="K512" s="69" t="s">
        <v>937</v>
      </c>
      <c r="L512" s="105">
        <v>1</v>
      </c>
      <c r="M512" s="74">
        <v>6244.09228515625</v>
      </c>
      <c r="N512" s="74">
        <v>2088.9140625</v>
      </c>
      <c r="O512" s="75"/>
      <c r="P512" s="76"/>
      <c r="Q512" s="76"/>
      <c r="R512" s="106"/>
      <c r="S512" s="48">
        <v>1</v>
      </c>
      <c r="T512" s="48">
        <v>0</v>
      </c>
      <c r="U512" s="49">
        <v>0</v>
      </c>
      <c r="V512" s="49">
        <v>0.01714</v>
      </c>
      <c r="W512" s="107"/>
      <c r="X512" s="50"/>
      <c r="Y512" s="50"/>
      <c r="Z512" s="49">
        <v>0</v>
      </c>
      <c r="AA512" s="71">
        <v>512</v>
      </c>
      <c r="AB512" s="71"/>
      <c r="AC512" s="72"/>
      <c r="AD512" s="79" t="s">
        <v>937</v>
      </c>
      <c r="AE512" s="79" t="s">
        <v>1232</v>
      </c>
      <c r="AF512" s="79" t="s">
        <v>1432</v>
      </c>
      <c r="AG512" s="79" t="s">
        <v>1566</v>
      </c>
      <c r="AH512" s="79" t="s">
        <v>1994</v>
      </c>
      <c r="AI512" s="79">
        <v>4513</v>
      </c>
      <c r="AJ512" s="79">
        <v>0</v>
      </c>
      <c r="AK512" s="79">
        <v>0</v>
      </c>
      <c r="AL512" s="79">
        <v>0</v>
      </c>
      <c r="AM512" s="79" t="s">
        <v>2092</v>
      </c>
      <c r="AN512" s="114" t="str">
        <f>HYPERLINK("https://www.youtube.com/watch?v=tdJRVxgn5wE")</f>
        <v>https://www.youtube.com/watch?v=tdJRVxgn5wE</v>
      </c>
      <c r="AO512" s="78" t="str">
        <f>REPLACE(INDEX(GroupVertices[Group],MATCH(Vertices[[#This Row],[Vertex]],GroupVertices[Vertex],0)),1,1,"")</f>
        <v>ourAlberta</v>
      </c>
      <c r="AP512" s="2"/>
      <c r="AQ512" s="3"/>
      <c r="AR512" s="3"/>
      <c r="AS512" s="3"/>
      <c r="AT512" s="3"/>
    </row>
    <row r="513" spans="1:46" ht="15">
      <c r="A513" s="64" t="s">
        <v>516</v>
      </c>
      <c r="B513" s="65"/>
      <c r="C513" s="65"/>
      <c r="D513" s="66">
        <v>150</v>
      </c>
      <c r="E513" s="102">
        <v>97.85714285714286</v>
      </c>
      <c r="F513" s="98" t="str">
        <f>HYPERLINK("https://i.ytimg.com/vi/ukrOHHmzHBo/default.jpg")</f>
        <v>https://i.ytimg.com/vi/ukrOHHmzHBo/default.jpg</v>
      </c>
      <c r="G513" s="100"/>
      <c r="H513" s="69" t="s">
        <v>938</v>
      </c>
      <c r="I513" s="70"/>
      <c r="J513" s="104" t="s">
        <v>159</v>
      </c>
      <c r="K513" s="69" t="s">
        <v>938</v>
      </c>
      <c r="L513" s="105">
        <v>1</v>
      </c>
      <c r="M513" s="74">
        <v>4960.90673828125</v>
      </c>
      <c r="N513" s="74">
        <v>2025.1053466796875</v>
      </c>
      <c r="O513" s="75"/>
      <c r="P513" s="76"/>
      <c r="Q513" s="76"/>
      <c r="R513" s="106"/>
      <c r="S513" s="48">
        <v>1</v>
      </c>
      <c r="T513" s="48">
        <v>0</v>
      </c>
      <c r="U513" s="49">
        <v>0</v>
      </c>
      <c r="V513" s="49">
        <v>0.01714</v>
      </c>
      <c r="W513" s="107"/>
      <c r="X513" s="50"/>
      <c r="Y513" s="50"/>
      <c r="Z513" s="49">
        <v>0</v>
      </c>
      <c r="AA513" s="71">
        <v>513</v>
      </c>
      <c r="AB513" s="71"/>
      <c r="AC513" s="72"/>
      <c r="AD513" s="79" t="s">
        <v>938</v>
      </c>
      <c r="AE513" s="79" t="s">
        <v>1230</v>
      </c>
      <c r="AF513" s="79" t="s">
        <v>1432</v>
      </c>
      <c r="AG513" s="79" t="s">
        <v>1566</v>
      </c>
      <c r="AH513" s="79" t="s">
        <v>1995</v>
      </c>
      <c r="AI513" s="79">
        <v>5701</v>
      </c>
      <c r="AJ513" s="79">
        <v>0</v>
      </c>
      <c r="AK513" s="79">
        <v>0</v>
      </c>
      <c r="AL513" s="79">
        <v>0</v>
      </c>
      <c r="AM513" s="79" t="s">
        <v>2092</v>
      </c>
      <c r="AN513" s="114" t="str">
        <f>HYPERLINK("https://www.youtube.com/watch?v=ukrOHHmzHBo")</f>
        <v>https://www.youtube.com/watch?v=ukrOHHmzHBo</v>
      </c>
      <c r="AO513" s="78" t="str">
        <f>REPLACE(INDEX(GroupVertices[Group],MATCH(Vertices[[#This Row],[Vertex]],GroupVertices[Vertex],0)),1,1,"")</f>
        <v>ourAlberta</v>
      </c>
      <c r="AP513" s="2"/>
      <c r="AQ513" s="3"/>
      <c r="AR513" s="3"/>
      <c r="AS513" s="3"/>
      <c r="AT513" s="3"/>
    </row>
    <row r="514" spans="1:46" ht="15">
      <c r="A514" s="64" t="s">
        <v>517</v>
      </c>
      <c r="B514" s="65"/>
      <c r="C514" s="65"/>
      <c r="D514" s="66">
        <v>150</v>
      </c>
      <c r="E514" s="102">
        <v>97.85714285714286</v>
      </c>
      <c r="F514" s="98" t="str">
        <f>HYPERLINK("https://i.ytimg.com/vi/ViPq7yHa6zk/default.jpg")</f>
        <v>https://i.ytimg.com/vi/ViPq7yHa6zk/default.jpg</v>
      </c>
      <c r="G514" s="100"/>
      <c r="H514" s="69" t="s">
        <v>939</v>
      </c>
      <c r="I514" s="70"/>
      <c r="J514" s="104" t="s">
        <v>159</v>
      </c>
      <c r="K514" s="69" t="s">
        <v>939</v>
      </c>
      <c r="L514" s="105">
        <v>1</v>
      </c>
      <c r="M514" s="74">
        <v>5009.42431640625</v>
      </c>
      <c r="N514" s="74">
        <v>3255.042724609375</v>
      </c>
      <c r="O514" s="75"/>
      <c r="P514" s="76"/>
      <c r="Q514" s="76"/>
      <c r="R514" s="106"/>
      <c r="S514" s="48">
        <v>1</v>
      </c>
      <c r="T514" s="48">
        <v>0</v>
      </c>
      <c r="U514" s="49">
        <v>0</v>
      </c>
      <c r="V514" s="49">
        <v>0.01714</v>
      </c>
      <c r="W514" s="107"/>
      <c r="X514" s="50"/>
      <c r="Y514" s="50"/>
      <c r="Z514" s="49">
        <v>0</v>
      </c>
      <c r="AA514" s="71">
        <v>514</v>
      </c>
      <c r="AB514" s="71"/>
      <c r="AC514" s="72"/>
      <c r="AD514" s="79" t="s">
        <v>939</v>
      </c>
      <c r="AE514" s="79" t="s">
        <v>1233</v>
      </c>
      <c r="AF514" s="79" t="s">
        <v>1432</v>
      </c>
      <c r="AG514" s="79" t="s">
        <v>1566</v>
      </c>
      <c r="AH514" s="79" t="s">
        <v>1996</v>
      </c>
      <c r="AI514" s="79">
        <v>13744</v>
      </c>
      <c r="AJ514" s="79">
        <v>0</v>
      </c>
      <c r="AK514" s="79">
        <v>0</v>
      </c>
      <c r="AL514" s="79">
        <v>0</v>
      </c>
      <c r="AM514" s="79" t="s">
        <v>2092</v>
      </c>
      <c r="AN514" s="114" t="str">
        <f>HYPERLINK("https://www.youtube.com/watch?v=ViPq7yHa6zk")</f>
        <v>https://www.youtube.com/watch?v=ViPq7yHa6zk</v>
      </c>
      <c r="AO514" s="78" t="str">
        <f>REPLACE(INDEX(GroupVertices[Group],MATCH(Vertices[[#This Row],[Vertex]],GroupVertices[Vertex],0)),1,1,"")</f>
        <v>ourAlberta</v>
      </c>
      <c r="AP514" s="2"/>
      <c r="AQ514" s="3"/>
      <c r="AR514" s="3"/>
      <c r="AS514" s="3"/>
      <c r="AT514" s="3"/>
    </row>
    <row r="515" spans="1:46" ht="15">
      <c r="A515" s="64" t="s">
        <v>518</v>
      </c>
      <c r="B515" s="65"/>
      <c r="C515" s="65"/>
      <c r="D515" s="66">
        <v>150</v>
      </c>
      <c r="E515" s="102">
        <v>97.85714285714286</v>
      </c>
      <c r="F515" s="98" t="str">
        <f>HYPERLINK("https://i.ytimg.com/vi/X3q03R9OR_c/default.jpg")</f>
        <v>https://i.ytimg.com/vi/X3q03R9OR_c/default.jpg</v>
      </c>
      <c r="G515" s="100"/>
      <c r="H515" s="69" t="s">
        <v>940</v>
      </c>
      <c r="I515" s="70"/>
      <c r="J515" s="104" t="s">
        <v>159</v>
      </c>
      <c r="K515" s="69" t="s">
        <v>940</v>
      </c>
      <c r="L515" s="105">
        <v>1</v>
      </c>
      <c r="M515" s="74">
        <v>5156.771484375</v>
      </c>
      <c r="N515" s="74">
        <v>2896.365966796875</v>
      </c>
      <c r="O515" s="75"/>
      <c r="P515" s="76"/>
      <c r="Q515" s="76"/>
      <c r="R515" s="106"/>
      <c r="S515" s="48">
        <v>1</v>
      </c>
      <c r="T515" s="48">
        <v>0</v>
      </c>
      <c r="U515" s="49">
        <v>0</v>
      </c>
      <c r="V515" s="49">
        <v>0.01714</v>
      </c>
      <c r="W515" s="107"/>
      <c r="X515" s="50"/>
      <c r="Y515" s="50"/>
      <c r="Z515" s="49">
        <v>0</v>
      </c>
      <c r="AA515" s="71">
        <v>515</v>
      </c>
      <c r="AB515" s="71"/>
      <c r="AC515" s="72"/>
      <c r="AD515" s="79" t="s">
        <v>940</v>
      </c>
      <c r="AE515" s="79" t="s">
        <v>1234</v>
      </c>
      <c r="AF515" s="79" t="s">
        <v>1432</v>
      </c>
      <c r="AG515" s="79" t="s">
        <v>1566</v>
      </c>
      <c r="AH515" s="79" t="s">
        <v>1997</v>
      </c>
      <c r="AI515" s="79">
        <v>30429</v>
      </c>
      <c r="AJ515" s="79">
        <v>0</v>
      </c>
      <c r="AK515" s="79">
        <v>0</v>
      </c>
      <c r="AL515" s="79">
        <v>0</v>
      </c>
      <c r="AM515" s="79" t="s">
        <v>2092</v>
      </c>
      <c r="AN515" s="114" t="str">
        <f>HYPERLINK("https://www.youtube.com/watch?v=X3q03R9OR_c")</f>
        <v>https://www.youtube.com/watch?v=X3q03R9OR_c</v>
      </c>
      <c r="AO515" s="78" t="str">
        <f>REPLACE(INDEX(GroupVertices[Group],MATCH(Vertices[[#This Row],[Vertex]],GroupVertices[Vertex],0)),1,1,"")</f>
        <v>ourAlberta</v>
      </c>
      <c r="AP515" s="2"/>
      <c r="AQ515" s="3"/>
      <c r="AR515" s="3"/>
      <c r="AS515" s="3"/>
      <c r="AT515" s="3"/>
    </row>
    <row r="516" spans="1:46" ht="15">
      <c r="A516" s="64" t="s">
        <v>521</v>
      </c>
      <c r="B516" s="65"/>
      <c r="C516" s="65"/>
      <c r="D516" s="66">
        <v>150</v>
      </c>
      <c r="E516" s="102">
        <v>97.85714285714286</v>
      </c>
      <c r="F516" s="98" t="str">
        <f>HYPERLINK("https://i.ytimg.com/vi/I8un3ZRh7Cs/default.jpg")</f>
        <v>https://i.ytimg.com/vi/I8un3ZRh7Cs/default.jpg</v>
      </c>
      <c r="G516" s="100"/>
      <c r="H516" s="69" t="s">
        <v>943</v>
      </c>
      <c r="I516" s="70"/>
      <c r="J516" s="104" t="s">
        <v>159</v>
      </c>
      <c r="K516" s="69" t="s">
        <v>943</v>
      </c>
      <c r="L516" s="105">
        <v>1</v>
      </c>
      <c r="M516" s="74">
        <v>5752.2900390625</v>
      </c>
      <c r="N516" s="74">
        <v>1853.8460693359375</v>
      </c>
      <c r="O516" s="75"/>
      <c r="P516" s="76"/>
      <c r="Q516" s="76"/>
      <c r="R516" s="106"/>
      <c r="S516" s="48">
        <v>1</v>
      </c>
      <c r="T516" s="48">
        <v>0</v>
      </c>
      <c r="U516" s="49">
        <v>0</v>
      </c>
      <c r="V516" s="49">
        <v>0.01714</v>
      </c>
      <c r="W516" s="107"/>
      <c r="X516" s="50"/>
      <c r="Y516" s="50"/>
      <c r="Z516" s="49">
        <v>0</v>
      </c>
      <c r="AA516" s="71">
        <v>516</v>
      </c>
      <c r="AB516" s="71"/>
      <c r="AC516" s="72"/>
      <c r="AD516" s="79" t="s">
        <v>943</v>
      </c>
      <c r="AE516" s="79" t="s">
        <v>1236</v>
      </c>
      <c r="AF516" s="79" t="s">
        <v>1432</v>
      </c>
      <c r="AG516" s="79" t="s">
        <v>1566</v>
      </c>
      <c r="AH516" s="79" t="s">
        <v>2000</v>
      </c>
      <c r="AI516" s="79">
        <v>9330</v>
      </c>
      <c r="AJ516" s="79">
        <v>0</v>
      </c>
      <c r="AK516" s="79">
        <v>0</v>
      </c>
      <c r="AL516" s="79">
        <v>0</v>
      </c>
      <c r="AM516" s="79" t="s">
        <v>2092</v>
      </c>
      <c r="AN516" s="114" t="str">
        <f>HYPERLINK("https://www.youtube.com/watch?v=I8un3ZRh7Cs")</f>
        <v>https://www.youtube.com/watch?v=I8un3ZRh7Cs</v>
      </c>
      <c r="AO516" s="78" t="str">
        <f>REPLACE(INDEX(GroupVertices[Group],MATCH(Vertices[[#This Row],[Vertex]],GroupVertices[Vertex],0)),1,1,"")</f>
        <v>ourAlberta</v>
      </c>
      <c r="AP516" s="2"/>
      <c r="AQ516" s="3"/>
      <c r="AR516" s="3"/>
      <c r="AS516" s="3"/>
      <c r="AT516" s="3"/>
    </row>
    <row r="517" spans="1:46" ht="15">
      <c r="A517" s="64" t="s">
        <v>520</v>
      </c>
      <c r="B517" s="65"/>
      <c r="C517" s="65"/>
      <c r="D517" s="66">
        <v>150</v>
      </c>
      <c r="E517" s="102">
        <v>97.85714285714286</v>
      </c>
      <c r="F517" s="98" t="str">
        <f>HYPERLINK("https://i.ytimg.com/vi/XZ9hCfMMFpE/default.jpg")</f>
        <v>https://i.ytimg.com/vi/XZ9hCfMMFpE/default.jpg</v>
      </c>
      <c r="G517" s="100"/>
      <c r="H517" s="69" t="s">
        <v>942</v>
      </c>
      <c r="I517" s="70"/>
      <c r="J517" s="104" t="s">
        <v>159</v>
      </c>
      <c r="K517" s="69" t="s">
        <v>942</v>
      </c>
      <c r="L517" s="105">
        <v>1</v>
      </c>
      <c r="M517" s="74">
        <v>5240.9189453125</v>
      </c>
      <c r="N517" s="74">
        <v>3375.314697265625</v>
      </c>
      <c r="O517" s="75"/>
      <c r="P517" s="76"/>
      <c r="Q517" s="76"/>
      <c r="R517" s="106"/>
      <c r="S517" s="48">
        <v>1</v>
      </c>
      <c r="T517" s="48">
        <v>0</v>
      </c>
      <c r="U517" s="49">
        <v>0</v>
      </c>
      <c r="V517" s="49">
        <v>0.01714</v>
      </c>
      <c r="W517" s="107"/>
      <c r="X517" s="50"/>
      <c r="Y517" s="50"/>
      <c r="Z517" s="49">
        <v>0</v>
      </c>
      <c r="AA517" s="71">
        <v>517</v>
      </c>
      <c r="AB517" s="71"/>
      <c r="AC517" s="72"/>
      <c r="AD517" s="79" t="s">
        <v>942</v>
      </c>
      <c r="AE517" s="79" t="s">
        <v>1232</v>
      </c>
      <c r="AF517" s="79" t="s">
        <v>1432</v>
      </c>
      <c r="AG517" s="79" t="s">
        <v>1566</v>
      </c>
      <c r="AH517" s="79" t="s">
        <v>1999</v>
      </c>
      <c r="AI517" s="79">
        <v>3943</v>
      </c>
      <c r="AJ517" s="79">
        <v>0</v>
      </c>
      <c r="AK517" s="79">
        <v>0</v>
      </c>
      <c r="AL517" s="79">
        <v>0</v>
      </c>
      <c r="AM517" s="79" t="s">
        <v>2092</v>
      </c>
      <c r="AN517" s="114" t="str">
        <f>HYPERLINK("https://www.youtube.com/watch?v=XZ9hCfMMFpE")</f>
        <v>https://www.youtube.com/watch?v=XZ9hCfMMFpE</v>
      </c>
      <c r="AO517" s="78" t="str">
        <f>REPLACE(INDEX(GroupVertices[Group],MATCH(Vertices[[#This Row],[Vertex]],GroupVertices[Vertex],0)),1,1,"")</f>
        <v>ourAlberta</v>
      </c>
      <c r="AP517" s="2"/>
      <c r="AQ517" s="3"/>
      <c r="AR517" s="3"/>
      <c r="AS517" s="3"/>
      <c r="AT517" s="3"/>
    </row>
    <row r="518" spans="1:46" ht="15">
      <c r="A518" s="64" t="s">
        <v>523</v>
      </c>
      <c r="B518" s="65"/>
      <c r="C518" s="65"/>
      <c r="D518" s="66">
        <v>150</v>
      </c>
      <c r="E518" s="102">
        <v>97.85714285714286</v>
      </c>
      <c r="F518" s="98" t="str">
        <f>HYPERLINK("https://i.ytimg.com/vi/zxTYnyj3-zo/default.jpg")</f>
        <v>https://i.ytimg.com/vi/zxTYnyj3-zo/default.jpg</v>
      </c>
      <c r="G518" s="100"/>
      <c r="H518" s="69" t="s">
        <v>945</v>
      </c>
      <c r="I518" s="70"/>
      <c r="J518" s="104" t="s">
        <v>159</v>
      </c>
      <c r="K518" s="69" t="s">
        <v>945</v>
      </c>
      <c r="L518" s="105">
        <v>1</v>
      </c>
      <c r="M518" s="74">
        <v>6256.5302734375</v>
      </c>
      <c r="N518" s="74">
        <v>3133.7255859375</v>
      </c>
      <c r="O518" s="75"/>
      <c r="P518" s="76"/>
      <c r="Q518" s="76"/>
      <c r="R518" s="106"/>
      <c r="S518" s="48">
        <v>1</v>
      </c>
      <c r="T518" s="48">
        <v>0</v>
      </c>
      <c r="U518" s="49">
        <v>0</v>
      </c>
      <c r="V518" s="49">
        <v>0.01714</v>
      </c>
      <c r="W518" s="107"/>
      <c r="X518" s="50"/>
      <c r="Y518" s="50"/>
      <c r="Z518" s="49">
        <v>0</v>
      </c>
      <c r="AA518" s="71">
        <v>518</v>
      </c>
      <c r="AB518" s="71"/>
      <c r="AC518" s="72"/>
      <c r="AD518" s="79" t="s">
        <v>945</v>
      </c>
      <c r="AE518" s="79" t="s">
        <v>1238</v>
      </c>
      <c r="AF518" s="79" t="s">
        <v>1432</v>
      </c>
      <c r="AG518" s="79" t="s">
        <v>1566</v>
      </c>
      <c r="AH518" s="79" t="s">
        <v>2002</v>
      </c>
      <c r="AI518" s="79">
        <v>21384</v>
      </c>
      <c r="AJ518" s="79">
        <v>0</v>
      </c>
      <c r="AK518" s="79">
        <v>0</v>
      </c>
      <c r="AL518" s="79">
        <v>0</v>
      </c>
      <c r="AM518" s="79" t="s">
        <v>2092</v>
      </c>
      <c r="AN518" s="114" t="str">
        <f>HYPERLINK("https://www.youtube.com/watch?v=zxTYnyj3-zo")</f>
        <v>https://www.youtube.com/watch?v=zxTYnyj3-zo</v>
      </c>
      <c r="AO518" s="78" t="str">
        <f>REPLACE(INDEX(GroupVertices[Group],MATCH(Vertices[[#This Row],[Vertex]],GroupVertices[Vertex],0)),1,1,"")</f>
        <v>ourAlberta</v>
      </c>
      <c r="AP518" s="2"/>
      <c r="AQ518" s="3"/>
      <c r="AR518" s="3"/>
      <c r="AS518" s="3"/>
      <c r="AT518" s="3"/>
    </row>
    <row r="519" spans="1:46" ht="15">
      <c r="A519" s="64" t="s">
        <v>2358</v>
      </c>
      <c r="B519" s="65"/>
      <c r="C519" s="65"/>
      <c r="D519" s="66">
        <v>150</v>
      </c>
      <c r="E519" s="102">
        <v>97.85714285714286</v>
      </c>
      <c r="F519" s="98" t="str">
        <f>HYPERLINK("https://i.ytimg.com/vi/5Ezouqh-TQg/default.jpg")</f>
        <v>https://i.ytimg.com/vi/5Ezouqh-TQg/default.jpg</v>
      </c>
      <c r="G519" s="100"/>
      <c r="H519" s="69" t="s">
        <v>2835</v>
      </c>
      <c r="I519" s="70"/>
      <c r="J519" s="104" t="s">
        <v>159</v>
      </c>
      <c r="K519" s="69" t="s">
        <v>2835</v>
      </c>
      <c r="L519" s="105">
        <v>1</v>
      </c>
      <c r="M519" s="74">
        <v>5172.84033203125</v>
      </c>
      <c r="N519" s="74">
        <v>2343.0595703125</v>
      </c>
      <c r="O519" s="75"/>
      <c r="P519" s="76"/>
      <c r="Q519" s="76"/>
      <c r="R519" s="106"/>
      <c r="S519" s="48">
        <v>1</v>
      </c>
      <c r="T519" s="48">
        <v>0</v>
      </c>
      <c r="U519" s="49">
        <v>0</v>
      </c>
      <c r="V519" s="49">
        <v>0.01714</v>
      </c>
      <c r="W519" s="107"/>
      <c r="X519" s="50"/>
      <c r="Y519" s="50"/>
      <c r="Z519" s="49">
        <v>0</v>
      </c>
      <c r="AA519" s="71">
        <v>519</v>
      </c>
      <c r="AB519" s="71"/>
      <c r="AC519" s="72"/>
      <c r="AD519" s="79" t="s">
        <v>2835</v>
      </c>
      <c r="AE519" s="79" t="s">
        <v>3285</v>
      </c>
      <c r="AF519" s="79" t="s">
        <v>1432</v>
      </c>
      <c r="AG519" s="79" t="s">
        <v>1566</v>
      </c>
      <c r="AH519" s="79" t="s">
        <v>4200</v>
      </c>
      <c r="AI519" s="79">
        <v>946</v>
      </c>
      <c r="AJ519" s="79">
        <v>0</v>
      </c>
      <c r="AK519" s="79">
        <v>0</v>
      </c>
      <c r="AL519" s="79">
        <v>0</v>
      </c>
      <c r="AM519" s="79" t="s">
        <v>2092</v>
      </c>
      <c r="AN519" s="114" t="str">
        <f>HYPERLINK("https://www.youtube.com/watch?v=5Ezouqh-TQg")</f>
        <v>https://www.youtube.com/watch?v=5Ezouqh-TQg</v>
      </c>
      <c r="AO519" s="78" t="str">
        <f>REPLACE(INDEX(GroupVertices[Group],MATCH(Vertices[[#This Row],[Vertex]],GroupVertices[Vertex],0)),1,1,"")</f>
        <v>ourAlberta</v>
      </c>
      <c r="AP519" s="2"/>
      <c r="AQ519" s="3"/>
      <c r="AR519" s="3"/>
      <c r="AS519" s="3"/>
      <c r="AT519" s="3"/>
    </row>
    <row r="520" spans="1:46" ht="15">
      <c r="A520" s="64" t="s">
        <v>519</v>
      </c>
      <c r="B520" s="65"/>
      <c r="C520" s="65"/>
      <c r="D520" s="66">
        <v>150</v>
      </c>
      <c r="E520" s="102">
        <v>97.85714285714286</v>
      </c>
      <c r="F520" s="98" t="str">
        <f>HYPERLINK("https://i.ytimg.com/vi/yEDqVxT_0cs/default.jpg")</f>
        <v>https://i.ytimg.com/vi/yEDqVxT_0cs/default.jpg</v>
      </c>
      <c r="G520" s="100"/>
      <c r="H520" s="69" t="s">
        <v>941</v>
      </c>
      <c r="I520" s="70"/>
      <c r="J520" s="104" t="s">
        <v>159</v>
      </c>
      <c r="K520" s="69" t="s">
        <v>941</v>
      </c>
      <c r="L520" s="105">
        <v>1</v>
      </c>
      <c r="M520" s="74">
        <v>5185.408203125</v>
      </c>
      <c r="N520" s="74">
        <v>1891.587646484375</v>
      </c>
      <c r="O520" s="75"/>
      <c r="P520" s="76"/>
      <c r="Q520" s="76"/>
      <c r="R520" s="106"/>
      <c r="S520" s="48">
        <v>1</v>
      </c>
      <c r="T520" s="48">
        <v>0</v>
      </c>
      <c r="U520" s="49">
        <v>0</v>
      </c>
      <c r="V520" s="49">
        <v>0.01714</v>
      </c>
      <c r="W520" s="107"/>
      <c r="X520" s="50"/>
      <c r="Y520" s="50"/>
      <c r="Z520" s="49">
        <v>0</v>
      </c>
      <c r="AA520" s="71">
        <v>520</v>
      </c>
      <c r="AB520" s="71"/>
      <c r="AC520" s="72"/>
      <c r="AD520" s="79" t="s">
        <v>941</v>
      </c>
      <c r="AE520" s="79" t="s">
        <v>1235</v>
      </c>
      <c r="AF520" s="79" t="s">
        <v>1432</v>
      </c>
      <c r="AG520" s="79" t="s">
        <v>1566</v>
      </c>
      <c r="AH520" s="79" t="s">
        <v>1998</v>
      </c>
      <c r="AI520" s="79">
        <v>5718</v>
      </c>
      <c r="AJ520" s="79">
        <v>0</v>
      </c>
      <c r="AK520" s="79">
        <v>0</v>
      </c>
      <c r="AL520" s="79">
        <v>0</v>
      </c>
      <c r="AM520" s="79" t="s">
        <v>2092</v>
      </c>
      <c r="AN520" s="114" t="str">
        <f>HYPERLINK("https://www.youtube.com/watch?v=yEDqVxT_0cs")</f>
        <v>https://www.youtube.com/watch?v=yEDqVxT_0cs</v>
      </c>
      <c r="AO520" s="78" t="str">
        <f>REPLACE(INDEX(GroupVertices[Group],MATCH(Vertices[[#This Row],[Vertex]],GroupVertices[Vertex],0)),1,1,"")</f>
        <v>ourAlberta</v>
      </c>
      <c r="AP520" s="2"/>
      <c r="AQ520" s="3"/>
      <c r="AR520" s="3"/>
      <c r="AS520" s="3"/>
      <c r="AT520" s="3"/>
    </row>
    <row r="521" spans="1:46" ht="15">
      <c r="A521" s="64" t="s">
        <v>522</v>
      </c>
      <c r="B521" s="65"/>
      <c r="C521" s="65"/>
      <c r="D521" s="66">
        <v>150</v>
      </c>
      <c r="E521" s="102">
        <v>97.85714285714286</v>
      </c>
      <c r="F521" s="98" t="str">
        <f>HYPERLINK("https://i.ytimg.com/vi/WQvSZCIHGa0/default.jpg")</f>
        <v>https://i.ytimg.com/vi/WQvSZCIHGa0/default.jpg</v>
      </c>
      <c r="G521" s="100"/>
      <c r="H521" s="69" t="s">
        <v>944</v>
      </c>
      <c r="I521" s="70"/>
      <c r="J521" s="104" t="s">
        <v>159</v>
      </c>
      <c r="K521" s="69" t="s">
        <v>944</v>
      </c>
      <c r="L521" s="105">
        <v>1</v>
      </c>
      <c r="M521" s="74">
        <v>5790.0078125</v>
      </c>
      <c r="N521" s="74">
        <v>3029.47607421875</v>
      </c>
      <c r="O521" s="75"/>
      <c r="P521" s="76"/>
      <c r="Q521" s="76"/>
      <c r="R521" s="106"/>
      <c r="S521" s="48">
        <v>1</v>
      </c>
      <c r="T521" s="48">
        <v>0</v>
      </c>
      <c r="U521" s="49">
        <v>0</v>
      </c>
      <c r="V521" s="49">
        <v>0.01714</v>
      </c>
      <c r="W521" s="107"/>
      <c r="X521" s="50"/>
      <c r="Y521" s="50"/>
      <c r="Z521" s="49">
        <v>0</v>
      </c>
      <c r="AA521" s="71">
        <v>521</v>
      </c>
      <c r="AB521" s="71"/>
      <c r="AC521" s="72"/>
      <c r="AD521" s="79" t="s">
        <v>944</v>
      </c>
      <c r="AE521" s="79" t="s">
        <v>1237</v>
      </c>
      <c r="AF521" s="79" t="s">
        <v>1438</v>
      </c>
      <c r="AG521" s="79" t="s">
        <v>1665</v>
      </c>
      <c r="AH521" s="79" t="s">
        <v>2001</v>
      </c>
      <c r="AI521" s="79">
        <v>8216</v>
      </c>
      <c r="AJ521" s="79">
        <v>0</v>
      </c>
      <c r="AK521" s="79">
        <v>64</v>
      </c>
      <c r="AL521" s="79">
        <v>0</v>
      </c>
      <c r="AM521" s="79" t="s">
        <v>2092</v>
      </c>
      <c r="AN521" s="114" t="str">
        <f>HYPERLINK("https://www.youtube.com/watch?v=WQvSZCIHGa0")</f>
        <v>https://www.youtube.com/watch?v=WQvSZCIHGa0</v>
      </c>
      <c r="AO521" s="78" t="str">
        <f>REPLACE(INDEX(GroupVertices[Group],MATCH(Vertices[[#This Row],[Vertex]],GroupVertices[Vertex],0)),1,1,"")</f>
        <v>amSoft Inc.</v>
      </c>
      <c r="AP521" s="2"/>
      <c r="AQ521" s="3"/>
      <c r="AR521" s="3"/>
      <c r="AS521" s="3"/>
      <c r="AT521" s="3"/>
    </row>
    <row r="522" spans="1:46" ht="15">
      <c r="A522" s="64" t="s">
        <v>501</v>
      </c>
      <c r="B522" s="65"/>
      <c r="C522" s="65"/>
      <c r="D522" s="66">
        <v>150</v>
      </c>
      <c r="E522" s="102">
        <v>97.85714285714286</v>
      </c>
      <c r="F522" s="98" t="str">
        <f>HYPERLINK("https://i.ytimg.com/vi/A40DmgtQjp4/default.jpg")</f>
        <v>https://i.ytimg.com/vi/A40DmgtQjp4/default.jpg</v>
      </c>
      <c r="G522" s="100"/>
      <c r="H522" s="69" t="s">
        <v>923</v>
      </c>
      <c r="I522" s="70"/>
      <c r="J522" s="104" t="s">
        <v>159</v>
      </c>
      <c r="K522" s="69" t="s">
        <v>923</v>
      </c>
      <c r="L522" s="105">
        <v>1</v>
      </c>
      <c r="M522" s="74">
        <v>6136.58984375</v>
      </c>
      <c r="N522" s="74">
        <v>2866.573974609375</v>
      </c>
      <c r="O522" s="75"/>
      <c r="P522" s="76"/>
      <c r="Q522" s="76"/>
      <c r="R522" s="106"/>
      <c r="S522" s="48">
        <v>1</v>
      </c>
      <c r="T522" s="48">
        <v>0</v>
      </c>
      <c r="U522" s="49">
        <v>0</v>
      </c>
      <c r="V522" s="49">
        <v>0.01714</v>
      </c>
      <c r="W522" s="107"/>
      <c r="X522" s="50"/>
      <c r="Y522" s="50"/>
      <c r="Z522" s="49">
        <v>0</v>
      </c>
      <c r="AA522" s="71">
        <v>522</v>
      </c>
      <c r="AB522" s="71"/>
      <c r="AC522" s="72"/>
      <c r="AD522" s="79" t="s">
        <v>923</v>
      </c>
      <c r="AE522" s="79" t="s">
        <v>1222</v>
      </c>
      <c r="AF522" s="79" t="s">
        <v>1433</v>
      </c>
      <c r="AG522" s="79" t="s">
        <v>1566</v>
      </c>
      <c r="AH522" s="79" t="s">
        <v>1980</v>
      </c>
      <c r="AI522" s="79">
        <v>570</v>
      </c>
      <c r="AJ522" s="79">
        <v>0</v>
      </c>
      <c r="AK522" s="79">
        <v>9</v>
      </c>
      <c r="AL522" s="79">
        <v>0</v>
      </c>
      <c r="AM522" s="79" t="s">
        <v>2092</v>
      </c>
      <c r="AN522" s="114" t="str">
        <f>HYPERLINK("https://www.youtube.com/watch?v=A40DmgtQjp4")</f>
        <v>https://www.youtube.com/watch?v=A40DmgtQjp4</v>
      </c>
      <c r="AO522" s="78" t="str">
        <f>REPLACE(INDEX(GroupVertices[Group],MATCH(Vertices[[#This Row],[Vertex]],GroupVertices[Vertex],0)),1,1,"")</f>
        <v>ourAlberta</v>
      </c>
      <c r="AP522" s="2"/>
      <c r="AQ522" s="3"/>
      <c r="AR522" s="3"/>
      <c r="AS522" s="3"/>
      <c r="AT522" s="3"/>
    </row>
    <row r="523" spans="1:46" ht="15">
      <c r="A523" s="64" t="s">
        <v>524</v>
      </c>
      <c r="B523" s="65"/>
      <c r="C523" s="65"/>
      <c r="D523" s="66">
        <v>150</v>
      </c>
      <c r="E523" s="102">
        <v>97.85714285714286</v>
      </c>
      <c r="F523" s="98" t="str">
        <f>HYPERLINK("https://i.ytimg.com/vi/1XNjPw4cq0A/default.jpg")</f>
        <v>https://i.ytimg.com/vi/1XNjPw4cq0A/default.jpg</v>
      </c>
      <c r="G523" s="100"/>
      <c r="H523" s="69" t="s">
        <v>946</v>
      </c>
      <c r="I523" s="70"/>
      <c r="J523" s="104" t="s">
        <v>159</v>
      </c>
      <c r="K523" s="69" t="s">
        <v>946</v>
      </c>
      <c r="L523" s="105">
        <v>1</v>
      </c>
      <c r="M523" s="74">
        <v>6433.52734375</v>
      </c>
      <c r="N523" s="74">
        <v>2378.236328125</v>
      </c>
      <c r="O523" s="75"/>
      <c r="P523" s="76"/>
      <c r="Q523" s="76"/>
      <c r="R523" s="106"/>
      <c r="S523" s="48">
        <v>1</v>
      </c>
      <c r="T523" s="48">
        <v>0</v>
      </c>
      <c r="U523" s="49">
        <v>0</v>
      </c>
      <c r="V523" s="49">
        <v>0.01714</v>
      </c>
      <c r="W523" s="107"/>
      <c r="X523" s="50"/>
      <c r="Y523" s="50"/>
      <c r="Z523" s="49">
        <v>0</v>
      </c>
      <c r="AA523" s="71">
        <v>523</v>
      </c>
      <c r="AB523" s="71"/>
      <c r="AC523" s="72"/>
      <c r="AD523" s="79" t="s">
        <v>946</v>
      </c>
      <c r="AE523" s="79" t="s">
        <v>1230</v>
      </c>
      <c r="AF523" s="79" t="s">
        <v>1432</v>
      </c>
      <c r="AG523" s="79" t="s">
        <v>1566</v>
      </c>
      <c r="AH523" s="79" t="s">
        <v>2003</v>
      </c>
      <c r="AI523" s="79">
        <v>5338</v>
      </c>
      <c r="AJ523" s="79">
        <v>0</v>
      </c>
      <c r="AK523" s="79">
        <v>0</v>
      </c>
      <c r="AL523" s="79">
        <v>0</v>
      </c>
      <c r="AM523" s="79" t="s">
        <v>2092</v>
      </c>
      <c r="AN523" s="114" t="str">
        <f>HYPERLINK("https://www.youtube.com/watch?v=1XNjPw4cq0A")</f>
        <v>https://www.youtube.com/watch?v=1XNjPw4cq0A</v>
      </c>
      <c r="AO523" s="78" t="str">
        <f>REPLACE(INDEX(GroupVertices[Group],MATCH(Vertices[[#This Row],[Vertex]],GroupVertices[Vertex],0)),1,1,"")</f>
        <v>ourAlberta</v>
      </c>
      <c r="AP523" s="2"/>
      <c r="AQ523" s="3"/>
      <c r="AR523" s="3"/>
      <c r="AS523" s="3"/>
      <c r="AT523" s="3"/>
    </row>
    <row r="524" spans="1:46" ht="15">
      <c r="A524" s="64" t="s">
        <v>525</v>
      </c>
      <c r="B524" s="65"/>
      <c r="C524" s="65"/>
      <c r="D524" s="66">
        <v>150</v>
      </c>
      <c r="E524" s="102">
        <v>97.85714285714286</v>
      </c>
      <c r="F524" s="98" t="str">
        <f>HYPERLINK("https://i.ytimg.com/vi/kcJwY6uAlH0/default.jpg")</f>
        <v>https://i.ytimg.com/vi/kcJwY6uAlH0/default.jpg</v>
      </c>
      <c r="G524" s="100"/>
      <c r="H524" s="69" t="s">
        <v>947</v>
      </c>
      <c r="I524" s="70"/>
      <c r="J524" s="104" t="s">
        <v>159</v>
      </c>
      <c r="K524" s="69" t="s">
        <v>947</v>
      </c>
      <c r="L524" s="105">
        <v>1</v>
      </c>
      <c r="M524" s="74">
        <v>6164.57421875</v>
      </c>
      <c r="N524" s="74">
        <v>2331.395751953125</v>
      </c>
      <c r="O524" s="75"/>
      <c r="P524" s="76"/>
      <c r="Q524" s="76"/>
      <c r="R524" s="106"/>
      <c r="S524" s="48">
        <v>1</v>
      </c>
      <c r="T524" s="48">
        <v>0</v>
      </c>
      <c r="U524" s="49">
        <v>0</v>
      </c>
      <c r="V524" s="49">
        <v>0.01714</v>
      </c>
      <c r="W524" s="107"/>
      <c r="X524" s="50"/>
      <c r="Y524" s="50"/>
      <c r="Z524" s="49">
        <v>0</v>
      </c>
      <c r="AA524" s="71">
        <v>524</v>
      </c>
      <c r="AB524" s="71"/>
      <c r="AC524" s="72"/>
      <c r="AD524" s="79" t="s">
        <v>947</v>
      </c>
      <c r="AE524" s="79" t="s">
        <v>1230</v>
      </c>
      <c r="AF524" s="79" t="s">
        <v>1432</v>
      </c>
      <c r="AG524" s="79" t="s">
        <v>1566</v>
      </c>
      <c r="AH524" s="79" t="s">
        <v>2004</v>
      </c>
      <c r="AI524" s="79">
        <v>20777</v>
      </c>
      <c r="AJ524" s="79">
        <v>0</v>
      </c>
      <c r="AK524" s="79">
        <v>0</v>
      </c>
      <c r="AL524" s="79">
        <v>0</v>
      </c>
      <c r="AM524" s="79" t="s">
        <v>2092</v>
      </c>
      <c r="AN524" s="114" t="str">
        <f>HYPERLINK("https://www.youtube.com/watch?v=kcJwY6uAlH0")</f>
        <v>https://www.youtube.com/watch?v=kcJwY6uAlH0</v>
      </c>
      <c r="AO524" s="78" t="str">
        <f>REPLACE(INDEX(GroupVertices[Group],MATCH(Vertices[[#This Row],[Vertex]],GroupVertices[Vertex],0)),1,1,"")</f>
        <v>ourAlberta</v>
      </c>
      <c r="AP524" s="2"/>
      <c r="AQ524" s="3"/>
      <c r="AR524" s="3"/>
      <c r="AS524" s="3"/>
      <c r="AT524" s="3"/>
    </row>
    <row r="525" spans="1:46" ht="15">
      <c r="A525" s="64" t="s">
        <v>526</v>
      </c>
      <c r="B525" s="65"/>
      <c r="C525" s="65"/>
      <c r="D525" s="66">
        <v>150</v>
      </c>
      <c r="E525" s="102">
        <v>97.85714285714286</v>
      </c>
      <c r="F525" s="98" t="str">
        <f>HYPERLINK("https://i.ytimg.com/vi/Rsa8cKNzl9o/default.jpg")</f>
        <v>https://i.ytimg.com/vi/Rsa8cKNzl9o/default.jpg</v>
      </c>
      <c r="G525" s="100"/>
      <c r="H525" s="69" t="s">
        <v>948</v>
      </c>
      <c r="I525" s="70"/>
      <c r="J525" s="104" t="s">
        <v>159</v>
      </c>
      <c r="K525" s="69" t="s">
        <v>948</v>
      </c>
      <c r="L525" s="105">
        <v>1</v>
      </c>
      <c r="M525" s="74">
        <v>5924.23291015625</v>
      </c>
      <c r="N525" s="74">
        <v>2596.887939453125</v>
      </c>
      <c r="O525" s="75"/>
      <c r="P525" s="76"/>
      <c r="Q525" s="76"/>
      <c r="R525" s="106"/>
      <c r="S525" s="48">
        <v>1</v>
      </c>
      <c r="T525" s="48">
        <v>0</v>
      </c>
      <c r="U525" s="49">
        <v>0</v>
      </c>
      <c r="V525" s="49">
        <v>0.01714</v>
      </c>
      <c r="W525" s="107"/>
      <c r="X525" s="50"/>
      <c r="Y525" s="50"/>
      <c r="Z525" s="49">
        <v>0</v>
      </c>
      <c r="AA525" s="71">
        <v>525</v>
      </c>
      <c r="AB525" s="71"/>
      <c r="AC525" s="72"/>
      <c r="AD525" s="79" t="s">
        <v>948</v>
      </c>
      <c r="AE525" s="79" t="s">
        <v>1239</v>
      </c>
      <c r="AF525" s="79" t="s">
        <v>1432</v>
      </c>
      <c r="AG525" s="79" t="s">
        <v>1566</v>
      </c>
      <c r="AH525" s="79" t="s">
        <v>2005</v>
      </c>
      <c r="AI525" s="79">
        <v>604</v>
      </c>
      <c r="AJ525" s="79">
        <v>0</v>
      </c>
      <c r="AK525" s="79">
        <v>0</v>
      </c>
      <c r="AL525" s="79">
        <v>0</v>
      </c>
      <c r="AM525" s="79" t="s">
        <v>2092</v>
      </c>
      <c r="AN525" s="114" t="str">
        <f>HYPERLINK("https://www.youtube.com/watch?v=Rsa8cKNzl9o")</f>
        <v>https://www.youtube.com/watch?v=Rsa8cKNzl9o</v>
      </c>
      <c r="AO525" s="78" t="str">
        <f>REPLACE(INDEX(GroupVertices[Group],MATCH(Vertices[[#This Row],[Vertex]],GroupVertices[Vertex],0)),1,1,"")</f>
        <v>ourAlberta</v>
      </c>
      <c r="AP525" s="2"/>
      <c r="AQ525" s="3"/>
      <c r="AR525" s="3"/>
      <c r="AS525" s="3"/>
      <c r="AT525" s="3"/>
    </row>
    <row r="526" spans="1:46" ht="15">
      <c r="A526" s="64" t="s">
        <v>527</v>
      </c>
      <c r="B526" s="65"/>
      <c r="C526" s="65"/>
      <c r="D526" s="66">
        <v>150</v>
      </c>
      <c r="E526" s="102">
        <v>97.85714285714286</v>
      </c>
      <c r="F526" s="98" t="str">
        <f>HYPERLINK("https://i.ytimg.com/vi/UU94N2yi294/default.jpg")</f>
        <v>https://i.ytimg.com/vi/UU94N2yi294/default.jpg</v>
      </c>
      <c r="G526" s="100"/>
      <c r="H526" s="69" t="s">
        <v>949</v>
      </c>
      <c r="I526" s="70"/>
      <c r="J526" s="104" t="s">
        <v>159</v>
      </c>
      <c r="K526" s="69" t="s">
        <v>949</v>
      </c>
      <c r="L526" s="105">
        <v>1</v>
      </c>
      <c r="M526" s="74">
        <v>4631.3974609375</v>
      </c>
      <c r="N526" s="74">
        <v>2655.18505859375</v>
      </c>
      <c r="O526" s="75"/>
      <c r="P526" s="76"/>
      <c r="Q526" s="76"/>
      <c r="R526" s="106"/>
      <c r="S526" s="48">
        <v>1</v>
      </c>
      <c r="T526" s="48">
        <v>0</v>
      </c>
      <c r="U526" s="49">
        <v>0</v>
      </c>
      <c r="V526" s="49">
        <v>0.01714</v>
      </c>
      <c r="W526" s="107"/>
      <c r="X526" s="50"/>
      <c r="Y526" s="50"/>
      <c r="Z526" s="49">
        <v>0</v>
      </c>
      <c r="AA526" s="71">
        <v>526</v>
      </c>
      <c r="AB526" s="71"/>
      <c r="AC526" s="72"/>
      <c r="AD526" s="79" t="s">
        <v>949</v>
      </c>
      <c r="AE526" s="79"/>
      <c r="AF526" s="79"/>
      <c r="AG526" s="79" t="s">
        <v>1666</v>
      </c>
      <c r="AH526" s="79" t="s">
        <v>2006</v>
      </c>
      <c r="AI526" s="79">
        <v>51418</v>
      </c>
      <c r="AJ526" s="79">
        <v>24</v>
      </c>
      <c r="AK526" s="79">
        <v>257</v>
      </c>
      <c r="AL526" s="79">
        <v>0</v>
      </c>
      <c r="AM526" s="79" t="s">
        <v>2092</v>
      </c>
      <c r="AN526" s="114" t="str">
        <f>HYPERLINK("https://www.youtube.com/watch?v=UU94N2yi294")</f>
        <v>https://www.youtube.com/watch?v=UU94N2yi294</v>
      </c>
      <c r="AO526" s="78" t="str">
        <f>REPLACE(INDEX(GroupVertices[Group],MATCH(Vertices[[#This Row],[Vertex]],GroupVertices[Vertex],0)),1,1,"")</f>
        <v>enchmark Human Services</v>
      </c>
      <c r="AP526" s="2"/>
      <c r="AQ526" s="3"/>
      <c r="AR526" s="3"/>
      <c r="AS526" s="3"/>
      <c r="AT526" s="3"/>
    </row>
    <row r="527" spans="1:46" ht="15">
      <c r="A527" s="64" t="s">
        <v>528</v>
      </c>
      <c r="B527" s="65"/>
      <c r="C527" s="65"/>
      <c r="D527" s="66">
        <v>150</v>
      </c>
      <c r="E527" s="102">
        <v>97.85714285714286</v>
      </c>
      <c r="F527" s="98" t="str">
        <f>HYPERLINK("https://i.ytimg.com/vi/c3nd_bW9N6E/default.jpg")</f>
        <v>https://i.ytimg.com/vi/c3nd_bW9N6E/default.jpg</v>
      </c>
      <c r="G527" s="100"/>
      <c r="H527" s="69" t="s">
        <v>950</v>
      </c>
      <c r="I527" s="70"/>
      <c r="J527" s="104" t="s">
        <v>159</v>
      </c>
      <c r="K527" s="69" t="s">
        <v>950</v>
      </c>
      <c r="L527" s="105">
        <v>1</v>
      </c>
      <c r="M527" s="74">
        <v>5788.4755859375</v>
      </c>
      <c r="N527" s="74">
        <v>3385.25927734375</v>
      </c>
      <c r="O527" s="75"/>
      <c r="P527" s="76"/>
      <c r="Q527" s="76"/>
      <c r="R527" s="106"/>
      <c r="S527" s="48">
        <v>1</v>
      </c>
      <c r="T527" s="48">
        <v>0</v>
      </c>
      <c r="U527" s="49">
        <v>0</v>
      </c>
      <c r="V527" s="49">
        <v>0.01714</v>
      </c>
      <c r="W527" s="107"/>
      <c r="X527" s="50"/>
      <c r="Y527" s="50"/>
      <c r="Z527" s="49">
        <v>0</v>
      </c>
      <c r="AA527" s="71">
        <v>527</v>
      </c>
      <c r="AB527" s="71"/>
      <c r="AC527" s="72"/>
      <c r="AD527" s="79" t="s">
        <v>950</v>
      </c>
      <c r="AE527" s="79" t="s">
        <v>1240</v>
      </c>
      <c r="AF527" s="79" t="s">
        <v>1439</v>
      </c>
      <c r="AG527" s="79" t="s">
        <v>1566</v>
      </c>
      <c r="AH527" s="79" t="s">
        <v>2007</v>
      </c>
      <c r="AI527" s="79">
        <v>292</v>
      </c>
      <c r="AJ527" s="79">
        <v>0</v>
      </c>
      <c r="AK527" s="79">
        <v>2</v>
      </c>
      <c r="AL527" s="79">
        <v>0</v>
      </c>
      <c r="AM527" s="79" t="s">
        <v>2092</v>
      </c>
      <c r="AN527" s="114" t="str">
        <f>HYPERLINK("https://www.youtube.com/watch?v=c3nd_bW9N6E")</f>
        <v>https://www.youtube.com/watch?v=c3nd_bW9N6E</v>
      </c>
      <c r="AO527" s="78" t="str">
        <f>REPLACE(INDEX(GroupVertices[Group],MATCH(Vertices[[#This Row],[Vertex]],GroupVertices[Vertex],0)),1,1,"")</f>
        <v>ourAlberta</v>
      </c>
      <c r="AP527" s="2"/>
      <c r="AQ527" s="3"/>
      <c r="AR527" s="3"/>
      <c r="AS527" s="3"/>
      <c r="AT527" s="3"/>
    </row>
    <row r="528" spans="1:46" ht="15">
      <c r="A528" s="64" t="s">
        <v>2359</v>
      </c>
      <c r="B528" s="65"/>
      <c r="C528" s="65"/>
      <c r="D528" s="66">
        <v>150</v>
      </c>
      <c r="E528" s="102">
        <v>97.85714285714286</v>
      </c>
      <c r="F528" s="98" t="str">
        <f>HYPERLINK("https://i.ytimg.com/vi/bBvxqwThdFw/default.jpg")</f>
        <v>https://i.ytimg.com/vi/bBvxqwThdFw/default.jpg</v>
      </c>
      <c r="G528" s="100"/>
      <c r="H528" s="69" t="s">
        <v>2836</v>
      </c>
      <c r="I528" s="70"/>
      <c r="J528" s="104" t="s">
        <v>159</v>
      </c>
      <c r="K528" s="69" t="s">
        <v>2836</v>
      </c>
      <c r="L528" s="105">
        <v>1</v>
      </c>
      <c r="M528" s="74">
        <v>4631.3974609375</v>
      </c>
      <c r="N528" s="74">
        <v>6402.50244140625</v>
      </c>
      <c r="O528" s="75"/>
      <c r="P528" s="76"/>
      <c r="Q528" s="76"/>
      <c r="R528" s="106"/>
      <c r="S528" s="48">
        <v>1</v>
      </c>
      <c r="T528" s="48">
        <v>0</v>
      </c>
      <c r="U528" s="49">
        <v>0</v>
      </c>
      <c r="V528" s="49">
        <v>0.167959</v>
      </c>
      <c r="W528" s="107"/>
      <c r="X528" s="50"/>
      <c r="Y528" s="50"/>
      <c r="Z528" s="49">
        <v>0</v>
      </c>
      <c r="AA528" s="71">
        <v>528</v>
      </c>
      <c r="AB528" s="71"/>
      <c r="AC528" s="72"/>
      <c r="AD528" s="79" t="s">
        <v>2836</v>
      </c>
      <c r="AE528" s="79" t="s">
        <v>3286</v>
      </c>
      <c r="AF528" s="79" t="s">
        <v>3599</v>
      </c>
      <c r="AG528" s="79" t="s">
        <v>3828</v>
      </c>
      <c r="AH528" s="79" t="s">
        <v>4201</v>
      </c>
      <c r="AI528" s="79">
        <v>14</v>
      </c>
      <c r="AJ528" s="79">
        <v>0</v>
      </c>
      <c r="AK528" s="79">
        <v>0</v>
      </c>
      <c r="AL528" s="79">
        <v>0</v>
      </c>
      <c r="AM528" s="79" t="s">
        <v>2092</v>
      </c>
      <c r="AN528" s="114" t="str">
        <f>HYPERLINK("https://www.youtube.com/watch?v=bBvxqwThdFw")</f>
        <v>https://www.youtube.com/watch?v=bBvxqwThdFw</v>
      </c>
      <c r="AO528" s="78" t="str">
        <f>REPLACE(INDEX(GroupVertices[Group],MATCH(Vertices[[#This Row],[Vertex]],GroupVertices[Vertex],0)),1,1,"")</f>
        <v>lu_ism</v>
      </c>
      <c r="AP528" s="2"/>
      <c r="AQ528" s="3"/>
      <c r="AR528" s="3"/>
      <c r="AS528" s="3"/>
      <c r="AT528" s="3"/>
    </row>
    <row r="529" spans="1:46" ht="15">
      <c r="A529" s="64" t="s">
        <v>2360</v>
      </c>
      <c r="B529" s="65"/>
      <c r="C529" s="65"/>
      <c r="D529" s="66">
        <v>150</v>
      </c>
      <c r="E529" s="102">
        <v>97.85714285714286</v>
      </c>
      <c r="F529" s="98" t="str">
        <f>HYPERLINK("https://i.ytimg.com/vi/iOSiFfGDAwY/default.jpg")</f>
        <v>https://i.ytimg.com/vi/iOSiFfGDAwY/default.jpg</v>
      </c>
      <c r="G529" s="100"/>
      <c r="H529" s="69" t="s">
        <v>2837</v>
      </c>
      <c r="I529" s="70"/>
      <c r="J529" s="104" t="s">
        <v>159</v>
      </c>
      <c r="K529" s="69" t="s">
        <v>2837</v>
      </c>
      <c r="L529" s="105">
        <v>1</v>
      </c>
      <c r="M529" s="74">
        <v>5724.8642578125</v>
      </c>
      <c r="N529" s="74">
        <v>5386.95751953125</v>
      </c>
      <c r="O529" s="75"/>
      <c r="P529" s="76"/>
      <c r="Q529" s="76"/>
      <c r="R529" s="106"/>
      <c r="S529" s="48">
        <v>1</v>
      </c>
      <c r="T529" s="48">
        <v>0</v>
      </c>
      <c r="U529" s="49">
        <v>0</v>
      </c>
      <c r="V529" s="49">
        <v>0.167959</v>
      </c>
      <c r="W529" s="107"/>
      <c r="X529" s="50"/>
      <c r="Y529" s="50"/>
      <c r="Z529" s="49">
        <v>0</v>
      </c>
      <c r="AA529" s="71">
        <v>529</v>
      </c>
      <c r="AB529" s="71"/>
      <c r="AC529" s="72"/>
      <c r="AD529" s="79" t="s">
        <v>2837</v>
      </c>
      <c r="AE529" s="79"/>
      <c r="AF529" s="79"/>
      <c r="AG529" s="79" t="s">
        <v>3829</v>
      </c>
      <c r="AH529" s="79" t="s">
        <v>4202</v>
      </c>
      <c r="AI529" s="79">
        <v>10</v>
      </c>
      <c r="AJ529" s="79">
        <v>0</v>
      </c>
      <c r="AK529" s="79">
        <v>1</v>
      </c>
      <c r="AL529" s="79">
        <v>0</v>
      </c>
      <c r="AM529" s="79" t="s">
        <v>2092</v>
      </c>
      <c r="AN529" s="114" t="str">
        <f>HYPERLINK("https://www.youtube.com/watch?v=iOSiFfGDAwY")</f>
        <v>https://www.youtube.com/watch?v=iOSiFfGDAwY</v>
      </c>
      <c r="AO529" s="78" t="str">
        <f>REPLACE(INDEX(GroupVertices[Group],MATCH(Vertices[[#This Row],[Vertex]],GroupVertices[Vertex],0)),1,1,"")</f>
        <v>ood Technology4702</v>
      </c>
      <c r="AP529" s="2"/>
      <c r="AQ529" s="3"/>
      <c r="AR529" s="3"/>
      <c r="AS529" s="3"/>
      <c r="AT529" s="3"/>
    </row>
    <row r="530" spans="1:46" ht="15">
      <c r="A530" s="64" t="s">
        <v>2361</v>
      </c>
      <c r="B530" s="65"/>
      <c r="C530" s="65"/>
      <c r="D530" s="66">
        <v>150</v>
      </c>
      <c r="E530" s="102">
        <v>97.85714285714286</v>
      </c>
      <c r="F530" s="98" t="str">
        <f>HYPERLINK("https://i.ytimg.com/vi/tmFsYA5IeEM/default.jpg")</f>
        <v>https://i.ytimg.com/vi/tmFsYA5IeEM/default.jpg</v>
      </c>
      <c r="G530" s="100"/>
      <c r="H530" s="69" t="s">
        <v>2838</v>
      </c>
      <c r="I530" s="70"/>
      <c r="J530" s="104" t="s">
        <v>159</v>
      </c>
      <c r="K530" s="69" t="s">
        <v>2838</v>
      </c>
      <c r="L530" s="105">
        <v>1</v>
      </c>
      <c r="M530" s="74">
        <v>4915.17431640625</v>
      </c>
      <c r="N530" s="74">
        <v>5650.62646484375</v>
      </c>
      <c r="O530" s="75"/>
      <c r="P530" s="76"/>
      <c r="Q530" s="76"/>
      <c r="R530" s="106"/>
      <c r="S530" s="48">
        <v>1</v>
      </c>
      <c r="T530" s="48">
        <v>0</v>
      </c>
      <c r="U530" s="49">
        <v>0</v>
      </c>
      <c r="V530" s="49">
        <v>0.167959</v>
      </c>
      <c r="W530" s="107"/>
      <c r="X530" s="50"/>
      <c r="Y530" s="50"/>
      <c r="Z530" s="49">
        <v>0</v>
      </c>
      <c r="AA530" s="71">
        <v>530</v>
      </c>
      <c r="AB530" s="71"/>
      <c r="AC530" s="72"/>
      <c r="AD530" s="79" t="s">
        <v>2838</v>
      </c>
      <c r="AE530" s="79"/>
      <c r="AF530" s="79"/>
      <c r="AG530" s="79" t="s">
        <v>3830</v>
      </c>
      <c r="AH530" s="79" t="s">
        <v>4203</v>
      </c>
      <c r="AI530" s="79">
        <v>33</v>
      </c>
      <c r="AJ530" s="79">
        <v>0</v>
      </c>
      <c r="AK530" s="79">
        <v>6</v>
      </c>
      <c r="AL530" s="79">
        <v>0</v>
      </c>
      <c r="AM530" s="79" t="s">
        <v>2092</v>
      </c>
      <c r="AN530" s="114" t="str">
        <f>HYPERLINK("https://www.youtube.com/watch?v=tmFsYA5IeEM")</f>
        <v>https://www.youtube.com/watch?v=tmFsYA5IeEM</v>
      </c>
      <c r="AO530" s="78" t="str">
        <f>REPLACE(INDEX(GroupVertices[Group],MATCH(Vertices[[#This Row],[Vertex]],GroupVertices[Vertex],0)),1,1,"")</f>
        <v>iology Explorer</v>
      </c>
      <c r="AP530" s="2"/>
      <c r="AQ530" s="3"/>
      <c r="AR530" s="3"/>
      <c r="AS530" s="3"/>
      <c r="AT530" s="3"/>
    </row>
    <row r="531" spans="1:46" ht="15">
      <c r="A531" s="64" t="s">
        <v>2362</v>
      </c>
      <c r="B531" s="65"/>
      <c r="C531" s="65"/>
      <c r="D531" s="66">
        <v>150</v>
      </c>
      <c r="E531" s="102">
        <v>97.85714285714286</v>
      </c>
      <c r="F531" s="98" t="str">
        <f>HYPERLINK("https://i.ytimg.com/vi/lf1zIeDPssk/default.jpg")</f>
        <v>https://i.ytimg.com/vi/lf1zIeDPssk/default.jpg</v>
      </c>
      <c r="G531" s="100"/>
      <c r="H531" s="69" t="s">
        <v>2839</v>
      </c>
      <c r="I531" s="70"/>
      <c r="J531" s="104" t="s">
        <v>159</v>
      </c>
      <c r="K531" s="69" t="s">
        <v>2839</v>
      </c>
      <c r="L531" s="105">
        <v>1</v>
      </c>
      <c r="M531" s="74">
        <v>4953.1904296875</v>
      </c>
      <c r="N531" s="74">
        <v>6032.61572265625</v>
      </c>
      <c r="O531" s="75"/>
      <c r="P531" s="76"/>
      <c r="Q531" s="76"/>
      <c r="R531" s="106"/>
      <c r="S531" s="48">
        <v>1</v>
      </c>
      <c r="T531" s="48">
        <v>0</v>
      </c>
      <c r="U531" s="49">
        <v>0</v>
      </c>
      <c r="V531" s="49">
        <v>0.167959</v>
      </c>
      <c r="W531" s="107"/>
      <c r="X531" s="50"/>
      <c r="Y531" s="50"/>
      <c r="Z531" s="49">
        <v>0</v>
      </c>
      <c r="AA531" s="71">
        <v>531</v>
      </c>
      <c r="AB531" s="71"/>
      <c r="AC531" s="72"/>
      <c r="AD531" s="79" t="s">
        <v>2839</v>
      </c>
      <c r="AE531" s="79" t="s">
        <v>3287</v>
      </c>
      <c r="AF531" s="79"/>
      <c r="AG531" s="79" t="s">
        <v>3831</v>
      </c>
      <c r="AH531" s="79" t="s">
        <v>4204</v>
      </c>
      <c r="AI531" s="79">
        <v>65</v>
      </c>
      <c r="AJ531" s="79">
        <v>1</v>
      </c>
      <c r="AK531" s="79">
        <v>12</v>
      </c>
      <c r="AL531" s="79">
        <v>0</v>
      </c>
      <c r="AM531" s="79" t="s">
        <v>2092</v>
      </c>
      <c r="AN531" s="114" t="str">
        <f>HYPERLINK("https://www.youtube.com/watch?v=lf1zIeDPssk")</f>
        <v>https://www.youtube.com/watch?v=lf1zIeDPssk</v>
      </c>
      <c r="AO531" s="78" t="str">
        <f>REPLACE(INDEX(GroupVertices[Group],MATCH(Vertices[[#This Row],[Vertex]],GroupVertices[Vertex],0)),1,1,"")</f>
        <v>ftikhar Biology Academy</v>
      </c>
      <c r="AP531" s="2"/>
      <c r="AQ531" s="3"/>
      <c r="AR531" s="3"/>
      <c r="AS531" s="3"/>
      <c r="AT531" s="3"/>
    </row>
    <row r="532" spans="1:46" ht="15">
      <c r="A532" s="64" t="s">
        <v>2363</v>
      </c>
      <c r="B532" s="65"/>
      <c r="C532" s="65"/>
      <c r="D532" s="66">
        <v>150</v>
      </c>
      <c r="E532" s="102">
        <v>97.85714285714286</v>
      </c>
      <c r="F532" s="98" t="str">
        <f>HYPERLINK("https://i.ytimg.com/vi/Y-zLRhlJsfA/default.jpg")</f>
        <v>https://i.ytimg.com/vi/Y-zLRhlJsfA/default.jpg</v>
      </c>
      <c r="G532" s="100"/>
      <c r="H532" s="69" t="s">
        <v>2840</v>
      </c>
      <c r="I532" s="70"/>
      <c r="J532" s="104" t="s">
        <v>159</v>
      </c>
      <c r="K532" s="69" t="s">
        <v>2840</v>
      </c>
      <c r="L532" s="105">
        <v>1</v>
      </c>
      <c r="M532" s="74">
        <v>5518.02685546875</v>
      </c>
      <c r="N532" s="74">
        <v>5358.65966796875</v>
      </c>
      <c r="O532" s="75"/>
      <c r="P532" s="76"/>
      <c r="Q532" s="76"/>
      <c r="R532" s="106"/>
      <c r="S532" s="48">
        <v>1</v>
      </c>
      <c r="T532" s="48">
        <v>0</v>
      </c>
      <c r="U532" s="49">
        <v>0</v>
      </c>
      <c r="V532" s="49">
        <v>0.167959</v>
      </c>
      <c r="W532" s="107"/>
      <c r="X532" s="50"/>
      <c r="Y532" s="50"/>
      <c r="Z532" s="49">
        <v>0</v>
      </c>
      <c r="AA532" s="71">
        <v>532</v>
      </c>
      <c r="AB532" s="71"/>
      <c r="AC532" s="72"/>
      <c r="AD532" s="79" t="s">
        <v>2840</v>
      </c>
      <c r="AE532" s="79" t="s">
        <v>3288</v>
      </c>
      <c r="AF532" s="79"/>
      <c r="AG532" s="79" t="s">
        <v>3831</v>
      </c>
      <c r="AH532" s="79" t="s">
        <v>4205</v>
      </c>
      <c r="AI532" s="79">
        <v>23</v>
      </c>
      <c r="AJ532" s="79">
        <v>2</v>
      </c>
      <c r="AK532" s="79">
        <v>7</v>
      </c>
      <c r="AL532" s="79">
        <v>0</v>
      </c>
      <c r="AM532" s="79" t="s">
        <v>2092</v>
      </c>
      <c r="AN532" s="114" t="str">
        <f>HYPERLINK("https://www.youtube.com/watch?v=Y-zLRhlJsfA")</f>
        <v>https://www.youtube.com/watch?v=Y-zLRhlJsfA</v>
      </c>
      <c r="AO532" s="78" t="str">
        <f>REPLACE(INDEX(GroupVertices[Group],MATCH(Vertices[[#This Row],[Vertex]],GroupVertices[Vertex],0)),1,1,"")</f>
        <v>ftikhar Biology Academy</v>
      </c>
      <c r="AP532" s="2"/>
      <c r="AQ532" s="3"/>
      <c r="AR532" s="3"/>
      <c r="AS532" s="3"/>
      <c r="AT532" s="3"/>
    </row>
    <row r="533" spans="1:46" ht="15">
      <c r="A533" s="64" t="s">
        <v>2364</v>
      </c>
      <c r="B533" s="65"/>
      <c r="C533" s="65"/>
      <c r="D533" s="66">
        <v>150</v>
      </c>
      <c r="E533" s="102">
        <v>97.85714285714286</v>
      </c>
      <c r="F533" s="98" t="str">
        <f>HYPERLINK("https://i.ytimg.com/vi/UW15ENEcNcE/default.jpg")</f>
        <v>https://i.ytimg.com/vi/UW15ENEcNcE/default.jpg</v>
      </c>
      <c r="G533" s="100"/>
      <c r="H533" s="69" t="s">
        <v>2125</v>
      </c>
      <c r="I533" s="70"/>
      <c r="J533" s="104" t="s">
        <v>159</v>
      </c>
      <c r="K533" s="69" t="s">
        <v>2125</v>
      </c>
      <c r="L533" s="105">
        <v>1</v>
      </c>
      <c r="M533" s="74">
        <v>6324.8310546875</v>
      </c>
      <c r="N533" s="74">
        <v>5886.599609375</v>
      </c>
      <c r="O533" s="75"/>
      <c r="P533" s="76"/>
      <c r="Q533" s="76"/>
      <c r="R533" s="106"/>
      <c r="S533" s="48">
        <v>1</v>
      </c>
      <c r="T533" s="48">
        <v>0</v>
      </c>
      <c r="U533" s="49">
        <v>0</v>
      </c>
      <c r="V533" s="49">
        <v>0.167959</v>
      </c>
      <c r="W533" s="107"/>
      <c r="X533" s="50"/>
      <c r="Y533" s="50"/>
      <c r="Z533" s="49">
        <v>0</v>
      </c>
      <c r="AA533" s="71">
        <v>533</v>
      </c>
      <c r="AB533" s="71"/>
      <c r="AC533" s="72"/>
      <c r="AD533" s="112">
        <v>45059</v>
      </c>
      <c r="AE533" s="79"/>
      <c r="AF533" s="79"/>
      <c r="AG533" s="79" t="s">
        <v>3832</v>
      </c>
      <c r="AH533" s="79" t="s">
        <v>4206</v>
      </c>
      <c r="AI533" s="79">
        <v>1</v>
      </c>
      <c r="AJ533" s="79">
        <v>0</v>
      </c>
      <c r="AK533" s="79">
        <v>0</v>
      </c>
      <c r="AL533" s="79">
        <v>0</v>
      </c>
      <c r="AM533" s="79" t="s">
        <v>2092</v>
      </c>
      <c r="AN533" s="114" t="str">
        <f>HYPERLINK("https://www.youtube.com/watch?v=UW15ENEcNcE")</f>
        <v>https://www.youtube.com/watch?v=UW15ENEcNcE</v>
      </c>
      <c r="AO533" s="78" t="str">
        <f>REPLACE(INDEX(GroupVertices[Group],MATCH(Vertices[[#This Row],[Vertex]],GroupVertices[Vertex],0)),1,1,"")</f>
        <v>ozyll faye Casipe</v>
      </c>
      <c r="AP533" s="2"/>
      <c r="AQ533" s="3"/>
      <c r="AR533" s="3"/>
      <c r="AS533" s="3"/>
      <c r="AT533" s="3"/>
    </row>
    <row r="534" spans="1:46" ht="15">
      <c r="A534" s="64" t="s">
        <v>2365</v>
      </c>
      <c r="B534" s="65"/>
      <c r="C534" s="65"/>
      <c r="D534" s="66">
        <v>150</v>
      </c>
      <c r="E534" s="102">
        <v>97.85714285714286</v>
      </c>
      <c r="F534" s="98" t="str">
        <f>HYPERLINK("https://i.ytimg.com/vi/yy6MsY5VOQA/default.jpg")</f>
        <v>https://i.ytimg.com/vi/yy6MsY5VOQA/default.jpg</v>
      </c>
      <c r="G534" s="100"/>
      <c r="H534" s="69" t="s">
        <v>2841</v>
      </c>
      <c r="I534" s="70"/>
      <c r="J534" s="104" t="s">
        <v>159</v>
      </c>
      <c r="K534" s="69" t="s">
        <v>2841</v>
      </c>
      <c r="L534" s="105">
        <v>1</v>
      </c>
      <c r="M534" s="74">
        <v>4787.751953125</v>
      </c>
      <c r="N534" s="74">
        <v>6585.07177734375</v>
      </c>
      <c r="O534" s="75"/>
      <c r="P534" s="76"/>
      <c r="Q534" s="76"/>
      <c r="R534" s="106"/>
      <c r="S534" s="48">
        <v>1</v>
      </c>
      <c r="T534" s="48">
        <v>0</v>
      </c>
      <c r="U534" s="49">
        <v>0</v>
      </c>
      <c r="V534" s="49">
        <v>0.167959</v>
      </c>
      <c r="W534" s="107"/>
      <c r="X534" s="50"/>
      <c r="Y534" s="50"/>
      <c r="Z534" s="49">
        <v>0</v>
      </c>
      <c r="AA534" s="71">
        <v>534</v>
      </c>
      <c r="AB534" s="71"/>
      <c r="AC534" s="72"/>
      <c r="AD534" s="79" t="s">
        <v>2841</v>
      </c>
      <c r="AE534" s="79"/>
      <c r="AF534" s="79"/>
      <c r="AG534" s="79" t="s">
        <v>3830</v>
      </c>
      <c r="AH534" s="79" t="s">
        <v>4207</v>
      </c>
      <c r="AI534" s="79">
        <v>46</v>
      </c>
      <c r="AJ534" s="79">
        <v>0</v>
      </c>
      <c r="AK534" s="79">
        <v>8</v>
      </c>
      <c r="AL534" s="79">
        <v>0</v>
      </c>
      <c r="AM534" s="79" t="s">
        <v>2092</v>
      </c>
      <c r="AN534" s="114" t="str">
        <f>HYPERLINK("https://www.youtube.com/watch?v=yy6MsY5VOQA")</f>
        <v>https://www.youtube.com/watch?v=yy6MsY5VOQA</v>
      </c>
      <c r="AO534" s="78" t="str">
        <f>REPLACE(INDEX(GroupVertices[Group],MATCH(Vertices[[#This Row],[Vertex]],GroupVertices[Vertex],0)),1,1,"")</f>
        <v>iology Explorer</v>
      </c>
      <c r="AP534" s="2"/>
      <c r="AQ534" s="3"/>
      <c r="AR534" s="3"/>
      <c r="AS534" s="3"/>
      <c r="AT534" s="3"/>
    </row>
    <row r="535" spans="1:46" ht="15">
      <c r="A535" s="64" t="s">
        <v>2366</v>
      </c>
      <c r="B535" s="65"/>
      <c r="C535" s="65"/>
      <c r="D535" s="66">
        <v>150</v>
      </c>
      <c r="E535" s="102">
        <v>97.85714285714286</v>
      </c>
      <c r="F535" s="98" t="str">
        <f>HYPERLINK("https://i.ytimg.com/vi/FIGN5qVdY0E/default.jpg")</f>
        <v>https://i.ytimg.com/vi/FIGN5qVdY0E/default.jpg</v>
      </c>
      <c r="G535" s="100"/>
      <c r="H535" s="69" t="s">
        <v>2842</v>
      </c>
      <c r="I535" s="70"/>
      <c r="J535" s="104" t="s">
        <v>159</v>
      </c>
      <c r="K535" s="69" t="s">
        <v>2842</v>
      </c>
      <c r="L535" s="105">
        <v>1</v>
      </c>
      <c r="M535" s="74">
        <v>5791.416015625</v>
      </c>
      <c r="N535" s="74">
        <v>6857.392578125</v>
      </c>
      <c r="O535" s="75"/>
      <c r="P535" s="76"/>
      <c r="Q535" s="76"/>
      <c r="R535" s="106"/>
      <c r="S535" s="48">
        <v>1</v>
      </c>
      <c r="T535" s="48">
        <v>0</v>
      </c>
      <c r="U535" s="49">
        <v>0</v>
      </c>
      <c r="V535" s="49">
        <v>0.167959</v>
      </c>
      <c r="W535" s="107"/>
      <c r="X535" s="50"/>
      <c r="Y535" s="50"/>
      <c r="Z535" s="49">
        <v>0</v>
      </c>
      <c r="AA535" s="71">
        <v>535</v>
      </c>
      <c r="AB535" s="71"/>
      <c r="AC535" s="72"/>
      <c r="AD535" s="79" t="s">
        <v>2842</v>
      </c>
      <c r="AE535" s="79"/>
      <c r="AF535" s="79"/>
      <c r="AG535" s="79" t="s">
        <v>3829</v>
      </c>
      <c r="AH535" s="79" t="s">
        <v>4208</v>
      </c>
      <c r="AI535" s="79">
        <v>4</v>
      </c>
      <c r="AJ535" s="79">
        <v>0</v>
      </c>
      <c r="AK535" s="79">
        <v>1</v>
      </c>
      <c r="AL535" s="79">
        <v>0</v>
      </c>
      <c r="AM535" s="79" t="s">
        <v>2092</v>
      </c>
      <c r="AN535" s="114" t="str">
        <f>HYPERLINK("https://www.youtube.com/watch?v=FIGN5qVdY0E")</f>
        <v>https://www.youtube.com/watch?v=FIGN5qVdY0E</v>
      </c>
      <c r="AO535" s="78" t="str">
        <f>REPLACE(INDEX(GroupVertices[Group],MATCH(Vertices[[#This Row],[Vertex]],GroupVertices[Vertex],0)),1,1,"")</f>
        <v>ood Technology4702</v>
      </c>
      <c r="AP535" s="2"/>
      <c r="AQ535" s="3"/>
      <c r="AR535" s="3"/>
      <c r="AS535" s="3"/>
      <c r="AT535" s="3"/>
    </row>
    <row r="536" spans="1:46" ht="15">
      <c r="A536" s="64" t="s">
        <v>2367</v>
      </c>
      <c r="B536" s="65"/>
      <c r="C536" s="65"/>
      <c r="D536" s="66">
        <v>150</v>
      </c>
      <c r="E536" s="102">
        <v>97.85714285714286</v>
      </c>
      <c r="F536" s="98" t="str">
        <f>HYPERLINK("https://i.ytimg.com/vi/Z9UlVHkAHdw/default.jpg")</f>
        <v>https://i.ytimg.com/vi/Z9UlVHkAHdw/default.jpg</v>
      </c>
      <c r="G536" s="100"/>
      <c r="H536" s="69" t="s">
        <v>2843</v>
      </c>
      <c r="I536" s="70"/>
      <c r="J536" s="104" t="s">
        <v>159</v>
      </c>
      <c r="K536" s="69" t="s">
        <v>2843</v>
      </c>
      <c r="L536" s="105">
        <v>1</v>
      </c>
      <c r="M536" s="74">
        <v>5124.65771484375</v>
      </c>
      <c r="N536" s="74">
        <v>6931.3017578125</v>
      </c>
      <c r="O536" s="75"/>
      <c r="P536" s="76"/>
      <c r="Q536" s="76"/>
      <c r="R536" s="106"/>
      <c r="S536" s="48">
        <v>1</v>
      </c>
      <c r="T536" s="48">
        <v>0</v>
      </c>
      <c r="U536" s="49">
        <v>0</v>
      </c>
      <c r="V536" s="49">
        <v>0.167959</v>
      </c>
      <c r="W536" s="107"/>
      <c r="X536" s="50"/>
      <c r="Y536" s="50"/>
      <c r="Z536" s="49">
        <v>0</v>
      </c>
      <c r="AA536" s="71">
        <v>536</v>
      </c>
      <c r="AB536" s="71"/>
      <c r="AC536" s="72"/>
      <c r="AD536" s="79" t="s">
        <v>2843</v>
      </c>
      <c r="AE536" s="79" t="s">
        <v>3289</v>
      </c>
      <c r="AF536" s="79"/>
      <c r="AG536" s="79" t="s">
        <v>3833</v>
      </c>
      <c r="AH536" s="79" t="s">
        <v>4209</v>
      </c>
      <c r="AI536" s="79">
        <v>0</v>
      </c>
      <c r="AJ536" s="79">
        <v>0</v>
      </c>
      <c r="AK536" s="79">
        <v>0</v>
      </c>
      <c r="AL536" s="79">
        <v>0</v>
      </c>
      <c r="AM536" s="79" t="s">
        <v>2092</v>
      </c>
      <c r="AN536" s="114" t="str">
        <f>HYPERLINK("https://www.youtube.com/watch?v=Z9UlVHkAHdw")</f>
        <v>https://www.youtube.com/watch?v=Z9UlVHkAHdw</v>
      </c>
      <c r="AO536" s="78" t="str">
        <f>REPLACE(INDEX(GroupVertices[Group],MATCH(Vertices[[#This Row],[Vertex]],GroupVertices[Vertex],0)),1,1,"")</f>
        <v>harmacy Hub</v>
      </c>
      <c r="AP536" s="2"/>
      <c r="AQ536" s="3"/>
      <c r="AR536" s="3"/>
      <c r="AS536" s="3"/>
      <c r="AT536" s="3"/>
    </row>
    <row r="537" spans="1:46" ht="15">
      <c r="A537" s="64" t="s">
        <v>2368</v>
      </c>
      <c r="B537" s="65"/>
      <c r="C537" s="65"/>
      <c r="D537" s="66">
        <v>150</v>
      </c>
      <c r="E537" s="102">
        <v>97.85714285714286</v>
      </c>
      <c r="F537" s="98" t="str">
        <f>HYPERLINK("https://i.ytimg.com/vi/9-UiwfiAwuA/default.jpg")</f>
        <v>https://i.ytimg.com/vi/9-UiwfiAwuA/default.jpg</v>
      </c>
      <c r="G537" s="100"/>
      <c r="H537" s="69" t="s">
        <v>2844</v>
      </c>
      <c r="I537" s="70"/>
      <c r="J537" s="104" t="s">
        <v>159</v>
      </c>
      <c r="K537" s="69" t="s">
        <v>2844</v>
      </c>
      <c r="L537" s="105">
        <v>1</v>
      </c>
      <c r="M537" s="74">
        <v>5665.72607421875</v>
      </c>
      <c r="N537" s="74">
        <v>5910.1396484375</v>
      </c>
      <c r="O537" s="75"/>
      <c r="P537" s="76"/>
      <c r="Q537" s="76"/>
      <c r="R537" s="106"/>
      <c r="S537" s="48">
        <v>1</v>
      </c>
      <c r="T537" s="48">
        <v>0</v>
      </c>
      <c r="U537" s="49">
        <v>0</v>
      </c>
      <c r="V537" s="49">
        <v>0.167959</v>
      </c>
      <c r="W537" s="107"/>
      <c r="X537" s="50"/>
      <c r="Y537" s="50"/>
      <c r="Z537" s="49">
        <v>0</v>
      </c>
      <c r="AA537" s="71">
        <v>537</v>
      </c>
      <c r="AB537" s="71"/>
      <c r="AC537" s="72"/>
      <c r="AD537" s="79" t="s">
        <v>2844</v>
      </c>
      <c r="AE537" s="79" t="s">
        <v>3290</v>
      </c>
      <c r="AF537" s="79"/>
      <c r="AG537" s="79" t="s">
        <v>3833</v>
      </c>
      <c r="AH537" s="79" t="s">
        <v>4210</v>
      </c>
      <c r="AI537" s="79">
        <v>1</v>
      </c>
      <c r="AJ537" s="79">
        <v>0</v>
      </c>
      <c r="AK537" s="79">
        <v>0</v>
      </c>
      <c r="AL537" s="79">
        <v>0</v>
      </c>
      <c r="AM537" s="79" t="s">
        <v>2092</v>
      </c>
      <c r="AN537" s="114" t="str">
        <f>HYPERLINK("https://www.youtube.com/watch?v=9-UiwfiAwuA")</f>
        <v>https://www.youtube.com/watch?v=9-UiwfiAwuA</v>
      </c>
      <c r="AO537" s="78" t="str">
        <f>REPLACE(INDEX(GroupVertices[Group],MATCH(Vertices[[#This Row],[Vertex]],GroupVertices[Vertex],0)),1,1,"")</f>
        <v>harmacy Hub</v>
      </c>
      <c r="AP537" s="2"/>
      <c r="AQ537" s="3"/>
      <c r="AR537" s="3"/>
      <c r="AS537" s="3"/>
      <c r="AT537" s="3"/>
    </row>
    <row r="538" spans="1:46" ht="15">
      <c r="A538" s="64" t="s">
        <v>2369</v>
      </c>
      <c r="B538" s="65"/>
      <c r="C538" s="65"/>
      <c r="D538" s="66">
        <v>150</v>
      </c>
      <c r="E538" s="102">
        <v>97.85714285714286</v>
      </c>
      <c r="F538" s="98" t="str">
        <f>HYPERLINK("https://i.ytimg.com/vi/DElZV2SJLF4/default.jpg")</f>
        <v>https://i.ytimg.com/vi/DElZV2SJLF4/default.jpg</v>
      </c>
      <c r="G538" s="100"/>
      <c r="H538" s="69" t="s">
        <v>2845</v>
      </c>
      <c r="I538" s="70"/>
      <c r="J538" s="104" t="s">
        <v>159</v>
      </c>
      <c r="K538" s="69" t="s">
        <v>2845</v>
      </c>
      <c r="L538" s="105">
        <v>1</v>
      </c>
      <c r="M538" s="74">
        <v>5054.19970703125</v>
      </c>
      <c r="N538" s="74">
        <v>7239.8134765625</v>
      </c>
      <c r="O538" s="75"/>
      <c r="P538" s="76"/>
      <c r="Q538" s="76"/>
      <c r="R538" s="106"/>
      <c r="S538" s="48">
        <v>1</v>
      </c>
      <c r="T538" s="48">
        <v>0</v>
      </c>
      <c r="U538" s="49">
        <v>0</v>
      </c>
      <c r="V538" s="49">
        <v>0.167959</v>
      </c>
      <c r="W538" s="107"/>
      <c r="X538" s="50"/>
      <c r="Y538" s="50"/>
      <c r="Z538" s="49">
        <v>0</v>
      </c>
      <c r="AA538" s="71">
        <v>538</v>
      </c>
      <c r="AB538" s="71"/>
      <c r="AC538" s="72"/>
      <c r="AD538" s="79" t="s">
        <v>2845</v>
      </c>
      <c r="AE538" s="79"/>
      <c r="AF538" s="79"/>
      <c r="AG538" s="79" t="s">
        <v>3834</v>
      </c>
      <c r="AH538" s="79" t="s">
        <v>4211</v>
      </c>
      <c r="AI538" s="79">
        <v>28</v>
      </c>
      <c r="AJ538" s="79">
        <v>0</v>
      </c>
      <c r="AK538" s="79">
        <v>2</v>
      </c>
      <c r="AL538" s="79">
        <v>0</v>
      </c>
      <c r="AM538" s="79" t="s">
        <v>2092</v>
      </c>
      <c r="AN538" s="114" t="str">
        <f>HYPERLINK("https://www.youtube.com/watch?v=DElZV2SJLF4")</f>
        <v>https://www.youtube.com/watch?v=DElZV2SJLF4</v>
      </c>
      <c r="AO538" s="78" t="str">
        <f>REPLACE(INDEX(GroupVertices[Group],MATCH(Vertices[[#This Row],[Vertex]],GroupVertices[Vertex],0)),1,1,"")</f>
        <v>IOMATRIX CLASSES</v>
      </c>
      <c r="AP538" s="2"/>
      <c r="AQ538" s="3"/>
      <c r="AR538" s="3"/>
      <c r="AS538" s="3"/>
      <c r="AT538" s="3"/>
    </row>
    <row r="539" spans="1:46" ht="15">
      <c r="A539" s="64" t="s">
        <v>2370</v>
      </c>
      <c r="B539" s="65"/>
      <c r="C539" s="65"/>
      <c r="D539" s="66">
        <v>150</v>
      </c>
      <c r="E539" s="102">
        <v>97.85714285714286</v>
      </c>
      <c r="F539" s="98" t="str">
        <f>HYPERLINK("https://i.ytimg.com/vi/WKieDeaWJAs/default.jpg")</f>
        <v>https://i.ytimg.com/vi/WKieDeaWJAs/default.jpg</v>
      </c>
      <c r="G539" s="100"/>
      <c r="H539" s="69" t="s">
        <v>2846</v>
      </c>
      <c r="I539" s="70"/>
      <c r="J539" s="104" t="s">
        <v>159</v>
      </c>
      <c r="K539" s="69" t="s">
        <v>2846</v>
      </c>
      <c r="L539" s="105">
        <v>1</v>
      </c>
      <c r="M539" s="74">
        <v>4745.2392578125</v>
      </c>
      <c r="N539" s="74">
        <v>5851.0771484375</v>
      </c>
      <c r="O539" s="75"/>
      <c r="P539" s="76"/>
      <c r="Q539" s="76"/>
      <c r="R539" s="106"/>
      <c r="S539" s="48">
        <v>1</v>
      </c>
      <c r="T539" s="48">
        <v>0</v>
      </c>
      <c r="U539" s="49">
        <v>0</v>
      </c>
      <c r="V539" s="49">
        <v>0.167959</v>
      </c>
      <c r="W539" s="107"/>
      <c r="X539" s="50"/>
      <c r="Y539" s="50"/>
      <c r="Z539" s="49">
        <v>0</v>
      </c>
      <c r="AA539" s="71">
        <v>539</v>
      </c>
      <c r="AB539" s="71"/>
      <c r="AC539" s="72"/>
      <c r="AD539" s="79" t="s">
        <v>2846</v>
      </c>
      <c r="AE539" s="79" t="s">
        <v>3291</v>
      </c>
      <c r="AF539" s="79"/>
      <c r="AG539" s="79" t="s">
        <v>3835</v>
      </c>
      <c r="AH539" s="79" t="s">
        <v>4212</v>
      </c>
      <c r="AI539" s="79">
        <v>30</v>
      </c>
      <c r="AJ539" s="79">
        <v>1</v>
      </c>
      <c r="AK539" s="79">
        <v>0</v>
      </c>
      <c r="AL539" s="79">
        <v>0</v>
      </c>
      <c r="AM539" s="79" t="s">
        <v>2092</v>
      </c>
      <c r="AN539" s="114" t="str">
        <f>HYPERLINK("https://www.youtube.com/watch?v=WKieDeaWJAs")</f>
        <v>https://www.youtube.com/watch?v=WKieDeaWJAs</v>
      </c>
      <c r="AO539" s="78" t="str">
        <f>REPLACE(INDEX(GroupVertices[Group],MATCH(Vertices[[#This Row],[Vertex]],GroupVertices[Vertex],0)),1,1,"")</f>
        <v>tudy Pool Pharma</v>
      </c>
      <c r="AP539" s="2"/>
      <c r="AQ539" s="3"/>
      <c r="AR539" s="3"/>
      <c r="AS539" s="3"/>
      <c r="AT539" s="3"/>
    </row>
    <row r="540" spans="1:46" ht="15">
      <c r="A540" s="64" t="s">
        <v>2371</v>
      </c>
      <c r="B540" s="65"/>
      <c r="C540" s="65"/>
      <c r="D540" s="66">
        <v>150</v>
      </c>
      <c r="E540" s="102">
        <v>97.85714285714286</v>
      </c>
      <c r="F540" s="98" t="str">
        <f>HYPERLINK("https://i.ytimg.com/vi/oWADqXUrEfk/default.jpg")</f>
        <v>https://i.ytimg.com/vi/oWADqXUrEfk/default.jpg</v>
      </c>
      <c r="G540" s="100"/>
      <c r="H540" s="69" t="s">
        <v>2847</v>
      </c>
      <c r="I540" s="70"/>
      <c r="J540" s="104" t="s">
        <v>159</v>
      </c>
      <c r="K540" s="69" t="s">
        <v>2847</v>
      </c>
      <c r="L540" s="105">
        <v>1</v>
      </c>
      <c r="M540" s="74">
        <v>5367.330078125</v>
      </c>
      <c r="N540" s="74">
        <v>5692.99072265625</v>
      </c>
      <c r="O540" s="75"/>
      <c r="P540" s="76"/>
      <c r="Q540" s="76"/>
      <c r="R540" s="106"/>
      <c r="S540" s="48">
        <v>1</v>
      </c>
      <c r="T540" s="48">
        <v>0</v>
      </c>
      <c r="U540" s="49">
        <v>0</v>
      </c>
      <c r="V540" s="49">
        <v>0.167959</v>
      </c>
      <c r="W540" s="107"/>
      <c r="X540" s="50"/>
      <c r="Y540" s="50"/>
      <c r="Z540" s="49">
        <v>0</v>
      </c>
      <c r="AA540" s="71">
        <v>540</v>
      </c>
      <c r="AB540" s="71"/>
      <c r="AC540" s="72"/>
      <c r="AD540" s="79" t="s">
        <v>2847</v>
      </c>
      <c r="AE540" s="79" t="s">
        <v>3292</v>
      </c>
      <c r="AF540" s="79" t="s">
        <v>3600</v>
      </c>
      <c r="AG540" s="79" t="s">
        <v>3836</v>
      </c>
      <c r="AH540" s="79" t="s">
        <v>4213</v>
      </c>
      <c r="AI540" s="79">
        <v>23366</v>
      </c>
      <c r="AJ540" s="79">
        <v>59</v>
      </c>
      <c r="AK540" s="79">
        <v>411</v>
      </c>
      <c r="AL540" s="79">
        <v>0</v>
      </c>
      <c r="AM540" s="79" t="s">
        <v>2092</v>
      </c>
      <c r="AN540" s="114" t="str">
        <f>HYPERLINK("https://www.youtube.com/watch?v=oWADqXUrEfk")</f>
        <v>https://www.youtube.com/watch?v=oWADqXUrEfk</v>
      </c>
      <c r="AO540" s="78" t="str">
        <f>REPLACE(INDEX(GroupVertices[Group],MATCH(Vertices[[#This Row],[Vertex]],GroupVertices[Vertex],0)),1,1,"")</f>
        <v>ymmetric Vision</v>
      </c>
      <c r="AP540" s="2"/>
      <c r="AQ540" s="3"/>
      <c r="AR540" s="3"/>
      <c r="AS540" s="3"/>
      <c r="AT540" s="3"/>
    </row>
    <row r="541" spans="1:46" ht="15">
      <c r="A541" s="64" t="s">
        <v>2372</v>
      </c>
      <c r="B541" s="65"/>
      <c r="C541" s="65"/>
      <c r="D541" s="66">
        <v>150</v>
      </c>
      <c r="E541" s="102">
        <v>97.85714285714286</v>
      </c>
      <c r="F541" s="98" t="str">
        <f>HYPERLINK("https://i.ytimg.com/vi/zlAr52zZgNg/default.jpg")</f>
        <v>https://i.ytimg.com/vi/zlAr52zZgNg/default.jpg</v>
      </c>
      <c r="G541" s="100"/>
      <c r="H541" s="69" t="s">
        <v>2848</v>
      </c>
      <c r="I541" s="70"/>
      <c r="J541" s="104" t="s">
        <v>159</v>
      </c>
      <c r="K541" s="69" t="s">
        <v>2848</v>
      </c>
      <c r="L541" s="105">
        <v>1</v>
      </c>
      <c r="M541" s="74">
        <v>6138.4208984375</v>
      </c>
      <c r="N541" s="74">
        <v>7103.36181640625</v>
      </c>
      <c r="O541" s="75"/>
      <c r="P541" s="76"/>
      <c r="Q541" s="76"/>
      <c r="R541" s="106"/>
      <c r="S541" s="48">
        <v>1</v>
      </c>
      <c r="T541" s="48">
        <v>0</v>
      </c>
      <c r="U541" s="49">
        <v>0</v>
      </c>
      <c r="V541" s="49">
        <v>0.167959</v>
      </c>
      <c r="W541" s="107"/>
      <c r="X541" s="50"/>
      <c r="Y541" s="50"/>
      <c r="Z541" s="49">
        <v>0</v>
      </c>
      <c r="AA541" s="71">
        <v>541</v>
      </c>
      <c r="AB541" s="71"/>
      <c r="AC541" s="72"/>
      <c r="AD541" s="79" t="s">
        <v>2848</v>
      </c>
      <c r="AE541" s="79" t="s">
        <v>3293</v>
      </c>
      <c r="AF541" s="79"/>
      <c r="AG541" s="79" t="s">
        <v>3837</v>
      </c>
      <c r="AH541" s="79" t="s">
        <v>4214</v>
      </c>
      <c r="AI541" s="79">
        <v>5</v>
      </c>
      <c r="AJ541" s="79">
        <v>0</v>
      </c>
      <c r="AK541" s="79">
        <v>2</v>
      </c>
      <c r="AL541" s="79">
        <v>0</v>
      </c>
      <c r="AM541" s="79" t="s">
        <v>2092</v>
      </c>
      <c r="AN541" s="114" t="str">
        <f>HYPERLINK("https://www.youtube.com/watch?v=zlAr52zZgNg")</f>
        <v>https://www.youtube.com/watch?v=zlAr52zZgNg</v>
      </c>
      <c r="AO541" s="78" t="str">
        <f>REPLACE(INDEX(GroupVertices[Group],MATCH(Vertices[[#This Row],[Vertex]],GroupVertices[Vertex],0)),1,1,"")</f>
        <v>sychological Learning with Aleeza Yaqoob</v>
      </c>
      <c r="AP541" s="2"/>
      <c r="AQ541" s="3"/>
      <c r="AR541" s="3"/>
      <c r="AS541" s="3"/>
      <c r="AT541" s="3"/>
    </row>
    <row r="542" spans="1:46" ht="15">
      <c r="A542" s="64" t="s">
        <v>2373</v>
      </c>
      <c r="B542" s="65"/>
      <c r="C542" s="65"/>
      <c r="D542" s="66">
        <v>150</v>
      </c>
      <c r="E542" s="102">
        <v>97.85714285714286</v>
      </c>
      <c r="F542" s="98" t="str">
        <f>HYPERLINK("https://i.ytimg.com/vi/3f-w8hZ73pQ/default.jpg")</f>
        <v>https://i.ytimg.com/vi/3f-w8hZ73pQ/default.jpg</v>
      </c>
      <c r="G542" s="100"/>
      <c r="H542" s="69" t="s">
        <v>2849</v>
      </c>
      <c r="I542" s="70"/>
      <c r="J542" s="104" t="s">
        <v>159</v>
      </c>
      <c r="K542" s="69" t="s">
        <v>2849</v>
      </c>
      <c r="L542" s="105">
        <v>1</v>
      </c>
      <c r="M542" s="74">
        <v>5272.2451171875</v>
      </c>
      <c r="N542" s="74">
        <v>6060.67578125</v>
      </c>
      <c r="O542" s="75"/>
      <c r="P542" s="76"/>
      <c r="Q542" s="76"/>
      <c r="R542" s="106"/>
      <c r="S542" s="48">
        <v>1</v>
      </c>
      <c r="T542" s="48">
        <v>0</v>
      </c>
      <c r="U542" s="49">
        <v>0</v>
      </c>
      <c r="V542" s="49">
        <v>0.167959</v>
      </c>
      <c r="W542" s="107"/>
      <c r="X542" s="50"/>
      <c r="Y542" s="50"/>
      <c r="Z542" s="49">
        <v>0</v>
      </c>
      <c r="AA542" s="71">
        <v>542</v>
      </c>
      <c r="AB542" s="71"/>
      <c r="AC542" s="72"/>
      <c r="AD542" s="79" t="s">
        <v>2849</v>
      </c>
      <c r="AE542" s="79"/>
      <c r="AF542" s="79"/>
      <c r="AG542" s="79" t="s">
        <v>3838</v>
      </c>
      <c r="AH542" s="79" t="s">
        <v>4215</v>
      </c>
      <c r="AI542" s="79">
        <v>3317</v>
      </c>
      <c r="AJ542" s="79">
        <v>0</v>
      </c>
      <c r="AK542" s="79">
        <v>20</v>
      </c>
      <c r="AL542" s="79">
        <v>0</v>
      </c>
      <c r="AM542" s="79" t="s">
        <v>2092</v>
      </c>
      <c r="AN542" s="114" t="str">
        <f>HYPERLINK("https://www.youtube.com/watch?v=3f-w8hZ73pQ")</f>
        <v>https://www.youtube.com/watch?v=3f-w8hZ73pQ</v>
      </c>
      <c r="AO542" s="78" t="str">
        <f>REPLACE(INDEX(GroupVertices[Group],MATCH(Vertices[[#This Row],[Vertex]],GroupVertices[Vertex],0)),1,1,"")</f>
        <v>tephanie Jones</v>
      </c>
      <c r="AP542" s="2"/>
      <c r="AQ542" s="3"/>
      <c r="AR542" s="3"/>
      <c r="AS542" s="3"/>
      <c r="AT542" s="3"/>
    </row>
    <row r="543" spans="1:46" ht="15">
      <c r="A543" s="64" t="s">
        <v>2374</v>
      </c>
      <c r="B543" s="65"/>
      <c r="C543" s="65"/>
      <c r="D543" s="66">
        <v>150</v>
      </c>
      <c r="E543" s="102">
        <v>97.85714285714286</v>
      </c>
      <c r="F543" s="98" t="str">
        <f>HYPERLINK("https://i.ytimg.com/vi/k3v1orfzzMQ/default.jpg")</f>
        <v>https://i.ytimg.com/vi/k3v1orfzzMQ/default.jpg</v>
      </c>
      <c r="G543" s="100"/>
      <c r="H543" s="69" t="s">
        <v>2850</v>
      </c>
      <c r="I543" s="70"/>
      <c r="J543" s="104" t="s">
        <v>159</v>
      </c>
      <c r="K543" s="69" t="s">
        <v>2850</v>
      </c>
      <c r="L543" s="105">
        <v>1</v>
      </c>
      <c r="M543" s="74">
        <v>5956.79443359375</v>
      </c>
      <c r="N543" s="74">
        <v>7237.97998046875</v>
      </c>
      <c r="O543" s="75"/>
      <c r="P543" s="76"/>
      <c r="Q543" s="76"/>
      <c r="R543" s="106"/>
      <c r="S543" s="48">
        <v>1</v>
      </c>
      <c r="T543" s="48">
        <v>0</v>
      </c>
      <c r="U543" s="49">
        <v>0</v>
      </c>
      <c r="V543" s="49">
        <v>0.167959</v>
      </c>
      <c r="W543" s="107"/>
      <c r="X543" s="50"/>
      <c r="Y543" s="50"/>
      <c r="Z543" s="49">
        <v>0</v>
      </c>
      <c r="AA543" s="71">
        <v>543</v>
      </c>
      <c r="AB543" s="71"/>
      <c r="AC543" s="72"/>
      <c r="AD543" s="79" t="s">
        <v>2850</v>
      </c>
      <c r="AE543" s="79"/>
      <c r="AF543" s="79"/>
      <c r="AG543" s="79" t="s">
        <v>3839</v>
      </c>
      <c r="AH543" s="79" t="s">
        <v>4216</v>
      </c>
      <c r="AI543" s="79">
        <v>17</v>
      </c>
      <c r="AJ543" s="79">
        <v>0</v>
      </c>
      <c r="AK543" s="79">
        <v>0</v>
      </c>
      <c r="AL543" s="79">
        <v>0</v>
      </c>
      <c r="AM543" s="79" t="s">
        <v>2092</v>
      </c>
      <c r="AN543" s="114" t="str">
        <f>HYPERLINK("https://www.youtube.com/watch?v=k3v1orfzzMQ")</f>
        <v>https://www.youtube.com/watch?v=k3v1orfzzMQ</v>
      </c>
      <c r="AO543" s="78" t="str">
        <f>REPLACE(INDEX(GroupVertices[Group],MATCH(Vertices[[#This Row],[Vertex]],GroupVertices[Vertex],0)),1,1,"")</f>
        <v>ive To Learn</v>
      </c>
      <c r="AP543" s="2"/>
      <c r="AQ543" s="3"/>
      <c r="AR543" s="3"/>
      <c r="AS543" s="3"/>
      <c r="AT543" s="3"/>
    </row>
    <row r="544" spans="1:46" ht="15">
      <c r="A544" s="64" t="s">
        <v>2375</v>
      </c>
      <c r="B544" s="65"/>
      <c r="C544" s="65"/>
      <c r="D544" s="66">
        <v>150</v>
      </c>
      <c r="E544" s="102">
        <v>97.85714285714286</v>
      </c>
      <c r="F544" s="98" t="str">
        <f>HYPERLINK("https://i.ytimg.com/vi/kJqnGgiPvWE/default.jpg")</f>
        <v>https://i.ytimg.com/vi/kJqnGgiPvWE/default.jpg</v>
      </c>
      <c r="G544" s="100"/>
      <c r="H544" s="69" t="s">
        <v>2851</v>
      </c>
      <c r="I544" s="70"/>
      <c r="J544" s="104" t="s">
        <v>159</v>
      </c>
      <c r="K544" s="69" t="s">
        <v>2851</v>
      </c>
      <c r="L544" s="105">
        <v>1</v>
      </c>
      <c r="M544" s="74">
        <v>5507.79248046875</v>
      </c>
      <c r="N544" s="74">
        <v>7398.685546875</v>
      </c>
      <c r="O544" s="75"/>
      <c r="P544" s="76"/>
      <c r="Q544" s="76"/>
      <c r="R544" s="106"/>
      <c r="S544" s="48">
        <v>1</v>
      </c>
      <c r="T544" s="48">
        <v>0</v>
      </c>
      <c r="U544" s="49">
        <v>0</v>
      </c>
      <c r="V544" s="49">
        <v>0.167959</v>
      </c>
      <c r="W544" s="107"/>
      <c r="X544" s="50"/>
      <c r="Y544" s="50"/>
      <c r="Z544" s="49">
        <v>0</v>
      </c>
      <c r="AA544" s="71">
        <v>544</v>
      </c>
      <c r="AB544" s="71"/>
      <c r="AC544" s="72"/>
      <c r="AD544" s="79" t="s">
        <v>2851</v>
      </c>
      <c r="AE544" s="79"/>
      <c r="AF544" s="79" t="s">
        <v>3601</v>
      </c>
      <c r="AG544" s="79" t="s">
        <v>3840</v>
      </c>
      <c r="AH544" s="79" t="s">
        <v>4217</v>
      </c>
      <c r="AI544" s="79">
        <v>11</v>
      </c>
      <c r="AJ544" s="79">
        <v>0</v>
      </c>
      <c r="AK544" s="79">
        <v>0</v>
      </c>
      <c r="AL544" s="79">
        <v>0</v>
      </c>
      <c r="AM544" s="79" t="s">
        <v>2092</v>
      </c>
      <c r="AN544" s="114" t="str">
        <f>HYPERLINK("https://www.youtube.com/watch?v=kJqnGgiPvWE")</f>
        <v>https://www.youtube.com/watch?v=kJqnGgiPvWE</v>
      </c>
      <c r="AO544" s="78" t="str">
        <f>REPLACE(INDEX(GroupVertices[Group],MATCH(Vertices[[#This Row],[Vertex]],GroupVertices[Vertex],0)),1,1,"")</f>
        <v>k nursing way</v>
      </c>
      <c r="AP544" s="2"/>
      <c r="AQ544" s="3"/>
      <c r="AR544" s="3"/>
      <c r="AS544" s="3"/>
      <c r="AT544" s="3"/>
    </row>
    <row r="545" spans="1:46" ht="15">
      <c r="A545" s="64" t="s">
        <v>2376</v>
      </c>
      <c r="B545" s="65"/>
      <c r="C545" s="65"/>
      <c r="D545" s="66">
        <v>150</v>
      </c>
      <c r="E545" s="102">
        <v>97.85714285714286</v>
      </c>
      <c r="F545" s="98" t="str">
        <f>HYPERLINK("https://i.ytimg.com/vi/OD2FrI07rfY/default.jpg")</f>
        <v>https://i.ytimg.com/vi/OD2FrI07rfY/default.jpg</v>
      </c>
      <c r="G545" s="100"/>
      <c r="H545" s="69" t="s">
        <v>2852</v>
      </c>
      <c r="I545" s="70"/>
      <c r="J545" s="104" t="s">
        <v>159</v>
      </c>
      <c r="K545" s="69" t="s">
        <v>2852</v>
      </c>
      <c r="L545" s="105">
        <v>1</v>
      </c>
      <c r="M545" s="74">
        <v>6089.0849609375</v>
      </c>
      <c r="N545" s="74">
        <v>6693.45166015625</v>
      </c>
      <c r="O545" s="75"/>
      <c r="P545" s="76"/>
      <c r="Q545" s="76"/>
      <c r="R545" s="106"/>
      <c r="S545" s="48">
        <v>1</v>
      </c>
      <c r="T545" s="48">
        <v>0</v>
      </c>
      <c r="U545" s="49">
        <v>0</v>
      </c>
      <c r="V545" s="49">
        <v>0.167959</v>
      </c>
      <c r="W545" s="107"/>
      <c r="X545" s="50"/>
      <c r="Y545" s="50"/>
      <c r="Z545" s="49">
        <v>0</v>
      </c>
      <c r="AA545" s="71">
        <v>545</v>
      </c>
      <c r="AB545" s="71"/>
      <c r="AC545" s="72"/>
      <c r="AD545" s="79" t="s">
        <v>2852</v>
      </c>
      <c r="AE545" s="79" t="s">
        <v>3294</v>
      </c>
      <c r="AF545" s="79" t="s">
        <v>3602</v>
      </c>
      <c r="AG545" s="79" t="s">
        <v>3841</v>
      </c>
      <c r="AH545" s="79" t="s">
        <v>4218</v>
      </c>
      <c r="AI545" s="79">
        <v>37</v>
      </c>
      <c r="AJ545" s="79">
        <v>0</v>
      </c>
      <c r="AK545" s="79">
        <v>3</v>
      </c>
      <c r="AL545" s="79">
        <v>0</v>
      </c>
      <c r="AM545" s="79" t="s">
        <v>2092</v>
      </c>
      <c r="AN545" s="114" t="str">
        <f>HYPERLINK("https://www.youtube.com/watch?v=OD2FrI07rfY")</f>
        <v>https://www.youtube.com/watch?v=OD2FrI07rfY</v>
      </c>
      <c r="AO545" s="78" t="str">
        <f>REPLACE(INDEX(GroupVertices[Group],MATCH(Vertices[[#This Row],[Vertex]],GroupVertices[Vertex],0)),1,1,"")</f>
        <v>NM NURSING COMPLETE STUDY</v>
      </c>
      <c r="AP545" s="2"/>
      <c r="AQ545" s="3"/>
      <c r="AR545" s="3"/>
      <c r="AS545" s="3"/>
      <c r="AT545" s="3"/>
    </row>
    <row r="546" spans="1:46" ht="15">
      <c r="A546" s="64" t="s">
        <v>2377</v>
      </c>
      <c r="B546" s="65"/>
      <c r="C546" s="65"/>
      <c r="D546" s="66">
        <v>150</v>
      </c>
      <c r="E546" s="102">
        <v>97.85714285714286</v>
      </c>
      <c r="F546" s="98" t="str">
        <f>HYPERLINK("https://i.ytimg.com/vi/ZyipGcP00Ro/default.jpg")</f>
        <v>https://i.ytimg.com/vi/ZyipGcP00Ro/default.jpg</v>
      </c>
      <c r="G546" s="100"/>
      <c r="H546" s="69" t="s">
        <v>2853</v>
      </c>
      <c r="I546" s="70"/>
      <c r="J546" s="104" t="s">
        <v>159</v>
      </c>
      <c r="K546" s="69" t="s">
        <v>2853</v>
      </c>
      <c r="L546" s="105">
        <v>1</v>
      </c>
      <c r="M546" s="74">
        <v>4864.263671875</v>
      </c>
      <c r="N546" s="74">
        <v>7032.78466796875</v>
      </c>
      <c r="O546" s="75"/>
      <c r="P546" s="76"/>
      <c r="Q546" s="76"/>
      <c r="R546" s="106"/>
      <c r="S546" s="48">
        <v>1</v>
      </c>
      <c r="T546" s="48">
        <v>0</v>
      </c>
      <c r="U546" s="49">
        <v>0</v>
      </c>
      <c r="V546" s="49">
        <v>0.167959</v>
      </c>
      <c r="W546" s="107"/>
      <c r="X546" s="50"/>
      <c r="Y546" s="50"/>
      <c r="Z546" s="49">
        <v>0</v>
      </c>
      <c r="AA546" s="71">
        <v>546</v>
      </c>
      <c r="AB546" s="71"/>
      <c r="AC546" s="72"/>
      <c r="AD546" s="79" t="s">
        <v>2853</v>
      </c>
      <c r="AE546" s="79" t="s">
        <v>3295</v>
      </c>
      <c r="AF546" s="79" t="s">
        <v>3603</v>
      </c>
      <c r="AG546" s="79" t="s">
        <v>3842</v>
      </c>
      <c r="AH546" s="79" t="s">
        <v>4219</v>
      </c>
      <c r="AI546" s="79">
        <v>86</v>
      </c>
      <c r="AJ546" s="79">
        <v>1</v>
      </c>
      <c r="AK546" s="79">
        <v>12</v>
      </c>
      <c r="AL546" s="79">
        <v>0</v>
      </c>
      <c r="AM546" s="79" t="s">
        <v>2092</v>
      </c>
      <c r="AN546" s="114" t="str">
        <f>HYPERLINK("https://www.youtube.com/watch?v=ZyipGcP00Ro")</f>
        <v>https://www.youtube.com/watch?v=ZyipGcP00Ro</v>
      </c>
      <c r="AO546" s="78" t="str">
        <f>REPLACE(INDEX(GroupVertices[Group],MATCH(Vertices[[#This Row],[Vertex]],GroupVertices[Vertex],0)),1,1,"")</f>
        <v>inn.k Pharma</v>
      </c>
      <c r="AP546" s="2"/>
      <c r="AQ546" s="3"/>
      <c r="AR546" s="3"/>
      <c r="AS546" s="3"/>
      <c r="AT546" s="3"/>
    </row>
    <row r="547" spans="1:46" ht="15">
      <c r="A547" s="64" t="s">
        <v>2378</v>
      </c>
      <c r="B547" s="65"/>
      <c r="C547" s="65"/>
      <c r="D547" s="66">
        <v>150</v>
      </c>
      <c r="E547" s="102">
        <v>97.85714285714286</v>
      </c>
      <c r="F547" s="98" t="str">
        <f>HYPERLINK("https://i.ytimg.com/vi/8A3D15q9w6I/default.jpg")</f>
        <v>https://i.ytimg.com/vi/8A3D15q9w6I/default.jpg</v>
      </c>
      <c r="G547" s="100"/>
      <c r="H547" s="69" t="s">
        <v>2854</v>
      </c>
      <c r="I547" s="70"/>
      <c r="J547" s="104" t="s">
        <v>159</v>
      </c>
      <c r="K547" s="69" t="s">
        <v>2854</v>
      </c>
      <c r="L547" s="105">
        <v>1</v>
      </c>
      <c r="M547" s="74">
        <v>4719.38427734375</v>
      </c>
      <c r="N547" s="74">
        <v>6813.79638671875</v>
      </c>
      <c r="O547" s="75"/>
      <c r="P547" s="76"/>
      <c r="Q547" s="76"/>
      <c r="R547" s="106"/>
      <c r="S547" s="48">
        <v>1</v>
      </c>
      <c r="T547" s="48">
        <v>0</v>
      </c>
      <c r="U547" s="49">
        <v>0</v>
      </c>
      <c r="V547" s="49">
        <v>0.167959</v>
      </c>
      <c r="W547" s="107"/>
      <c r="X547" s="50"/>
      <c r="Y547" s="50"/>
      <c r="Z547" s="49">
        <v>0</v>
      </c>
      <c r="AA547" s="71">
        <v>547</v>
      </c>
      <c r="AB547" s="71"/>
      <c r="AC547" s="72"/>
      <c r="AD547" s="79" t="s">
        <v>2854</v>
      </c>
      <c r="AE547" s="79" t="s">
        <v>3296</v>
      </c>
      <c r="AF547" s="79"/>
      <c r="AG547" s="79" t="s">
        <v>3843</v>
      </c>
      <c r="AH547" s="79" t="s">
        <v>4220</v>
      </c>
      <c r="AI547" s="79">
        <v>3</v>
      </c>
      <c r="AJ547" s="79">
        <v>0</v>
      </c>
      <c r="AK547" s="79">
        <v>1</v>
      </c>
      <c r="AL547" s="79">
        <v>0</v>
      </c>
      <c r="AM547" s="79" t="s">
        <v>2092</v>
      </c>
      <c r="AN547" s="114" t="str">
        <f>HYPERLINK("https://www.youtube.com/watch?v=8A3D15q9w6I")</f>
        <v>https://www.youtube.com/watch?v=8A3D15q9w6I</v>
      </c>
      <c r="AO547" s="78" t="str">
        <f>REPLACE(INDEX(GroupVertices[Group],MATCH(Vertices[[#This Row],[Vertex]],GroupVertices[Vertex],0)),1,1,"")</f>
        <v>edEd Matrix</v>
      </c>
      <c r="AP547" s="2"/>
      <c r="AQ547" s="3"/>
      <c r="AR547" s="3"/>
      <c r="AS547" s="3"/>
      <c r="AT547" s="3"/>
    </row>
    <row r="548" spans="1:46" ht="15">
      <c r="A548" s="64" t="s">
        <v>2379</v>
      </c>
      <c r="B548" s="65"/>
      <c r="C548" s="65"/>
      <c r="D548" s="66">
        <v>150</v>
      </c>
      <c r="E548" s="102">
        <v>97.85714285714286</v>
      </c>
      <c r="F548" s="98" t="str">
        <f>HYPERLINK("https://i.ytimg.com/vi/H8pKnrETpng/default.jpg")</f>
        <v>https://i.ytimg.com/vi/H8pKnrETpng/default.jpg</v>
      </c>
      <c r="G548" s="100"/>
      <c r="H548" s="69" t="s">
        <v>2855</v>
      </c>
      <c r="I548" s="70"/>
      <c r="J548" s="104" t="s">
        <v>159</v>
      </c>
      <c r="K548" s="69" t="s">
        <v>2855</v>
      </c>
      <c r="L548" s="105">
        <v>1</v>
      </c>
      <c r="M548" s="74">
        <v>5537.0166015625</v>
      </c>
      <c r="N548" s="74">
        <v>7096.412109375</v>
      </c>
      <c r="O548" s="75"/>
      <c r="P548" s="76"/>
      <c r="Q548" s="76"/>
      <c r="R548" s="106"/>
      <c r="S548" s="48">
        <v>1</v>
      </c>
      <c r="T548" s="48">
        <v>0</v>
      </c>
      <c r="U548" s="49">
        <v>0</v>
      </c>
      <c r="V548" s="49">
        <v>0.167959</v>
      </c>
      <c r="W548" s="107"/>
      <c r="X548" s="50"/>
      <c r="Y548" s="50"/>
      <c r="Z548" s="49">
        <v>0</v>
      </c>
      <c r="AA548" s="71">
        <v>548</v>
      </c>
      <c r="AB548" s="71"/>
      <c r="AC548" s="72"/>
      <c r="AD548" s="79" t="s">
        <v>2855</v>
      </c>
      <c r="AE548" s="79" t="s">
        <v>3297</v>
      </c>
      <c r="AF548" s="79"/>
      <c r="AG548" s="79" t="s">
        <v>3839</v>
      </c>
      <c r="AH548" s="79" t="s">
        <v>4221</v>
      </c>
      <c r="AI548" s="79">
        <v>6726</v>
      </c>
      <c r="AJ548" s="79">
        <v>1</v>
      </c>
      <c r="AK548" s="79">
        <v>61</v>
      </c>
      <c r="AL548" s="79">
        <v>0</v>
      </c>
      <c r="AM548" s="79" t="s">
        <v>2092</v>
      </c>
      <c r="AN548" s="114" t="str">
        <f>HYPERLINK("https://www.youtube.com/watch?v=H8pKnrETpng")</f>
        <v>https://www.youtube.com/watch?v=H8pKnrETpng</v>
      </c>
      <c r="AO548" s="78" t="str">
        <f>REPLACE(INDEX(GroupVertices[Group],MATCH(Vertices[[#This Row],[Vertex]],GroupVertices[Vertex],0)),1,1,"")</f>
        <v>ive To Learn</v>
      </c>
      <c r="AP548" s="2"/>
      <c r="AQ548" s="3"/>
      <c r="AR548" s="3"/>
      <c r="AS548" s="3"/>
      <c r="AT548" s="3"/>
    </row>
    <row r="549" spans="1:46" ht="15">
      <c r="A549" s="64" t="s">
        <v>2380</v>
      </c>
      <c r="B549" s="65"/>
      <c r="C549" s="65"/>
      <c r="D549" s="66">
        <v>150</v>
      </c>
      <c r="E549" s="102">
        <v>97.85714285714286</v>
      </c>
      <c r="F549" s="98" t="str">
        <f>HYPERLINK("https://i.ytimg.com/vi/kvdcO9mYBBE/default.jpg")</f>
        <v>https://i.ytimg.com/vi/kvdcO9mYBBE/default.jpg</v>
      </c>
      <c r="G549" s="100"/>
      <c r="H549" s="69" t="s">
        <v>2856</v>
      </c>
      <c r="I549" s="70"/>
      <c r="J549" s="104" t="s">
        <v>159</v>
      </c>
      <c r="K549" s="69" t="s">
        <v>2856</v>
      </c>
      <c r="L549" s="105">
        <v>1</v>
      </c>
      <c r="M549" s="74">
        <v>6187.94873046875</v>
      </c>
      <c r="N549" s="74">
        <v>5652.98974609375</v>
      </c>
      <c r="O549" s="75"/>
      <c r="P549" s="76"/>
      <c r="Q549" s="76"/>
      <c r="R549" s="106"/>
      <c r="S549" s="48">
        <v>1</v>
      </c>
      <c r="T549" s="48">
        <v>0</v>
      </c>
      <c r="U549" s="49">
        <v>0</v>
      </c>
      <c r="V549" s="49">
        <v>0.167959</v>
      </c>
      <c r="W549" s="107"/>
      <c r="X549" s="50"/>
      <c r="Y549" s="50"/>
      <c r="Z549" s="49">
        <v>0</v>
      </c>
      <c r="AA549" s="71">
        <v>549</v>
      </c>
      <c r="AB549" s="71"/>
      <c r="AC549" s="72"/>
      <c r="AD549" s="79" t="s">
        <v>2856</v>
      </c>
      <c r="AE549" s="79" t="s">
        <v>3298</v>
      </c>
      <c r="AF549" s="79" t="s">
        <v>3604</v>
      </c>
      <c r="AG549" s="79" t="s">
        <v>1506</v>
      </c>
      <c r="AH549" s="79" t="s">
        <v>4222</v>
      </c>
      <c r="AI549" s="79">
        <v>1743</v>
      </c>
      <c r="AJ549" s="79">
        <v>2</v>
      </c>
      <c r="AK549" s="79">
        <v>23</v>
      </c>
      <c r="AL549" s="79">
        <v>0</v>
      </c>
      <c r="AM549" s="79" t="s">
        <v>2092</v>
      </c>
      <c r="AN549" s="114" t="str">
        <f>HYPERLINK("https://www.youtube.com/watch?v=kvdcO9mYBBE")</f>
        <v>https://www.youtube.com/watch?v=kvdcO9mYBBE</v>
      </c>
      <c r="AO549" s="78" t="str">
        <f>REPLACE(INDEX(GroupVertices[Group],MATCH(Vertices[[#This Row],[Vertex]],GroupVertices[Vertex],0)),1,1,"")</f>
        <v>ibi sebastian</v>
      </c>
      <c r="AP549" s="2"/>
      <c r="AQ549" s="3"/>
      <c r="AR549" s="3"/>
      <c r="AS549" s="3"/>
      <c r="AT549" s="3"/>
    </row>
    <row r="550" spans="1:46" ht="15">
      <c r="A550" s="64" t="s">
        <v>2381</v>
      </c>
      <c r="B550" s="65"/>
      <c r="C550" s="65"/>
      <c r="D550" s="66">
        <v>150</v>
      </c>
      <c r="E550" s="102">
        <v>97.85714285714286</v>
      </c>
      <c r="F550" s="98" t="str">
        <f>HYPERLINK("https://i.ytimg.com/vi/cKYm5ZTS_GM/default.jpg")</f>
        <v>https://i.ytimg.com/vi/cKYm5ZTS_GM/default.jpg</v>
      </c>
      <c r="G550" s="100"/>
      <c r="H550" s="69" t="s">
        <v>2857</v>
      </c>
      <c r="I550" s="70"/>
      <c r="J550" s="104" t="s">
        <v>159</v>
      </c>
      <c r="K550" s="69" t="s">
        <v>2857</v>
      </c>
      <c r="L550" s="105">
        <v>1</v>
      </c>
      <c r="M550" s="74">
        <v>5960.83251953125</v>
      </c>
      <c r="N550" s="74">
        <v>5439.5869140625</v>
      </c>
      <c r="O550" s="75"/>
      <c r="P550" s="76"/>
      <c r="Q550" s="76"/>
      <c r="R550" s="106"/>
      <c r="S550" s="48">
        <v>1</v>
      </c>
      <c r="T550" s="48">
        <v>0</v>
      </c>
      <c r="U550" s="49">
        <v>0</v>
      </c>
      <c r="V550" s="49">
        <v>0.167959</v>
      </c>
      <c r="W550" s="107"/>
      <c r="X550" s="50"/>
      <c r="Y550" s="50"/>
      <c r="Z550" s="49">
        <v>0</v>
      </c>
      <c r="AA550" s="71">
        <v>550</v>
      </c>
      <c r="AB550" s="71"/>
      <c r="AC550" s="72"/>
      <c r="AD550" s="79" t="s">
        <v>2857</v>
      </c>
      <c r="AE550" s="79" t="s">
        <v>3299</v>
      </c>
      <c r="AF550" s="79"/>
      <c r="AG550" s="79" t="s">
        <v>1506</v>
      </c>
      <c r="AH550" s="79" t="s">
        <v>4223</v>
      </c>
      <c r="AI550" s="79">
        <v>3886</v>
      </c>
      <c r="AJ550" s="79">
        <v>2</v>
      </c>
      <c r="AK550" s="79">
        <v>71</v>
      </c>
      <c r="AL550" s="79">
        <v>0</v>
      </c>
      <c r="AM550" s="79" t="s">
        <v>2092</v>
      </c>
      <c r="AN550" s="114" t="str">
        <f>HYPERLINK("https://www.youtube.com/watch?v=cKYm5ZTS_GM")</f>
        <v>https://www.youtube.com/watch?v=cKYm5ZTS_GM</v>
      </c>
      <c r="AO550" s="78" t="str">
        <f>REPLACE(INDEX(GroupVertices[Group],MATCH(Vertices[[#This Row],[Vertex]],GroupVertices[Vertex],0)),1,1,"")</f>
        <v>ibi sebastian</v>
      </c>
      <c r="AP550" s="2"/>
      <c r="AQ550" s="3"/>
      <c r="AR550" s="3"/>
      <c r="AS550" s="3"/>
      <c r="AT550" s="3"/>
    </row>
    <row r="551" spans="1:46" ht="15">
      <c r="A551" s="64" t="s">
        <v>2382</v>
      </c>
      <c r="B551" s="65"/>
      <c r="C551" s="65"/>
      <c r="D551" s="66">
        <v>150</v>
      </c>
      <c r="E551" s="102">
        <v>97.85714285714286</v>
      </c>
      <c r="F551" s="98" t="str">
        <f>HYPERLINK("https://i.ytimg.com/vi/WqO3lWGxKiI/default.jpg")</f>
        <v>https://i.ytimg.com/vi/WqO3lWGxKiI/default.jpg</v>
      </c>
      <c r="G551" s="100"/>
      <c r="H551" s="69" t="s">
        <v>2858</v>
      </c>
      <c r="I551" s="70"/>
      <c r="J551" s="104" t="s">
        <v>159</v>
      </c>
      <c r="K551" s="69" t="s">
        <v>2858</v>
      </c>
      <c r="L551" s="105">
        <v>1</v>
      </c>
      <c r="M551" s="74">
        <v>6301.61181640625</v>
      </c>
      <c r="N551" s="74">
        <v>6904.28955078125</v>
      </c>
      <c r="O551" s="75"/>
      <c r="P551" s="76"/>
      <c r="Q551" s="76"/>
      <c r="R551" s="106"/>
      <c r="S551" s="48">
        <v>1</v>
      </c>
      <c r="T551" s="48">
        <v>0</v>
      </c>
      <c r="U551" s="49">
        <v>0</v>
      </c>
      <c r="V551" s="49">
        <v>0.167959</v>
      </c>
      <c r="W551" s="107"/>
      <c r="X551" s="50"/>
      <c r="Y551" s="50"/>
      <c r="Z551" s="49">
        <v>0</v>
      </c>
      <c r="AA551" s="71">
        <v>551</v>
      </c>
      <c r="AB551" s="71"/>
      <c r="AC551" s="72"/>
      <c r="AD551" s="79" t="s">
        <v>2858</v>
      </c>
      <c r="AE551" s="79" t="s">
        <v>3300</v>
      </c>
      <c r="AF551" s="79" t="s">
        <v>3605</v>
      </c>
      <c r="AG551" s="79" t="s">
        <v>1506</v>
      </c>
      <c r="AH551" s="79" t="s">
        <v>4224</v>
      </c>
      <c r="AI551" s="79">
        <v>975</v>
      </c>
      <c r="AJ551" s="79">
        <v>2</v>
      </c>
      <c r="AK551" s="79">
        <v>17</v>
      </c>
      <c r="AL551" s="79">
        <v>0</v>
      </c>
      <c r="AM551" s="79" t="s">
        <v>2092</v>
      </c>
      <c r="AN551" s="114" t="str">
        <f>HYPERLINK("https://www.youtube.com/watch?v=WqO3lWGxKiI")</f>
        <v>https://www.youtube.com/watch?v=WqO3lWGxKiI</v>
      </c>
      <c r="AO551" s="78" t="str">
        <f>REPLACE(INDEX(GroupVertices[Group],MATCH(Vertices[[#This Row],[Vertex]],GroupVertices[Vertex],0)),1,1,"")</f>
        <v>ibi sebastian</v>
      </c>
      <c r="AP551" s="2"/>
      <c r="AQ551" s="3"/>
      <c r="AR551" s="3"/>
      <c r="AS551" s="3"/>
      <c r="AT551" s="3"/>
    </row>
    <row r="552" spans="1:46" ht="15">
      <c r="A552" s="64" t="s">
        <v>2383</v>
      </c>
      <c r="B552" s="65"/>
      <c r="C552" s="65"/>
      <c r="D552" s="66">
        <v>150</v>
      </c>
      <c r="E552" s="102">
        <v>97.85714285714286</v>
      </c>
      <c r="F552" s="98" t="str">
        <f>HYPERLINK("https://i.ytimg.com/vi/5M1abi0IjXQ/default.jpg")</f>
        <v>https://i.ytimg.com/vi/5M1abi0IjXQ/default.jpg</v>
      </c>
      <c r="G552" s="100"/>
      <c r="H552" s="69" t="s">
        <v>2859</v>
      </c>
      <c r="I552" s="70"/>
      <c r="J552" s="104" t="s">
        <v>159</v>
      </c>
      <c r="K552" s="69" t="s">
        <v>2859</v>
      </c>
      <c r="L552" s="105">
        <v>1</v>
      </c>
      <c r="M552" s="74">
        <v>6397.291015625</v>
      </c>
      <c r="N552" s="74">
        <v>6392.28173828125</v>
      </c>
      <c r="O552" s="75"/>
      <c r="P552" s="76"/>
      <c r="Q552" s="76"/>
      <c r="R552" s="106"/>
      <c r="S552" s="48">
        <v>1</v>
      </c>
      <c r="T552" s="48">
        <v>0</v>
      </c>
      <c r="U552" s="49">
        <v>0</v>
      </c>
      <c r="V552" s="49">
        <v>0.167959</v>
      </c>
      <c r="W552" s="107"/>
      <c r="X552" s="50"/>
      <c r="Y552" s="50"/>
      <c r="Z552" s="49">
        <v>0</v>
      </c>
      <c r="AA552" s="71">
        <v>552</v>
      </c>
      <c r="AB552" s="71"/>
      <c r="AC552" s="72"/>
      <c r="AD552" s="79" t="s">
        <v>2859</v>
      </c>
      <c r="AE552" s="79" t="s">
        <v>3301</v>
      </c>
      <c r="AF552" s="79"/>
      <c r="AG552" s="79" t="s">
        <v>1506</v>
      </c>
      <c r="AH552" s="79" t="s">
        <v>4225</v>
      </c>
      <c r="AI552" s="79">
        <v>92</v>
      </c>
      <c r="AJ552" s="79">
        <v>1</v>
      </c>
      <c r="AK552" s="79">
        <v>5</v>
      </c>
      <c r="AL552" s="79">
        <v>0</v>
      </c>
      <c r="AM552" s="79" t="s">
        <v>2092</v>
      </c>
      <c r="AN552" s="114" t="str">
        <f>HYPERLINK("https://www.youtube.com/watch?v=5M1abi0IjXQ")</f>
        <v>https://www.youtube.com/watch?v=5M1abi0IjXQ</v>
      </c>
      <c r="AO552" s="78" t="str">
        <f>REPLACE(INDEX(GroupVertices[Group],MATCH(Vertices[[#This Row],[Vertex]],GroupVertices[Vertex],0)),1,1,"")</f>
        <v>ibi sebastian</v>
      </c>
      <c r="AP552" s="2"/>
      <c r="AQ552" s="3"/>
      <c r="AR552" s="3"/>
      <c r="AS552" s="3"/>
      <c r="AT552" s="3"/>
    </row>
    <row r="553" spans="1:46" ht="15">
      <c r="A553" s="64" t="s">
        <v>2384</v>
      </c>
      <c r="B553" s="65"/>
      <c r="C553" s="65"/>
      <c r="D553" s="66">
        <v>150</v>
      </c>
      <c r="E553" s="102">
        <v>97.85714285714286</v>
      </c>
      <c r="F553" s="98" t="str">
        <f>HYPERLINK("https://i.ytimg.com/vi/QiFdq16KpZw/default.jpg")</f>
        <v>https://i.ytimg.com/vi/QiFdq16KpZw/default.jpg</v>
      </c>
      <c r="G553" s="100"/>
      <c r="H553" s="69" t="s">
        <v>2860</v>
      </c>
      <c r="I553" s="70"/>
      <c r="J553" s="104" t="s">
        <v>159</v>
      </c>
      <c r="K553" s="69" t="s">
        <v>2860</v>
      </c>
      <c r="L553" s="105">
        <v>1</v>
      </c>
      <c r="M553" s="74">
        <v>5761.212890625</v>
      </c>
      <c r="N553" s="74">
        <v>7357.2646484375</v>
      </c>
      <c r="O553" s="75"/>
      <c r="P553" s="76"/>
      <c r="Q553" s="76"/>
      <c r="R553" s="106"/>
      <c r="S553" s="48">
        <v>1</v>
      </c>
      <c r="T553" s="48">
        <v>0</v>
      </c>
      <c r="U553" s="49">
        <v>0</v>
      </c>
      <c r="V553" s="49">
        <v>0.167959</v>
      </c>
      <c r="W553" s="107"/>
      <c r="X553" s="50"/>
      <c r="Y553" s="50"/>
      <c r="Z553" s="49">
        <v>0</v>
      </c>
      <c r="AA553" s="71">
        <v>553</v>
      </c>
      <c r="AB553" s="71"/>
      <c r="AC553" s="72"/>
      <c r="AD553" s="79" t="s">
        <v>2860</v>
      </c>
      <c r="AE553" s="79" t="s">
        <v>3302</v>
      </c>
      <c r="AF553" s="79"/>
      <c r="AG553" s="79" t="s">
        <v>1506</v>
      </c>
      <c r="AH553" s="79" t="s">
        <v>4226</v>
      </c>
      <c r="AI553" s="79">
        <v>28</v>
      </c>
      <c r="AJ553" s="79">
        <v>0</v>
      </c>
      <c r="AK553" s="79">
        <v>3</v>
      </c>
      <c r="AL553" s="79">
        <v>0</v>
      </c>
      <c r="AM553" s="79" t="s">
        <v>2092</v>
      </c>
      <c r="AN553" s="114" t="str">
        <f>HYPERLINK("https://www.youtube.com/watch?v=QiFdq16KpZw")</f>
        <v>https://www.youtube.com/watch?v=QiFdq16KpZw</v>
      </c>
      <c r="AO553" s="78" t="str">
        <f>REPLACE(INDEX(GroupVertices[Group],MATCH(Vertices[[#This Row],[Vertex]],GroupVertices[Vertex],0)),1,1,"")</f>
        <v>ibi sebastian</v>
      </c>
      <c r="AP553" s="2"/>
      <c r="AQ553" s="3"/>
      <c r="AR553" s="3"/>
      <c r="AS553" s="3"/>
      <c r="AT553" s="3"/>
    </row>
    <row r="554" spans="1:46" ht="15">
      <c r="A554" s="64" t="s">
        <v>2385</v>
      </c>
      <c r="B554" s="65"/>
      <c r="C554" s="65"/>
      <c r="D554" s="66">
        <v>150</v>
      </c>
      <c r="E554" s="102">
        <v>97.85714285714286</v>
      </c>
      <c r="F554" s="98" t="str">
        <f>HYPERLINK("https://i.ytimg.com/vi/b9Sl-lU42gE/default.jpg")</f>
        <v>https://i.ytimg.com/vi/b9Sl-lU42gE/default.jpg</v>
      </c>
      <c r="G554" s="100"/>
      <c r="H554" s="69" t="s">
        <v>2861</v>
      </c>
      <c r="I554" s="70"/>
      <c r="J554" s="104" t="s">
        <v>159</v>
      </c>
      <c r="K554" s="69" t="s">
        <v>2861</v>
      </c>
      <c r="L554" s="105">
        <v>1</v>
      </c>
      <c r="M554" s="74">
        <v>5083.16064453125</v>
      </c>
      <c r="N554" s="74">
        <v>5504.0908203125</v>
      </c>
      <c r="O554" s="75"/>
      <c r="P554" s="76"/>
      <c r="Q554" s="76"/>
      <c r="R554" s="106"/>
      <c r="S554" s="48">
        <v>1</v>
      </c>
      <c r="T554" s="48">
        <v>0</v>
      </c>
      <c r="U554" s="49">
        <v>0</v>
      </c>
      <c r="V554" s="49">
        <v>0.167959</v>
      </c>
      <c r="W554" s="107"/>
      <c r="X554" s="50"/>
      <c r="Y554" s="50"/>
      <c r="Z554" s="49">
        <v>0</v>
      </c>
      <c r="AA554" s="71">
        <v>554</v>
      </c>
      <c r="AB554" s="71"/>
      <c r="AC554" s="72"/>
      <c r="AD554" s="79" t="s">
        <v>2861</v>
      </c>
      <c r="AE554" s="79" t="s">
        <v>3303</v>
      </c>
      <c r="AF554" s="79"/>
      <c r="AG554" s="79" t="s">
        <v>1506</v>
      </c>
      <c r="AH554" s="79" t="s">
        <v>4227</v>
      </c>
      <c r="AI554" s="79">
        <v>63</v>
      </c>
      <c r="AJ554" s="79">
        <v>0</v>
      </c>
      <c r="AK554" s="79">
        <v>4</v>
      </c>
      <c r="AL554" s="79">
        <v>0</v>
      </c>
      <c r="AM554" s="79" t="s">
        <v>2092</v>
      </c>
      <c r="AN554" s="114" t="str">
        <f>HYPERLINK("https://www.youtube.com/watch?v=b9Sl-lU42gE")</f>
        <v>https://www.youtube.com/watch?v=b9Sl-lU42gE</v>
      </c>
      <c r="AO554" s="78" t="str">
        <f>REPLACE(INDEX(GroupVertices[Group],MATCH(Vertices[[#This Row],[Vertex]],GroupVertices[Vertex],0)),1,1,"")</f>
        <v>ibi sebastian</v>
      </c>
      <c r="AP554" s="2"/>
      <c r="AQ554" s="3"/>
      <c r="AR554" s="3"/>
      <c r="AS554" s="3"/>
      <c r="AT554" s="3"/>
    </row>
    <row r="555" spans="1:46" ht="15">
      <c r="A555" s="64" t="s">
        <v>2386</v>
      </c>
      <c r="B555" s="65"/>
      <c r="C555" s="65"/>
      <c r="D555" s="66">
        <v>150</v>
      </c>
      <c r="E555" s="102">
        <v>97.85714285714286</v>
      </c>
      <c r="F555" s="98" t="str">
        <f>HYPERLINK("https://i.ytimg.com/vi/oPU1qcAiNiU/default.jpg")</f>
        <v>https://i.ytimg.com/vi/oPU1qcAiNiU/default.jpg</v>
      </c>
      <c r="G555" s="100"/>
      <c r="H555" s="69" t="s">
        <v>2862</v>
      </c>
      <c r="I555" s="70"/>
      <c r="J555" s="104" t="s">
        <v>159</v>
      </c>
      <c r="K555" s="69" t="s">
        <v>2862</v>
      </c>
      <c r="L555" s="105">
        <v>1</v>
      </c>
      <c r="M555" s="74">
        <v>5285.12646484375</v>
      </c>
      <c r="N555" s="74">
        <v>5368.46435546875</v>
      </c>
      <c r="O555" s="75"/>
      <c r="P555" s="76"/>
      <c r="Q555" s="76"/>
      <c r="R555" s="106"/>
      <c r="S555" s="48">
        <v>1</v>
      </c>
      <c r="T555" s="48">
        <v>0</v>
      </c>
      <c r="U555" s="49">
        <v>0</v>
      </c>
      <c r="V555" s="49">
        <v>0.167959</v>
      </c>
      <c r="W555" s="107"/>
      <c r="X555" s="50"/>
      <c r="Y555" s="50"/>
      <c r="Z555" s="49">
        <v>0</v>
      </c>
      <c r="AA555" s="71">
        <v>555</v>
      </c>
      <c r="AB555" s="71"/>
      <c r="AC555" s="72"/>
      <c r="AD555" s="79" t="s">
        <v>2862</v>
      </c>
      <c r="AE555" s="79" t="s">
        <v>3304</v>
      </c>
      <c r="AF555" s="79" t="s">
        <v>3606</v>
      </c>
      <c r="AG555" s="79" t="s">
        <v>1506</v>
      </c>
      <c r="AH555" s="79" t="s">
        <v>4228</v>
      </c>
      <c r="AI555" s="79">
        <v>130</v>
      </c>
      <c r="AJ555" s="79">
        <v>0</v>
      </c>
      <c r="AK555" s="79">
        <v>3</v>
      </c>
      <c r="AL555" s="79">
        <v>0</v>
      </c>
      <c r="AM555" s="79" t="s">
        <v>2092</v>
      </c>
      <c r="AN555" s="114" t="str">
        <f>HYPERLINK("https://www.youtube.com/watch?v=oPU1qcAiNiU")</f>
        <v>https://www.youtube.com/watch?v=oPU1qcAiNiU</v>
      </c>
      <c r="AO555" s="78" t="str">
        <f>REPLACE(INDEX(GroupVertices[Group],MATCH(Vertices[[#This Row],[Vertex]],GroupVertices[Vertex],0)),1,1,"")</f>
        <v>ibi sebastian</v>
      </c>
      <c r="AP555" s="2"/>
      <c r="AQ555" s="3"/>
      <c r="AR555" s="3"/>
      <c r="AS555" s="3"/>
      <c r="AT555" s="3"/>
    </row>
    <row r="556" spans="1:46" ht="15">
      <c r="A556" s="64" t="s">
        <v>2387</v>
      </c>
      <c r="B556" s="65"/>
      <c r="C556" s="65"/>
      <c r="D556" s="66">
        <v>150</v>
      </c>
      <c r="E556" s="102">
        <v>97.85714285714286</v>
      </c>
      <c r="F556" s="98" t="str">
        <f>HYPERLINK("https://i.ytimg.com/vi/DAnC72Hnq1Q/default.jpg")</f>
        <v>https://i.ytimg.com/vi/DAnC72Hnq1Q/default.jpg</v>
      </c>
      <c r="G556" s="100"/>
      <c r="H556" s="69" t="s">
        <v>2863</v>
      </c>
      <c r="I556" s="70"/>
      <c r="J556" s="104" t="s">
        <v>159</v>
      </c>
      <c r="K556" s="69" t="s">
        <v>2863</v>
      </c>
      <c r="L556" s="105">
        <v>1</v>
      </c>
      <c r="M556" s="74">
        <v>6084.27197265625</v>
      </c>
      <c r="N556" s="74">
        <v>6078.68798828125</v>
      </c>
      <c r="O556" s="75"/>
      <c r="P556" s="76"/>
      <c r="Q556" s="76"/>
      <c r="R556" s="106"/>
      <c r="S556" s="48">
        <v>1</v>
      </c>
      <c r="T556" s="48">
        <v>0</v>
      </c>
      <c r="U556" s="49">
        <v>0</v>
      </c>
      <c r="V556" s="49">
        <v>0.167959</v>
      </c>
      <c r="W556" s="107"/>
      <c r="X556" s="50"/>
      <c r="Y556" s="50"/>
      <c r="Z556" s="49">
        <v>0</v>
      </c>
      <c r="AA556" s="71">
        <v>556</v>
      </c>
      <c r="AB556" s="71"/>
      <c r="AC556" s="72"/>
      <c r="AD556" s="79" t="s">
        <v>2863</v>
      </c>
      <c r="AE556" s="79" t="s">
        <v>3305</v>
      </c>
      <c r="AF556" s="79" t="s">
        <v>3607</v>
      </c>
      <c r="AG556" s="79" t="s">
        <v>1506</v>
      </c>
      <c r="AH556" s="79" t="s">
        <v>4229</v>
      </c>
      <c r="AI556" s="79">
        <v>299</v>
      </c>
      <c r="AJ556" s="79">
        <v>0</v>
      </c>
      <c r="AK556" s="79">
        <v>7</v>
      </c>
      <c r="AL556" s="79">
        <v>0</v>
      </c>
      <c r="AM556" s="79" t="s">
        <v>2092</v>
      </c>
      <c r="AN556" s="114" t="str">
        <f>HYPERLINK("https://www.youtube.com/watch?v=DAnC72Hnq1Q")</f>
        <v>https://www.youtube.com/watch?v=DAnC72Hnq1Q</v>
      </c>
      <c r="AO556" s="78" t="str">
        <f>REPLACE(INDEX(GroupVertices[Group],MATCH(Vertices[[#This Row],[Vertex]],GroupVertices[Vertex],0)),1,1,"")</f>
        <v>ibi sebastian</v>
      </c>
      <c r="AP556" s="2"/>
      <c r="AQ556" s="3"/>
      <c r="AR556" s="3"/>
      <c r="AS556" s="3"/>
      <c r="AT556" s="3"/>
    </row>
    <row r="557" spans="1:46" ht="15">
      <c r="A557" s="64" t="s">
        <v>2388</v>
      </c>
      <c r="B557" s="65"/>
      <c r="C557" s="65"/>
      <c r="D557" s="66">
        <v>150</v>
      </c>
      <c r="E557" s="102">
        <v>97.85714285714286</v>
      </c>
      <c r="F557" s="98" t="str">
        <f>HYPERLINK("https://i.ytimg.com/vi/_5qMhGhUF2k/default.jpg")</f>
        <v>https://i.ytimg.com/vi/_5qMhGhUF2k/default.jpg</v>
      </c>
      <c r="G557" s="100"/>
      <c r="H557" s="69" t="s">
        <v>2864</v>
      </c>
      <c r="I557" s="70"/>
      <c r="J557" s="104" t="s">
        <v>159</v>
      </c>
      <c r="K557" s="69" t="s">
        <v>2864</v>
      </c>
      <c r="L557" s="105">
        <v>1</v>
      </c>
      <c r="M557" s="74">
        <v>4672.017578125</v>
      </c>
      <c r="N557" s="74">
        <v>6139.42236328125</v>
      </c>
      <c r="O557" s="75"/>
      <c r="P557" s="76"/>
      <c r="Q557" s="76"/>
      <c r="R557" s="106"/>
      <c r="S557" s="48">
        <v>1</v>
      </c>
      <c r="T557" s="48">
        <v>0</v>
      </c>
      <c r="U557" s="49">
        <v>0</v>
      </c>
      <c r="V557" s="49">
        <v>0.167959</v>
      </c>
      <c r="W557" s="107"/>
      <c r="X557" s="50"/>
      <c r="Y557" s="50"/>
      <c r="Z557" s="49">
        <v>0</v>
      </c>
      <c r="AA557" s="71">
        <v>557</v>
      </c>
      <c r="AB557" s="71"/>
      <c r="AC557" s="72"/>
      <c r="AD557" s="79" t="s">
        <v>2864</v>
      </c>
      <c r="AE557" s="79" t="s">
        <v>3306</v>
      </c>
      <c r="AF557" s="79" t="s">
        <v>3608</v>
      </c>
      <c r="AG557" s="79" t="s">
        <v>1506</v>
      </c>
      <c r="AH557" s="79" t="s">
        <v>4230</v>
      </c>
      <c r="AI557" s="79">
        <v>1059</v>
      </c>
      <c r="AJ557" s="79">
        <v>2</v>
      </c>
      <c r="AK557" s="79">
        <v>26</v>
      </c>
      <c r="AL557" s="79">
        <v>0</v>
      </c>
      <c r="AM557" s="79" t="s">
        <v>2092</v>
      </c>
      <c r="AN557" s="114" t="str">
        <f>HYPERLINK("https://www.youtube.com/watch?v=_5qMhGhUF2k")</f>
        <v>https://www.youtube.com/watch?v=_5qMhGhUF2k</v>
      </c>
      <c r="AO557" s="78" t="str">
        <f>REPLACE(INDEX(GroupVertices[Group],MATCH(Vertices[[#This Row],[Vertex]],GroupVertices[Vertex],0)),1,1,"")</f>
        <v>ibi sebastian</v>
      </c>
      <c r="AP557" s="2"/>
      <c r="AQ557" s="3"/>
      <c r="AR557" s="3"/>
      <c r="AS557" s="3"/>
      <c r="AT557" s="3"/>
    </row>
    <row r="558" spans="1:46" ht="15">
      <c r="A558" s="64" t="s">
        <v>2389</v>
      </c>
      <c r="B558" s="65"/>
      <c r="C558" s="65"/>
      <c r="D558" s="66">
        <v>150</v>
      </c>
      <c r="E558" s="102">
        <v>97.85714285714286</v>
      </c>
      <c r="F558" s="98" t="str">
        <f>HYPERLINK("https://i.ytimg.com/vi/yvwRwquThfw/default.jpg")</f>
        <v>https://i.ytimg.com/vi/yvwRwquThfw/default.jpg</v>
      </c>
      <c r="G558" s="100"/>
      <c r="H558" s="69" t="s">
        <v>2865</v>
      </c>
      <c r="I558" s="70"/>
      <c r="J558" s="104" t="s">
        <v>159</v>
      </c>
      <c r="K558" s="69" t="s">
        <v>2865</v>
      </c>
      <c r="L558" s="105">
        <v>1</v>
      </c>
      <c r="M558" s="74">
        <v>6390.05810546875</v>
      </c>
      <c r="N558" s="74">
        <v>6638.06689453125</v>
      </c>
      <c r="O558" s="75"/>
      <c r="P558" s="76"/>
      <c r="Q558" s="76"/>
      <c r="R558" s="106"/>
      <c r="S558" s="48">
        <v>1</v>
      </c>
      <c r="T558" s="48">
        <v>0</v>
      </c>
      <c r="U558" s="49">
        <v>0</v>
      </c>
      <c r="V558" s="49">
        <v>0.167959</v>
      </c>
      <c r="W558" s="107"/>
      <c r="X558" s="50"/>
      <c r="Y558" s="50"/>
      <c r="Z558" s="49">
        <v>0</v>
      </c>
      <c r="AA558" s="71">
        <v>558</v>
      </c>
      <c r="AB558" s="71"/>
      <c r="AC558" s="72"/>
      <c r="AD558" s="79" t="s">
        <v>2865</v>
      </c>
      <c r="AE558" s="79" t="s">
        <v>3307</v>
      </c>
      <c r="AF558" s="79"/>
      <c r="AG558" s="79" t="s">
        <v>1506</v>
      </c>
      <c r="AH558" s="79" t="s">
        <v>4231</v>
      </c>
      <c r="AI558" s="79">
        <v>230</v>
      </c>
      <c r="AJ558" s="79">
        <v>1</v>
      </c>
      <c r="AK558" s="79">
        <v>6</v>
      </c>
      <c r="AL558" s="79">
        <v>0</v>
      </c>
      <c r="AM558" s="79" t="s">
        <v>2092</v>
      </c>
      <c r="AN558" s="114" t="str">
        <f>HYPERLINK("https://www.youtube.com/watch?v=yvwRwquThfw")</f>
        <v>https://www.youtube.com/watch?v=yvwRwquThfw</v>
      </c>
      <c r="AO558" s="78" t="str">
        <f>REPLACE(INDEX(GroupVertices[Group],MATCH(Vertices[[#This Row],[Vertex]],GroupVertices[Vertex],0)),1,1,"")</f>
        <v>ibi sebastian</v>
      </c>
      <c r="AP558" s="2"/>
      <c r="AQ558" s="3"/>
      <c r="AR558" s="3"/>
      <c r="AS558" s="3"/>
      <c r="AT558" s="3"/>
    </row>
    <row r="559" spans="1:46" ht="15">
      <c r="A559" s="64" t="s">
        <v>2390</v>
      </c>
      <c r="B559" s="65"/>
      <c r="C559" s="65"/>
      <c r="D559" s="66">
        <v>150</v>
      </c>
      <c r="E559" s="102">
        <v>97.85714285714286</v>
      </c>
      <c r="F559" s="98" t="str">
        <f>HYPERLINK("https://i.ytimg.com/vi/G1BKfjUjPwY/default.jpg")</f>
        <v>https://i.ytimg.com/vi/G1BKfjUjPwY/default.jpg</v>
      </c>
      <c r="G559" s="100"/>
      <c r="H559" s="69" t="s">
        <v>2866</v>
      </c>
      <c r="I559" s="70"/>
      <c r="J559" s="104" t="s">
        <v>159</v>
      </c>
      <c r="K559" s="69" t="s">
        <v>2866</v>
      </c>
      <c r="L559" s="105">
        <v>1</v>
      </c>
      <c r="M559" s="74">
        <v>5275.7255859375</v>
      </c>
      <c r="N559" s="74">
        <v>7330.09521484375</v>
      </c>
      <c r="O559" s="75"/>
      <c r="P559" s="76"/>
      <c r="Q559" s="76"/>
      <c r="R559" s="106"/>
      <c r="S559" s="48">
        <v>1</v>
      </c>
      <c r="T559" s="48">
        <v>0</v>
      </c>
      <c r="U559" s="49">
        <v>0</v>
      </c>
      <c r="V559" s="49">
        <v>0.167959</v>
      </c>
      <c r="W559" s="107"/>
      <c r="X559" s="50"/>
      <c r="Y559" s="50"/>
      <c r="Z559" s="49">
        <v>0</v>
      </c>
      <c r="AA559" s="71">
        <v>559</v>
      </c>
      <c r="AB559" s="71"/>
      <c r="AC559" s="72"/>
      <c r="AD559" s="79" t="s">
        <v>2866</v>
      </c>
      <c r="AE559" s="79" t="s">
        <v>3308</v>
      </c>
      <c r="AF559" s="79" t="s">
        <v>3609</v>
      </c>
      <c r="AG559" s="79" t="s">
        <v>1506</v>
      </c>
      <c r="AH559" s="79" t="s">
        <v>4232</v>
      </c>
      <c r="AI559" s="79">
        <v>865</v>
      </c>
      <c r="AJ559" s="79">
        <v>2</v>
      </c>
      <c r="AK559" s="79">
        <v>20</v>
      </c>
      <c r="AL559" s="79">
        <v>0</v>
      </c>
      <c r="AM559" s="79" t="s">
        <v>2092</v>
      </c>
      <c r="AN559" s="114" t="str">
        <f>HYPERLINK("https://www.youtube.com/watch?v=G1BKfjUjPwY")</f>
        <v>https://www.youtube.com/watch?v=G1BKfjUjPwY</v>
      </c>
      <c r="AO559" s="78" t="str">
        <f>REPLACE(INDEX(GroupVertices[Group],MATCH(Vertices[[#This Row],[Vertex]],GroupVertices[Vertex],0)),1,1,"")</f>
        <v>ibi sebastian</v>
      </c>
      <c r="AP559" s="2"/>
      <c r="AQ559" s="3"/>
      <c r="AR559" s="3"/>
      <c r="AS559" s="3"/>
      <c r="AT559" s="3"/>
    </row>
    <row r="560" spans="1:46" ht="15">
      <c r="A560" s="64" t="s">
        <v>2391</v>
      </c>
      <c r="B560" s="65"/>
      <c r="C560" s="65"/>
      <c r="D560" s="66">
        <v>150</v>
      </c>
      <c r="E560" s="102">
        <v>97.85714285714286</v>
      </c>
      <c r="F560" s="98" t="str">
        <f>HYPERLINK("https://i.ytimg.com/vi/YUXKN2hrPkE/default.jpg")</f>
        <v>https://i.ytimg.com/vi/YUXKN2hrPkE/default.jpg</v>
      </c>
      <c r="G560" s="100"/>
      <c r="H560" s="69" t="s">
        <v>2867</v>
      </c>
      <c r="I560" s="70"/>
      <c r="J560" s="104" t="s">
        <v>159</v>
      </c>
      <c r="K560" s="69" t="s">
        <v>2867</v>
      </c>
      <c r="L560" s="105">
        <v>1</v>
      </c>
      <c r="M560" s="74">
        <v>5064.68212890625</v>
      </c>
      <c r="N560" s="74">
        <v>6453.45263671875</v>
      </c>
      <c r="O560" s="75"/>
      <c r="P560" s="76"/>
      <c r="Q560" s="76"/>
      <c r="R560" s="106"/>
      <c r="S560" s="48">
        <v>1</v>
      </c>
      <c r="T560" s="48">
        <v>0</v>
      </c>
      <c r="U560" s="49">
        <v>0</v>
      </c>
      <c r="V560" s="49">
        <v>0.167959</v>
      </c>
      <c r="W560" s="107"/>
      <c r="X560" s="50"/>
      <c r="Y560" s="50"/>
      <c r="Z560" s="49">
        <v>0</v>
      </c>
      <c r="AA560" s="71">
        <v>560</v>
      </c>
      <c r="AB560" s="71"/>
      <c r="AC560" s="72"/>
      <c r="AD560" s="79" t="s">
        <v>2867</v>
      </c>
      <c r="AE560" s="79" t="s">
        <v>3309</v>
      </c>
      <c r="AF560" s="79"/>
      <c r="AG560" s="79" t="s">
        <v>1506</v>
      </c>
      <c r="AH560" s="79" t="s">
        <v>4233</v>
      </c>
      <c r="AI560" s="79">
        <v>144</v>
      </c>
      <c r="AJ560" s="79">
        <v>3</v>
      </c>
      <c r="AK560" s="79">
        <v>11</v>
      </c>
      <c r="AL560" s="79">
        <v>0</v>
      </c>
      <c r="AM560" s="79" t="s">
        <v>2092</v>
      </c>
      <c r="AN560" s="114" t="str">
        <f>HYPERLINK("https://www.youtube.com/watch?v=YUXKN2hrPkE")</f>
        <v>https://www.youtube.com/watch?v=YUXKN2hrPkE</v>
      </c>
      <c r="AO560" s="78" t="str">
        <f>REPLACE(INDEX(GroupVertices[Group],MATCH(Vertices[[#This Row],[Vertex]],GroupVertices[Vertex],0)),1,1,"")</f>
        <v>ibi sebastian</v>
      </c>
      <c r="AP560" s="2"/>
      <c r="AQ560" s="3"/>
      <c r="AR560" s="3"/>
      <c r="AS560" s="3"/>
      <c r="AT560" s="3"/>
    </row>
    <row r="561" spans="1:46" ht="15">
      <c r="A561" s="64" t="s">
        <v>2392</v>
      </c>
      <c r="B561" s="65"/>
      <c r="C561" s="65"/>
      <c r="D561" s="66">
        <v>150</v>
      </c>
      <c r="E561" s="102">
        <v>97.85714285714286</v>
      </c>
      <c r="F561" s="98" t="str">
        <f>HYPERLINK("https://i.ytimg.com/vi/D048uC81iFU/default.jpg")</f>
        <v>https://i.ytimg.com/vi/D048uC81iFU/default.jpg</v>
      </c>
      <c r="G561" s="100"/>
      <c r="H561" s="69" t="s">
        <v>2868</v>
      </c>
      <c r="I561" s="70"/>
      <c r="J561" s="104" t="s">
        <v>159</v>
      </c>
      <c r="K561" s="69" t="s">
        <v>2868</v>
      </c>
      <c r="L561" s="105">
        <v>1</v>
      </c>
      <c r="M561" s="74">
        <v>5389.037109375</v>
      </c>
      <c r="N561" s="74">
        <v>6725.49560546875</v>
      </c>
      <c r="O561" s="75"/>
      <c r="P561" s="76"/>
      <c r="Q561" s="76"/>
      <c r="R561" s="106"/>
      <c r="S561" s="48">
        <v>1</v>
      </c>
      <c r="T561" s="48">
        <v>0</v>
      </c>
      <c r="U561" s="49">
        <v>0</v>
      </c>
      <c r="V561" s="49">
        <v>0.167959</v>
      </c>
      <c r="W561" s="107"/>
      <c r="X561" s="50"/>
      <c r="Y561" s="50"/>
      <c r="Z561" s="49">
        <v>0</v>
      </c>
      <c r="AA561" s="71">
        <v>561</v>
      </c>
      <c r="AB561" s="71"/>
      <c r="AC561" s="72"/>
      <c r="AD561" s="79" t="s">
        <v>2868</v>
      </c>
      <c r="AE561" s="79" t="s">
        <v>3310</v>
      </c>
      <c r="AF561" s="79"/>
      <c r="AG561" s="79" t="s">
        <v>1506</v>
      </c>
      <c r="AH561" s="79" t="s">
        <v>4234</v>
      </c>
      <c r="AI561" s="79">
        <v>4289</v>
      </c>
      <c r="AJ561" s="79">
        <v>4</v>
      </c>
      <c r="AK561" s="79">
        <v>111</v>
      </c>
      <c r="AL561" s="79">
        <v>0</v>
      </c>
      <c r="AM561" s="79" t="s">
        <v>2092</v>
      </c>
      <c r="AN561" s="114" t="str">
        <f>HYPERLINK("https://www.youtube.com/watch?v=D048uC81iFU")</f>
        <v>https://www.youtube.com/watch?v=D048uC81iFU</v>
      </c>
      <c r="AO561" s="78" t="str">
        <f>REPLACE(INDEX(GroupVertices[Group],MATCH(Vertices[[#This Row],[Vertex]],GroupVertices[Vertex],0)),1,1,"")</f>
        <v>ibi sebastian</v>
      </c>
      <c r="AP561" s="2"/>
      <c r="AQ561" s="3"/>
      <c r="AR561" s="3"/>
      <c r="AS561" s="3"/>
      <c r="AT561" s="3"/>
    </row>
    <row r="562" spans="1:46" ht="15">
      <c r="A562" s="64" t="s">
        <v>264</v>
      </c>
      <c r="B562" s="65"/>
      <c r="C562" s="65"/>
      <c r="D562" s="66">
        <v>150</v>
      </c>
      <c r="E562" s="102">
        <v>97.85714285714286</v>
      </c>
      <c r="F562" s="98" t="str">
        <f>HYPERLINK("https://i.ytimg.com/vi/-zCcef-SB2A/default.jpg")</f>
        <v>https://i.ytimg.com/vi/-zCcef-SB2A/default.jpg</v>
      </c>
      <c r="G562" s="100"/>
      <c r="H562" s="69" t="s">
        <v>637</v>
      </c>
      <c r="I562" s="70"/>
      <c r="J562" s="104" t="s">
        <v>159</v>
      </c>
      <c r="K562" s="69" t="s">
        <v>637</v>
      </c>
      <c r="L562" s="105">
        <v>1</v>
      </c>
      <c r="M562" s="74">
        <v>5921.0107421875</v>
      </c>
      <c r="N562" s="74">
        <v>5718.80322265625</v>
      </c>
      <c r="O562" s="75"/>
      <c r="P562" s="76"/>
      <c r="Q562" s="76"/>
      <c r="R562" s="106"/>
      <c r="S562" s="48">
        <v>1</v>
      </c>
      <c r="T562" s="48">
        <v>0</v>
      </c>
      <c r="U562" s="49">
        <v>0</v>
      </c>
      <c r="V562" s="49">
        <v>0.167959</v>
      </c>
      <c r="W562" s="107"/>
      <c r="X562" s="50"/>
      <c r="Y562" s="50"/>
      <c r="Z562" s="49">
        <v>0</v>
      </c>
      <c r="AA562" s="71">
        <v>562</v>
      </c>
      <c r="AB562" s="71"/>
      <c r="AC562" s="72"/>
      <c r="AD562" s="79" t="s">
        <v>637</v>
      </c>
      <c r="AE562" s="79" t="s">
        <v>1044</v>
      </c>
      <c r="AF562" s="79"/>
      <c r="AG562" s="79" t="s">
        <v>1503</v>
      </c>
      <c r="AH562" s="79" t="s">
        <v>1693</v>
      </c>
      <c r="AI562" s="79">
        <v>52296</v>
      </c>
      <c r="AJ562" s="79">
        <v>143</v>
      </c>
      <c r="AK562" s="79">
        <v>1401</v>
      </c>
      <c r="AL562" s="79">
        <v>0</v>
      </c>
      <c r="AM562" s="79" t="s">
        <v>2092</v>
      </c>
      <c r="AN562" s="114" t="str">
        <f>HYPERLINK("https://www.youtube.com/watch?v=-zCcef-SB2A")</f>
        <v>https://www.youtube.com/watch?v=-zCcef-SB2A</v>
      </c>
      <c r="AO562" s="78" t="str">
        <f>REPLACE(INDEX(GroupVertices[Group],MATCH(Vertices[[#This Row],[Vertex]],GroupVertices[Vertex],0)),1,1,"")</f>
        <v>nline Nursing Classes</v>
      </c>
      <c r="AP562" s="2"/>
      <c r="AQ562" s="3"/>
      <c r="AR562" s="3"/>
      <c r="AS562" s="3"/>
      <c r="AT562" s="3"/>
    </row>
    <row r="563" spans="1:46" ht="15">
      <c r="A563" s="64" t="s">
        <v>532</v>
      </c>
      <c r="B563" s="65"/>
      <c r="C563" s="65"/>
      <c r="D563" s="66">
        <v>150</v>
      </c>
      <c r="E563" s="102">
        <v>97.85714285714286</v>
      </c>
      <c r="F563" s="98" t="str">
        <f>HYPERLINK("https://i.ytimg.com/vi/2Qd4cVU8cwo/default.jpg")</f>
        <v>https://i.ytimg.com/vi/2Qd4cVU8cwo/default.jpg</v>
      </c>
      <c r="G563" s="100"/>
      <c r="H563" s="69" t="s">
        <v>954</v>
      </c>
      <c r="I563" s="70"/>
      <c r="J563" s="104" t="s">
        <v>159</v>
      </c>
      <c r="K563" s="69" t="s">
        <v>954</v>
      </c>
      <c r="L563" s="105">
        <v>1</v>
      </c>
      <c r="M563" s="74">
        <v>5915.74365234375</v>
      </c>
      <c r="N563" s="74">
        <v>6379.80712890625</v>
      </c>
      <c r="O563" s="75"/>
      <c r="P563" s="76"/>
      <c r="Q563" s="76"/>
      <c r="R563" s="106"/>
      <c r="S563" s="48">
        <v>1</v>
      </c>
      <c r="T563" s="48">
        <v>0</v>
      </c>
      <c r="U563" s="49">
        <v>0</v>
      </c>
      <c r="V563" s="49">
        <v>0.167959</v>
      </c>
      <c r="W563" s="107"/>
      <c r="X563" s="50"/>
      <c r="Y563" s="50"/>
      <c r="Z563" s="49">
        <v>0</v>
      </c>
      <c r="AA563" s="71">
        <v>563</v>
      </c>
      <c r="AB563" s="71"/>
      <c r="AC563" s="72"/>
      <c r="AD563" s="79" t="s">
        <v>954</v>
      </c>
      <c r="AE563" s="79" t="s">
        <v>1244</v>
      </c>
      <c r="AF563" s="79"/>
      <c r="AG563" s="79" t="s">
        <v>1503</v>
      </c>
      <c r="AH563" s="79" t="s">
        <v>2011</v>
      </c>
      <c r="AI563" s="79">
        <v>53664</v>
      </c>
      <c r="AJ563" s="79">
        <v>304</v>
      </c>
      <c r="AK563" s="79">
        <v>1710</v>
      </c>
      <c r="AL563" s="79">
        <v>0</v>
      </c>
      <c r="AM563" s="79" t="s">
        <v>2092</v>
      </c>
      <c r="AN563" s="114" t="str">
        <f>HYPERLINK("https://www.youtube.com/watch?v=2Qd4cVU8cwo")</f>
        <v>https://www.youtube.com/watch?v=2Qd4cVU8cwo</v>
      </c>
      <c r="AO563" s="78" t="str">
        <f>REPLACE(INDEX(GroupVertices[Group],MATCH(Vertices[[#This Row],[Vertex]],GroupVertices[Vertex],0)),1,1,"")</f>
        <v>nline Nursing Classes</v>
      </c>
      <c r="AP563" s="2"/>
      <c r="AQ563" s="3"/>
      <c r="AR563" s="3"/>
      <c r="AS563" s="3"/>
      <c r="AT563" s="3"/>
    </row>
    <row r="564" spans="1:46" ht="15">
      <c r="A564" s="64" t="s">
        <v>2393</v>
      </c>
      <c r="B564" s="65"/>
      <c r="C564" s="65"/>
      <c r="D564" s="66">
        <v>150</v>
      </c>
      <c r="E564" s="102">
        <v>93.57142857142857</v>
      </c>
      <c r="F564" s="98" t="str">
        <f>HYPERLINK("https://i.ytimg.com/vi/hCOR7bYqObE/default_live.jpg")</f>
        <v>https://i.ytimg.com/vi/hCOR7bYqObE/default_live.jpg</v>
      </c>
      <c r="G564" s="100"/>
      <c r="H564" s="69" t="s">
        <v>2869</v>
      </c>
      <c r="I564" s="70"/>
      <c r="J564" s="104" t="s">
        <v>75</v>
      </c>
      <c r="K564" s="69" t="s">
        <v>2869</v>
      </c>
      <c r="L564" s="105">
        <v>2732.9418366616696</v>
      </c>
      <c r="M564" s="74">
        <v>6398.2890625</v>
      </c>
      <c r="N564" s="74">
        <v>6149.5537109375</v>
      </c>
      <c r="O564" s="75"/>
      <c r="P564" s="76"/>
      <c r="Q564" s="76"/>
      <c r="R564" s="106"/>
      <c r="S564" s="48">
        <v>3</v>
      </c>
      <c r="T564" s="48">
        <v>0</v>
      </c>
      <c r="U564" s="49">
        <v>38161.50421</v>
      </c>
      <c r="V564" s="49">
        <v>0.189218</v>
      </c>
      <c r="W564" s="107"/>
      <c r="X564" s="50"/>
      <c r="Y564" s="50"/>
      <c r="Z564" s="49">
        <v>0</v>
      </c>
      <c r="AA564" s="71">
        <v>564</v>
      </c>
      <c r="AB564" s="71"/>
      <c r="AC564" s="72"/>
      <c r="AD564" s="79" t="s">
        <v>2869</v>
      </c>
      <c r="AE564" s="79" t="s">
        <v>3311</v>
      </c>
      <c r="AF564" s="79" t="s">
        <v>3610</v>
      </c>
      <c r="AG564" s="79" t="s">
        <v>3844</v>
      </c>
      <c r="AH564" s="79" t="s">
        <v>4235</v>
      </c>
      <c r="AI564" s="79">
        <v>1164</v>
      </c>
      <c r="AJ564" s="79">
        <v>0</v>
      </c>
      <c r="AK564" s="79">
        <v>352</v>
      </c>
      <c r="AL564" s="79">
        <v>0</v>
      </c>
      <c r="AM564" s="79" t="s">
        <v>2092</v>
      </c>
      <c r="AN564" s="114" t="str">
        <f>HYPERLINK("https://www.youtube.com/watch?v=hCOR7bYqObE")</f>
        <v>https://www.youtube.com/watch?v=hCOR7bYqObE</v>
      </c>
      <c r="AO564" s="78" t="str">
        <f>REPLACE(INDEX(GroupVertices[Group],MATCH(Vertices[[#This Row],[Vertex]],GroupVertices[Vertex],0)),1,1,"")</f>
        <v>tkarsh Nursing Classes</v>
      </c>
      <c r="AP564" s="2"/>
      <c r="AQ564" s="3"/>
      <c r="AR564" s="3"/>
      <c r="AS564" s="3"/>
      <c r="AT564" s="3"/>
    </row>
    <row r="565" spans="1:46" ht="15">
      <c r="A565" s="64" t="s">
        <v>2394</v>
      </c>
      <c r="B565" s="65"/>
      <c r="C565" s="65"/>
      <c r="D565" s="66">
        <v>150</v>
      </c>
      <c r="E565" s="102">
        <v>95.71428571428571</v>
      </c>
      <c r="F565" s="98" t="str">
        <f>HYPERLINK("https://i.ytimg.com/vi/X9QFzjpAc8U/default_live.jpg")</f>
        <v>https://i.ytimg.com/vi/X9QFzjpAc8U/default_live.jpg</v>
      </c>
      <c r="G565" s="100"/>
      <c r="H565" s="69" t="s">
        <v>2870</v>
      </c>
      <c r="I565" s="70"/>
      <c r="J565" s="104" t="s">
        <v>75</v>
      </c>
      <c r="K565" s="69" t="s">
        <v>2870</v>
      </c>
      <c r="L565" s="105">
        <v>458.43609844966085</v>
      </c>
      <c r="M565" s="74">
        <v>2784.216552734375</v>
      </c>
      <c r="N565" s="74">
        <v>6820.138671875</v>
      </c>
      <c r="O565" s="75"/>
      <c r="P565" s="76"/>
      <c r="Q565" s="76"/>
      <c r="R565" s="106"/>
      <c r="S565" s="48">
        <v>2</v>
      </c>
      <c r="T565" s="48">
        <v>0</v>
      </c>
      <c r="U565" s="49">
        <v>6389.758875</v>
      </c>
      <c r="V565" s="49">
        <v>0.171907</v>
      </c>
      <c r="W565" s="107"/>
      <c r="X565" s="50"/>
      <c r="Y565" s="50"/>
      <c r="Z565" s="49">
        <v>0</v>
      </c>
      <c r="AA565" s="71">
        <v>565</v>
      </c>
      <c r="AB565" s="71"/>
      <c r="AC565" s="72"/>
      <c r="AD565" s="79" t="s">
        <v>2870</v>
      </c>
      <c r="AE565" s="79" t="s">
        <v>3312</v>
      </c>
      <c r="AF565" s="79" t="s">
        <v>3611</v>
      </c>
      <c r="AG565" s="79" t="s">
        <v>3845</v>
      </c>
      <c r="AH565" s="79" t="s">
        <v>4236</v>
      </c>
      <c r="AI565" s="79">
        <v>50</v>
      </c>
      <c r="AJ565" s="79">
        <v>0</v>
      </c>
      <c r="AK565" s="79">
        <v>13</v>
      </c>
      <c r="AL565" s="79">
        <v>0</v>
      </c>
      <c r="AM565" s="79" t="s">
        <v>2092</v>
      </c>
      <c r="AN565" s="114" t="str">
        <f>HYPERLINK("https://www.youtube.com/watch?v=X9QFzjpAc8U")</f>
        <v>https://www.youtube.com/watch?v=X9QFzjpAc8U</v>
      </c>
      <c r="AO565" s="78" t="str">
        <f>REPLACE(INDEX(GroupVertices[Group],MATCH(Vertices[[#This Row],[Vertex]],GroupVertices[Vertex],0)),1,1,"")</f>
        <v>OOGLY MCI Education</v>
      </c>
      <c r="AP565" s="2"/>
      <c r="AQ565" s="3"/>
      <c r="AR565" s="3"/>
      <c r="AS565" s="3"/>
      <c r="AT565" s="3"/>
    </row>
    <row r="566" spans="1:46" ht="15">
      <c r="A566" s="64" t="s">
        <v>531</v>
      </c>
      <c r="B566" s="65"/>
      <c r="C566" s="65"/>
      <c r="D566" s="66">
        <v>150</v>
      </c>
      <c r="E566" s="102">
        <v>89.28571428571429</v>
      </c>
      <c r="F566" s="98" t="str">
        <f>HYPERLINK("https://i.ytimg.com/vi/PC16qeIdLtE/default.jpg")</f>
        <v>https://i.ytimg.com/vi/PC16qeIdLtE/default.jpg</v>
      </c>
      <c r="G566" s="100"/>
      <c r="H566" s="69" t="s">
        <v>953</v>
      </c>
      <c r="I566" s="70"/>
      <c r="J566" s="104" t="s">
        <v>75</v>
      </c>
      <c r="K566" s="69" t="s">
        <v>953</v>
      </c>
      <c r="L566" s="105">
        <v>4625.124252875781</v>
      </c>
      <c r="M566" s="74">
        <v>1219.9534912109375</v>
      </c>
      <c r="N566" s="74">
        <v>1533.45751953125</v>
      </c>
      <c r="O566" s="75"/>
      <c r="P566" s="76"/>
      <c r="Q566" s="76"/>
      <c r="R566" s="106"/>
      <c r="S566" s="48">
        <v>5</v>
      </c>
      <c r="T566" s="48">
        <v>0</v>
      </c>
      <c r="U566" s="49">
        <v>64592.713789</v>
      </c>
      <c r="V566" s="49">
        <v>0.234372</v>
      </c>
      <c r="W566" s="107"/>
      <c r="X566" s="50"/>
      <c r="Y566" s="50"/>
      <c r="Z566" s="49">
        <v>0</v>
      </c>
      <c r="AA566" s="71">
        <v>566</v>
      </c>
      <c r="AB566" s="71"/>
      <c r="AC566" s="72"/>
      <c r="AD566" s="79" t="s">
        <v>953</v>
      </c>
      <c r="AE566" s="79" t="s">
        <v>1243</v>
      </c>
      <c r="AF566" s="79" t="s">
        <v>1441</v>
      </c>
      <c r="AG566" s="79" t="s">
        <v>1667</v>
      </c>
      <c r="AH566" s="79" t="s">
        <v>2010</v>
      </c>
      <c r="AI566" s="79">
        <v>7585</v>
      </c>
      <c r="AJ566" s="79">
        <v>10</v>
      </c>
      <c r="AK566" s="79">
        <v>277</v>
      </c>
      <c r="AL566" s="79">
        <v>0</v>
      </c>
      <c r="AM566" s="79" t="s">
        <v>2092</v>
      </c>
      <c r="AN566" s="114" t="str">
        <f>HYPERLINK("https://www.youtube.com/watch?v=PC16qeIdLtE")</f>
        <v>https://www.youtube.com/watch?v=PC16qeIdLtE</v>
      </c>
      <c r="AO566" s="78" t="str">
        <f>REPLACE(INDEX(GroupVertices[Group],MATCH(Vertices[[#This Row],[Vertex]],GroupVertices[Vertex],0)),1,1,"")</f>
        <v>earn With Jenny</v>
      </c>
      <c r="AP566" s="2"/>
      <c r="AQ566" s="3"/>
      <c r="AR566" s="3"/>
      <c r="AS566" s="3"/>
      <c r="AT566" s="3"/>
    </row>
    <row r="567" spans="1:46" ht="15">
      <c r="A567" s="64" t="s">
        <v>2395</v>
      </c>
      <c r="B567" s="65"/>
      <c r="C567" s="65"/>
      <c r="D567" s="66">
        <v>150</v>
      </c>
      <c r="E567" s="102">
        <v>93.57142857142857</v>
      </c>
      <c r="F567" s="98" t="str">
        <f>HYPERLINK("https://i.ytimg.com/vi/xPGxCFJ6ucY/default.jpg")</f>
        <v>https://i.ytimg.com/vi/xPGxCFJ6ucY/default.jpg</v>
      </c>
      <c r="G567" s="100"/>
      <c r="H567" s="69" t="s">
        <v>2871</v>
      </c>
      <c r="I567" s="70"/>
      <c r="J567" s="104" t="s">
        <v>75</v>
      </c>
      <c r="K567" s="69" t="s">
        <v>2871</v>
      </c>
      <c r="L567" s="105">
        <v>1133.4235482629522</v>
      </c>
      <c r="M567" s="74">
        <v>1187.1151123046875</v>
      </c>
      <c r="N567" s="74">
        <v>1672.55908203125</v>
      </c>
      <c r="O567" s="75"/>
      <c r="P567" s="76"/>
      <c r="Q567" s="76"/>
      <c r="R567" s="106"/>
      <c r="S567" s="48">
        <v>3</v>
      </c>
      <c r="T567" s="48">
        <v>0</v>
      </c>
      <c r="U567" s="49">
        <v>15818.413637</v>
      </c>
      <c r="V567" s="49">
        <v>0.217772</v>
      </c>
      <c r="W567" s="107"/>
      <c r="X567" s="50"/>
      <c r="Y567" s="50"/>
      <c r="Z567" s="49">
        <v>0</v>
      </c>
      <c r="AA567" s="71">
        <v>567</v>
      </c>
      <c r="AB567" s="71"/>
      <c r="AC567" s="72"/>
      <c r="AD567" s="79" t="s">
        <v>2871</v>
      </c>
      <c r="AE567" s="79" t="s">
        <v>3313</v>
      </c>
      <c r="AF567" s="79" t="s">
        <v>3612</v>
      </c>
      <c r="AG567" s="79" t="s">
        <v>1667</v>
      </c>
      <c r="AH567" s="79" t="s">
        <v>4237</v>
      </c>
      <c r="AI567" s="79">
        <v>389</v>
      </c>
      <c r="AJ567" s="79">
        <v>4</v>
      </c>
      <c r="AK567" s="79">
        <v>27</v>
      </c>
      <c r="AL567" s="79">
        <v>0</v>
      </c>
      <c r="AM567" s="79" t="s">
        <v>2092</v>
      </c>
      <c r="AN567" s="114" t="str">
        <f>HYPERLINK("https://www.youtube.com/watch?v=xPGxCFJ6ucY")</f>
        <v>https://www.youtube.com/watch?v=xPGxCFJ6ucY</v>
      </c>
      <c r="AO567" s="78" t="str">
        <f>REPLACE(INDEX(GroupVertices[Group],MATCH(Vertices[[#This Row],[Vertex]],GroupVertices[Vertex],0)),1,1,"")</f>
        <v>earn With Jenny</v>
      </c>
      <c r="AP567" s="2"/>
      <c r="AQ567" s="3"/>
      <c r="AR567" s="3"/>
      <c r="AS567" s="3"/>
      <c r="AT567" s="3"/>
    </row>
    <row r="568" spans="1:46" ht="15">
      <c r="A568" s="64" t="s">
        <v>2396</v>
      </c>
      <c r="B568" s="65"/>
      <c r="C568" s="65"/>
      <c r="D568" s="66">
        <v>150</v>
      </c>
      <c r="E568" s="102">
        <v>97.85714285714286</v>
      </c>
      <c r="F568" s="98" t="str">
        <f>HYPERLINK("https://i.ytimg.com/vi/OL5IKUr4Rmg/default.jpg")</f>
        <v>https://i.ytimg.com/vi/OL5IKUr4Rmg/default.jpg</v>
      </c>
      <c r="G568" s="100"/>
      <c r="H568" s="69" t="s">
        <v>2872</v>
      </c>
      <c r="I568" s="70"/>
      <c r="J568" s="104" t="s">
        <v>159</v>
      </c>
      <c r="K568" s="69" t="s">
        <v>2872</v>
      </c>
      <c r="L568" s="105">
        <v>1</v>
      </c>
      <c r="M568" s="74">
        <v>4724.78759765625</v>
      </c>
      <c r="N568" s="74">
        <v>9514.3232421875</v>
      </c>
      <c r="O568" s="75"/>
      <c r="P568" s="76"/>
      <c r="Q568" s="76"/>
      <c r="R568" s="106"/>
      <c r="S568" s="48">
        <v>1</v>
      </c>
      <c r="T568" s="48">
        <v>0</v>
      </c>
      <c r="U568" s="49">
        <v>0</v>
      </c>
      <c r="V568" s="49">
        <v>0.142262</v>
      </c>
      <c r="W568" s="107"/>
      <c r="X568" s="50"/>
      <c r="Y568" s="50"/>
      <c r="Z568" s="49">
        <v>0</v>
      </c>
      <c r="AA568" s="71">
        <v>568</v>
      </c>
      <c r="AB568" s="71"/>
      <c r="AC568" s="72"/>
      <c r="AD568" s="79" t="s">
        <v>2872</v>
      </c>
      <c r="AE568" s="79"/>
      <c r="AF568" s="79"/>
      <c r="AG568" s="79" t="s">
        <v>3846</v>
      </c>
      <c r="AH568" s="79" t="s">
        <v>4238</v>
      </c>
      <c r="AI568" s="79">
        <v>0</v>
      </c>
      <c r="AJ568" s="79">
        <v>0</v>
      </c>
      <c r="AK568" s="79">
        <v>0</v>
      </c>
      <c r="AL568" s="79">
        <v>0</v>
      </c>
      <c r="AM568" s="79" t="s">
        <v>2092</v>
      </c>
      <c r="AN568" s="114" t="str">
        <f>HYPERLINK("https://www.youtube.com/watch?v=OL5IKUr4Rmg")</f>
        <v>https://www.youtube.com/watch?v=OL5IKUr4Rmg</v>
      </c>
      <c r="AO568" s="78" t="str">
        <f>REPLACE(INDEX(GroupVertices[Group],MATCH(Vertices[[#This Row],[Vertex]],GroupVertices[Vertex],0)),1,1,"")</f>
        <v>GU YUN LIN</v>
      </c>
      <c r="AP568" s="2"/>
      <c r="AQ568" s="3"/>
      <c r="AR568" s="3"/>
      <c r="AS568" s="3"/>
      <c r="AT568" s="3"/>
    </row>
    <row r="569" spans="1:46" ht="15">
      <c r="A569" s="64" t="s">
        <v>2397</v>
      </c>
      <c r="B569" s="65"/>
      <c r="C569" s="65"/>
      <c r="D569" s="66">
        <v>150</v>
      </c>
      <c r="E569" s="102">
        <v>97.85714285714286</v>
      </c>
      <c r="F569" s="98" t="str">
        <f>HYPERLINK("https://i.ytimg.com/vi/cii6KQ932k0/default.jpg")</f>
        <v>https://i.ytimg.com/vi/cii6KQ932k0/default.jpg</v>
      </c>
      <c r="G569" s="100"/>
      <c r="H569" s="69" t="s">
        <v>2873</v>
      </c>
      <c r="I569" s="70"/>
      <c r="J569" s="104" t="s">
        <v>159</v>
      </c>
      <c r="K569" s="69" t="s">
        <v>2873</v>
      </c>
      <c r="L569" s="105">
        <v>1</v>
      </c>
      <c r="M569" s="74">
        <v>4541.99951171875</v>
      </c>
      <c r="N569" s="74">
        <v>9625.6552734375</v>
      </c>
      <c r="O569" s="75"/>
      <c r="P569" s="76"/>
      <c r="Q569" s="76"/>
      <c r="R569" s="106"/>
      <c r="S569" s="48">
        <v>1</v>
      </c>
      <c r="T569" s="48">
        <v>0</v>
      </c>
      <c r="U569" s="49">
        <v>0</v>
      </c>
      <c r="V569" s="49">
        <v>0.142262</v>
      </c>
      <c r="W569" s="107"/>
      <c r="X569" s="50"/>
      <c r="Y569" s="50"/>
      <c r="Z569" s="49">
        <v>0</v>
      </c>
      <c r="AA569" s="71">
        <v>569</v>
      </c>
      <c r="AB569" s="71"/>
      <c r="AC569" s="72"/>
      <c r="AD569" s="79" t="s">
        <v>2873</v>
      </c>
      <c r="AE569" s="79"/>
      <c r="AF569" s="79"/>
      <c r="AG569" s="79" t="s">
        <v>3847</v>
      </c>
      <c r="AH569" s="79" t="s">
        <v>4239</v>
      </c>
      <c r="AI569" s="79">
        <v>9</v>
      </c>
      <c r="AJ569" s="79">
        <v>0</v>
      </c>
      <c r="AK569" s="79">
        <v>0</v>
      </c>
      <c r="AL569" s="79">
        <v>0</v>
      </c>
      <c r="AM569" s="79" t="s">
        <v>2092</v>
      </c>
      <c r="AN569" s="114" t="str">
        <f>HYPERLINK("https://www.youtube.com/watch?v=cii6KQ932k0")</f>
        <v>https://www.youtube.com/watch?v=cii6KQ932k0</v>
      </c>
      <c r="AO569" s="78" t="str">
        <f>REPLACE(INDEX(GroupVertices[Group],MATCH(Vertices[[#This Row],[Vertex]],GroupVertices[Vertex],0)),1,1,"")</f>
        <v>ary Clarence Caballero</v>
      </c>
      <c r="AP569" s="2"/>
      <c r="AQ569" s="3"/>
      <c r="AR569" s="3"/>
      <c r="AS569" s="3"/>
      <c r="AT569" s="3"/>
    </row>
    <row r="570" spans="1:46" ht="15">
      <c r="A570" s="64" t="s">
        <v>2398</v>
      </c>
      <c r="B570" s="65"/>
      <c r="C570" s="65"/>
      <c r="D570" s="66">
        <v>150</v>
      </c>
      <c r="E570" s="102">
        <v>97.85714285714286</v>
      </c>
      <c r="F570" s="98" t="str">
        <f>HYPERLINK("https://i.ytimg.com/vi/pkj8dBt9um8/default.jpg")</f>
        <v>https://i.ytimg.com/vi/pkj8dBt9um8/default.jpg</v>
      </c>
      <c r="G570" s="100"/>
      <c r="H570" s="69" t="s">
        <v>2874</v>
      </c>
      <c r="I570" s="70"/>
      <c r="J570" s="104" t="s">
        <v>159</v>
      </c>
      <c r="K570" s="69" t="s">
        <v>2874</v>
      </c>
      <c r="L570" s="105">
        <v>1</v>
      </c>
      <c r="M570" s="74">
        <v>4270.736328125</v>
      </c>
      <c r="N570" s="74">
        <v>9855.3359375</v>
      </c>
      <c r="O570" s="75"/>
      <c r="P570" s="76"/>
      <c r="Q570" s="76"/>
      <c r="R570" s="106"/>
      <c r="S570" s="48">
        <v>1</v>
      </c>
      <c r="T570" s="48">
        <v>0</v>
      </c>
      <c r="U570" s="49">
        <v>0</v>
      </c>
      <c r="V570" s="49">
        <v>0.142262</v>
      </c>
      <c r="W570" s="107"/>
      <c r="X570" s="50"/>
      <c r="Y570" s="50"/>
      <c r="Z570" s="49">
        <v>0</v>
      </c>
      <c r="AA570" s="71">
        <v>570</v>
      </c>
      <c r="AB570" s="71"/>
      <c r="AC570" s="72"/>
      <c r="AD570" s="79" t="s">
        <v>2874</v>
      </c>
      <c r="AE570" s="79" t="s">
        <v>3314</v>
      </c>
      <c r="AF570" s="79"/>
      <c r="AG570" s="79" t="s">
        <v>3848</v>
      </c>
      <c r="AH570" s="79" t="s">
        <v>4240</v>
      </c>
      <c r="AI570" s="79">
        <v>8</v>
      </c>
      <c r="AJ570" s="79">
        <v>0</v>
      </c>
      <c r="AK570" s="79">
        <v>1</v>
      </c>
      <c r="AL570" s="79">
        <v>0</v>
      </c>
      <c r="AM570" s="79" t="s">
        <v>2092</v>
      </c>
      <c r="AN570" s="114" t="str">
        <f>HYPERLINK("https://www.youtube.com/watch?v=pkj8dBt9um8")</f>
        <v>https://www.youtube.com/watch?v=pkj8dBt9um8</v>
      </c>
      <c r="AO570" s="78" t="str">
        <f>REPLACE(INDEX(GroupVertices[Group],MATCH(Vertices[[#This Row],[Vertex]],GroupVertices[Vertex],0)),1,1,"")</f>
        <v>brar Pathan</v>
      </c>
      <c r="AP570" s="2"/>
      <c r="AQ570" s="3"/>
      <c r="AR570" s="3"/>
      <c r="AS570" s="3"/>
      <c r="AT570" s="3"/>
    </row>
    <row r="571" spans="1:46" ht="15">
      <c r="A571" s="64" t="s">
        <v>2399</v>
      </c>
      <c r="B571" s="65"/>
      <c r="C571" s="65"/>
      <c r="D571" s="66">
        <v>150</v>
      </c>
      <c r="E571" s="102">
        <v>97.85714285714286</v>
      </c>
      <c r="F571" s="98" t="str">
        <f>HYPERLINK("https://i.ytimg.com/vi/KScKJtGGbSc/default.jpg")</f>
        <v>https://i.ytimg.com/vi/KScKJtGGbSc/default.jpg</v>
      </c>
      <c r="G571" s="100"/>
      <c r="H571" s="69" t="s">
        <v>2875</v>
      </c>
      <c r="I571" s="70"/>
      <c r="J571" s="104" t="s">
        <v>159</v>
      </c>
      <c r="K571" s="69" t="s">
        <v>2875</v>
      </c>
      <c r="L571" s="105">
        <v>1</v>
      </c>
      <c r="M571" s="74">
        <v>5432.365234375</v>
      </c>
      <c r="N571" s="74">
        <v>8947.58984375</v>
      </c>
      <c r="O571" s="75"/>
      <c r="P571" s="76"/>
      <c r="Q571" s="76"/>
      <c r="R571" s="106"/>
      <c r="S571" s="48">
        <v>1</v>
      </c>
      <c r="T571" s="48">
        <v>0</v>
      </c>
      <c r="U571" s="49">
        <v>0</v>
      </c>
      <c r="V571" s="49">
        <v>0.142262</v>
      </c>
      <c r="W571" s="107"/>
      <c r="X571" s="50"/>
      <c r="Y571" s="50"/>
      <c r="Z571" s="49">
        <v>0</v>
      </c>
      <c r="AA571" s="71">
        <v>571</v>
      </c>
      <c r="AB571" s="71"/>
      <c r="AC571" s="72"/>
      <c r="AD571" s="79" t="s">
        <v>2875</v>
      </c>
      <c r="AE571" s="79" t="s">
        <v>3315</v>
      </c>
      <c r="AF571" s="79"/>
      <c r="AG571" s="79" t="s">
        <v>3849</v>
      </c>
      <c r="AH571" s="79" t="s">
        <v>4241</v>
      </c>
      <c r="AI571" s="79">
        <v>4</v>
      </c>
      <c r="AJ571" s="79">
        <v>0</v>
      </c>
      <c r="AK571" s="79">
        <v>0</v>
      </c>
      <c r="AL571" s="79">
        <v>0</v>
      </c>
      <c r="AM571" s="79" t="s">
        <v>2092</v>
      </c>
      <c r="AN571" s="114" t="str">
        <f>HYPERLINK("https://www.youtube.com/watch?v=KScKJtGGbSc")</f>
        <v>https://www.youtube.com/watch?v=KScKJtGGbSc</v>
      </c>
      <c r="AO571" s="78" t="str">
        <f>REPLACE(INDEX(GroupVertices[Group],MATCH(Vertices[[#This Row],[Vertex]],GroupVertices[Vertex],0)),1,1,"")</f>
        <v>earn with me</v>
      </c>
      <c r="AP571" s="2"/>
      <c r="AQ571" s="3"/>
      <c r="AR571" s="3"/>
      <c r="AS571" s="3"/>
      <c r="AT571" s="3"/>
    </row>
    <row r="572" spans="1:46" ht="15">
      <c r="A572" s="64" t="s">
        <v>2400</v>
      </c>
      <c r="B572" s="65"/>
      <c r="C572" s="65"/>
      <c r="D572" s="66">
        <v>150</v>
      </c>
      <c r="E572" s="102">
        <v>97.85714285714286</v>
      </c>
      <c r="F572" s="98" t="str">
        <f>HYPERLINK("https://i.ytimg.com/vi/UyBUtYf606U/default.jpg")</f>
        <v>https://i.ytimg.com/vi/UyBUtYf606U/default.jpg</v>
      </c>
      <c r="G572" s="100"/>
      <c r="H572" s="69" t="s">
        <v>2876</v>
      </c>
      <c r="I572" s="70"/>
      <c r="J572" s="104" t="s">
        <v>159</v>
      </c>
      <c r="K572" s="69" t="s">
        <v>2876</v>
      </c>
      <c r="L572" s="105">
        <v>1</v>
      </c>
      <c r="M572" s="74">
        <v>5358.337890625</v>
      </c>
      <c r="N572" s="74">
        <v>8667.3408203125</v>
      </c>
      <c r="O572" s="75"/>
      <c r="P572" s="76"/>
      <c r="Q572" s="76"/>
      <c r="R572" s="106"/>
      <c r="S572" s="48">
        <v>1</v>
      </c>
      <c r="T572" s="48">
        <v>0</v>
      </c>
      <c r="U572" s="49">
        <v>0</v>
      </c>
      <c r="V572" s="49">
        <v>0.142262</v>
      </c>
      <c r="W572" s="107"/>
      <c r="X572" s="50"/>
      <c r="Y572" s="50"/>
      <c r="Z572" s="49">
        <v>0</v>
      </c>
      <c r="AA572" s="71">
        <v>572</v>
      </c>
      <c r="AB572" s="71"/>
      <c r="AC572" s="72"/>
      <c r="AD572" s="79" t="s">
        <v>2876</v>
      </c>
      <c r="AE572" s="79" t="s">
        <v>3316</v>
      </c>
      <c r="AF572" s="79"/>
      <c r="AG572" s="79" t="s">
        <v>3850</v>
      </c>
      <c r="AH572" s="79" t="s">
        <v>4242</v>
      </c>
      <c r="AI572" s="79">
        <v>9</v>
      </c>
      <c r="AJ572" s="79">
        <v>0</v>
      </c>
      <c r="AK572" s="79">
        <v>1</v>
      </c>
      <c r="AL572" s="79">
        <v>0</v>
      </c>
      <c r="AM572" s="79" t="s">
        <v>2092</v>
      </c>
      <c r="AN572" s="114" t="str">
        <f>HYPERLINK("https://www.youtube.com/watch?v=UyBUtYf606U")</f>
        <v>https://www.youtube.com/watch?v=UyBUtYf606U</v>
      </c>
      <c r="AO572" s="78" t="str">
        <f>REPLACE(INDEX(GroupVertices[Group],MATCH(Vertices[[#This Row],[Vertex]],GroupVertices[Vertex],0)),1,1,"")</f>
        <v>sychology classes</v>
      </c>
      <c r="AP572" s="2"/>
      <c r="AQ572" s="3"/>
      <c r="AR572" s="3"/>
      <c r="AS572" s="3"/>
      <c r="AT572" s="3"/>
    </row>
    <row r="573" spans="1:46" ht="15">
      <c r="A573" s="64" t="s">
        <v>2401</v>
      </c>
      <c r="B573" s="65"/>
      <c r="C573" s="65"/>
      <c r="D573" s="66">
        <v>150</v>
      </c>
      <c r="E573" s="102">
        <v>97.85714285714286</v>
      </c>
      <c r="F573" s="98" t="str">
        <f>HYPERLINK("https://i.ytimg.com/vi/QDZtxD3iYcQ/default.jpg")</f>
        <v>https://i.ytimg.com/vi/QDZtxD3iYcQ/default.jpg</v>
      </c>
      <c r="G573" s="100"/>
      <c r="H573" s="69" t="s">
        <v>2877</v>
      </c>
      <c r="I573" s="70"/>
      <c r="J573" s="104" t="s">
        <v>159</v>
      </c>
      <c r="K573" s="69" t="s">
        <v>2877</v>
      </c>
      <c r="L573" s="105">
        <v>1</v>
      </c>
      <c r="M573" s="74">
        <v>4027.700927734375</v>
      </c>
      <c r="N573" s="74">
        <v>9815.3896484375</v>
      </c>
      <c r="O573" s="75"/>
      <c r="P573" s="76"/>
      <c r="Q573" s="76"/>
      <c r="R573" s="106"/>
      <c r="S573" s="48">
        <v>1</v>
      </c>
      <c r="T573" s="48">
        <v>0</v>
      </c>
      <c r="U573" s="49">
        <v>0</v>
      </c>
      <c r="V573" s="49">
        <v>0.142262</v>
      </c>
      <c r="W573" s="107"/>
      <c r="X573" s="50"/>
      <c r="Y573" s="50"/>
      <c r="Z573" s="49">
        <v>0</v>
      </c>
      <c r="AA573" s="71">
        <v>573</v>
      </c>
      <c r="AB573" s="71"/>
      <c r="AC573" s="72"/>
      <c r="AD573" s="79" t="s">
        <v>2877</v>
      </c>
      <c r="AE573" s="79" t="s">
        <v>3317</v>
      </c>
      <c r="AF573" s="79" t="s">
        <v>3613</v>
      </c>
      <c r="AG573" s="79" t="s">
        <v>3851</v>
      </c>
      <c r="AH573" s="79" t="s">
        <v>4243</v>
      </c>
      <c r="AI573" s="79">
        <v>28</v>
      </c>
      <c r="AJ573" s="79">
        <v>0</v>
      </c>
      <c r="AK573" s="79">
        <v>4</v>
      </c>
      <c r="AL573" s="79">
        <v>0</v>
      </c>
      <c r="AM573" s="79" t="s">
        <v>2092</v>
      </c>
      <c r="AN573" s="114" t="str">
        <f>HYPERLINK("https://www.youtube.com/watch?v=QDZtxD3iYcQ")</f>
        <v>https://www.youtube.com/watch?v=QDZtxD3iYcQ</v>
      </c>
      <c r="AO573" s="78" t="str">
        <f>REPLACE(INDEX(GroupVertices[Group],MATCH(Vertices[[#This Row],[Vertex]],GroupVertices[Vertex],0)),1,1,"")</f>
        <v>ogical Guru</v>
      </c>
      <c r="AP573" s="2"/>
      <c r="AQ573" s="3"/>
      <c r="AR573" s="3"/>
      <c r="AS573" s="3"/>
      <c r="AT573" s="3"/>
    </row>
    <row r="574" spans="1:46" ht="15">
      <c r="A574" s="64" t="s">
        <v>2402</v>
      </c>
      <c r="B574" s="65"/>
      <c r="C574" s="65"/>
      <c r="D574" s="66">
        <v>150</v>
      </c>
      <c r="E574" s="102">
        <v>97.85714285714286</v>
      </c>
      <c r="F574" s="98" t="str">
        <f>HYPERLINK("https://i.ytimg.com/vi/ic3v6hK6bBE/default.jpg")</f>
        <v>https://i.ytimg.com/vi/ic3v6hK6bBE/default.jpg</v>
      </c>
      <c r="G574" s="100"/>
      <c r="H574" s="69" t="s">
        <v>2878</v>
      </c>
      <c r="I574" s="70"/>
      <c r="J574" s="104" t="s">
        <v>159</v>
      </c>
      <c r="K574" s="69" t="s">
        <v>2878</v>
      </c>
      <c r="L574" s="105">
        <v>1</v>
      </c>
      <c r="M574" s="74">
        <v>4922.06396484375</v>
      </c>
      <c r="N574" s="74">
        <v>9387.1083984375</v>
      </c>
      <c r="O574" s="75"/>
      <c r="P574" s="76"/>
      <c r="Q574" s="76"/>
      <c r="R574" s="106"/>
      <c r="S574" s="48">
        <v>1</v>
      </c>
      <c r="T574" s="48">
        <v>0</v>
      </c>
      <c r="U574" s="49">
        <v>0</v>
      </c>
      <c r="V574" s="49">
        <v>0.142262</v>
      </c>
      <c r="W574" s="107"/>
      <c r="X574" s="50"/>
      <c r="Y574" s="50"/>
      <c r="Z574" s="49">
        <v>0</v>
      </c>
      <c r="AA574" s="71">
        <v>574</v>
      </c>
      <c r="AB574" s="71"/>
      <c r="AC574" s="72"/>
      <c r="AD574" s="79" t="s">
        <v>2878</v>
      </c>
      <c r="AE574" s="79"/>
      <c r="AF574" s="79" t="s">
        <v>3614</v>
      </c>
      <c r="AG574" s="79" t="s">
        <v>3852</v>
      </c>
      <c r="AH574" s="79" t="s">
        <v>4244</v>
      </c>
      <c r="AI574" s="79">
        <v>49</v>
      </c>
      <c r="AJ574" s="79">
        <v>2</v>
      </c>
      <c r="AK574" s="79">
        <v>9</v>
      </c>
      <c r="AL574" s="79">
        <v>0</v>
      </c>
      <c r="AM574" s="79" t="s">
        <v>2092</v>
      </c>
      <c r="AN574" s="114" t="str">
        <f>HYPERLINK("https://www.youtube.com/watch?v=ic3v6hK6bBE")</f>
        <v>https://www.youtube.com/watch?v=ic3v6hK6bBE</v>
      </c>
      <c r="AO574" s="78" t="str">
        <f>REPLACE(INDEX(GroupVertices[Group],MATCH(Vertices[[#This Row],[Vertex]],GroupVertices[Vertex],0)),1,1,"")</f>
        <v>hysio Club</v>
      </c>
      <c r="AP574" s="2"/>
      <c r="AQ574" s="3"/>
      <c r="AR574" s="3"/>
      <c r="AS574" s="3"/>
      <c r="AT574" s="3"/>
    </row>
    <row r="575" spans="1:46" ht="15">
      <c r="A575" s="64" t="s">
        <v>533</v>
      </c>
      <c r="B575" s="65"/>
      <c r="C575" s="65"/>
      <c r="D575" s="66">
        <v>150</v>
      </c>
      <c r="E575" s="102">
        <v>97.85714285714286</v>
      </c>
      <c r="F575" s="98" t="str">
        <f>HYPERLINK("https://i.ytimg.com/vi/tzbEYqmwQjo/default.jpg")</f>
        <v>https://i.ytimg.com/vi/tzbEYqmwQjo/default.jpg</v>
      </c>
      <c r="G575" s="100"/>
      <c r="H575" s="69" t="s">
        <v>956</v>
      </c>
      <c r="I575" s="70"/>
      <c r="J575" s="104" t="s">
        <v>159</v>
      </c>
      <c r="K575" s="69" t="s">
        <v>956</v>
      </c>
      <c r="L575" s="105">
        <v>1</v>
      </c>
      <c r="M575" s="74">
        <v>4716.67041015625</v>
      </c>
      <c r="N575" s="74">
        <v>9764.41796875</v>
      </c>
      <c r="O575" s="75"/>
      <c r="P575" s="76"/>
      <c r="Q575" s="76"/>
      <c r="R575" s="106"/>
      <c r="S575" s="48">
        <v>1</v>
      </c>
      <c r="T575" s="48">
        <v>0</v>
      </c>
      <c r="U575" s="49">
        <v>0</v>
      </c>
      <c r="V575" s="49">
        <v>0.142262</v>
      </c>
      <c r="W575" s="107"/>
      <c r="X575" s="50"/>
      <c r="Y575" s="50"/>
      <c r="Z575" s="49">
        <v>0</v>
      </c>
      <c r="AA575" s="71">
        <v>575</v>
      </c>
      <c r="AB575" s="71"/>
      <c r="AC575" s="72"/>
      <c r="AD575" s="79" t="s">
        <v>956</v>
      </c>
      <c r="AE575" s="79" t="s">
        <v>1246</v>
      </c>
      <c r="AF575" s="79" t="s">
        <v>1443</v>
      </c>
      <c r="AG575" s="79" t="s">
        <v>1668</v>
      </c>
      <c r="AH575" s="79" t="s">
        <v>2013</v>
      </c>
      <c r="AI575" s="79">
        <v>551</v>
      </c>
      <c r="AJ575" s="79">
        <v>0</v>
      </c>
      <c r="AK575" s="79">
        <v>4</v>
      </c>
      <c r="AL575" s="79">
        <v>0</v>
      </c>
      <c r="AM575" s="79" t="s">
        <v>2092</v>
      </c>
      <c r="AN575" s="114" t="str">
        <f>HYPERLINK("https://www.youtube.com/watch?v=tzbEYqmwQjo")</f>
        <v>https://www.youtube.com/watch?v=tzbEYqmwQjo</v>
      </c>
      <c r="AO575" s="78" t="str">
        <f>REPLACE(INDEX(GroupVertices[Group],MATCH(Vertices[[#This Row],[Vertex]],GroupVertices[Vertex],0)),1,1,"")</f>
        <v>PARK</v>
      </c>
      <c r="AP575" s="2"/>
      <c r="AQ575" s="3"/>
      <c r="AR575" s="3"/>
      <c r="AS575" s="3"/>
      <c r="AT575" s="3"/>
    </row>
    <row r="576" spans="1:46" ht="15">
      <c r="A576" s="64" t="s">
        <v>2403</v>
      </c>
      <c r="B576" s="65"/>
      <c r="C576" s="65"/>
      <c r="D576" s="66">
        <v>150</v>
      </c>
      <c r="E576" s="102">
        <v>97.85714285714286</v>
      </c>
      <c r="F576" s="98" t="str">
        <f>HYPERLINK("https://i.ytimg.com/vi/lDbovk1c0AI/default.jpg")</f>
        <v>https://i.ytimg.com/vi/lDbovk1c0AI/default.jpg</v>
      </c>
      <c r="G576" s="100"/>
      <c r="H576" s="69" t="s">
        <v>2879</v>
      </c>
      <c r="I576" s="70"/>
      <c r="J576" s="104" t="s">
        <v>159</v>
      </c>
      <c r="K576" s="69" t="s">
        <v>2879</v>
      </c>
      <c r="L576" s="105">
        <v>1</v>
      </c>
      <c r="M576" s="74">
        <v>5071.02587890625</v>
      </c>
      <c r="N576" s="74">
        <v>9556.533203125</v>
      </c>
      <c r="O576" s="75"/>
      <c r="P576" s="76"/>
      <c r="Q576" s="76"/>
      <c r="R576" s="106"/>
      <c r="S576" s="48">
        <v>1</v>
      </c>
      <c r="T576" s="48">
        <v>0</v>
      </c>
      <c r="U576" s="49">
        <v>0</v>
      </c>
      <c r="V576" s="49">
        <v>0.142262</v>
      </c>
      <c r="W576" s="107"/>
      <c r="X576" s="50"/>
      <c r="Y576" s="50"/>
      <c r="Z576" s="49">
        <v>0</v>
      </c>
      <c r="AA576" s="71">
        <v>576</v>
      </c>
      <c r="AB576" s="71"/>
      <c r="AC576" s="72"/>
      <c r="AD576" s="79" t="s">
        <v>2879</v>
      </c>
      <c r="AE576" s="79" t="s">
        <v>3318</v>
      </c>
      <c r="AF576" s="79" t="s">
        <v>3615</v>
      </c>
      <c r="AG576" s="79" t="s">
        <v>1668</v>
      </c>
      <c r="AH576" s="79" t="s">
        <v>4245</v>
      </c>
      <c r="AI576" s="79">
        <v>355</v>
      </c>
      <c r="AJ576" s="79">
        <v>0</v>
      </c>
      <c r="AK576" s="79">
        <v>2</v>
      </c>
      <c r="AL576" s="79">
        <v>0</v>
      </c>
      <c r="AM576" s="79" t="s">
        <v>2092</v>
      </c>
      <c r="AN576" s="114" t="str">
        <f>HYPERLINK("https://www.youtube.com/watch?v=lDbovk1c0AI")</f>
        <v>https://www.youtube.com/watch?v=lDbovk1c0AI</v>
      </c>
      <c r="AO576" s="78" t="str">
        <f>REPLACE(INDEX(GroupVertices[Group],MATCH(Vertices[[#This Row],[Vertex]],GroupVertices[Vertex],0)),1,1,"")</f>
        <v>PARK</v>
      </c>
      <c r="AP576" s="2"/>
      <c r="AQ576" s="3"/>
      <c r="AR576" s="3"/>
      <c r="AS576" s="3"/>
      <c r="AT576" s="3"/>
    </row>
    <row r="577" spans="1:46" ht="15">
      <c r="A577" s="64" t="s">
        <v>538</v>
      </c>
      <c r="B577" s="65"/>
      <c r="C577" s="65"/>
      <c r="D577" s="66">
        <v>150</v>
      </c>
      <c r="E577" s="102">
        <v>97.85714285714286</v>
      </c>
      <c r="F577" s="98" t="str">
        <f>HYPERLINK("https://i.ytimg.com/vi/k9k807CcqxQ/default.jpg")</f>
        <v>https://i.ytimg.com/vi/k9k807CcqxQ/default.jpg</v>
      </c>
      <c r="G577" s="100"/>
      <c r="H577" s="69" t="s">
        <v>961</v>
      </c>
      <c r="I577" s="70"/>
      <c r="J577" s="104" t="s">
        <v>159</v>
      </c>
      <c r="K577" s="69" t="s">
        <v>961</v>
      </c>
      <c r="L577" s="105">
        <v>1</v>
      </c>
      <c r="M577" s="74">
        <v>5176.4150390625</v>
      </c>
      <c r="N577" s="74">
        <v>9029.3056640625</v>
      </c>
      <c r="O577" s="75"/>
      <c r="P577" s="76"/>
      <c r="Q577" s="76"/>
      <c r="R577" s="106"/>
      <c r="S577" s="48">
        <v>1</v>
      </c>
      <c r="T577" s="48">
        <v>0</v>
      </c>
      <c r="U577" s="49">
        <v>0</v>
      </c>
      <c r="V577" s="49">
        <v>0.142262</v>
      </c>
      <c r="W577" s="107"/>
      <c r="X577" s="50"/>
      <c r="Y577" s="50"/>
      <c r="Z577" s="49">
        <v>0</v>
      </c>
      <c r="AA577" s="71">
        <v>577</v>
      </c>
      <c r="AB577" s="71"/>
      <c r="AC577" s="72"/>
      <c r="AD577" s="79" t="s">
        <v>961</v>
      </c>
      <c r="AE577" s="79" t="s">
        <v>1251</v>
      </c>
      <c r="AF577" s="79" t="s">
        <v>1446</v>
      </c>
      <c r="AG577" s="79" t="s">
        <v>1668</v>
      </c>
      <c r="AH577" s="79" t="s">
        <v>2018</v>
      </c>
      <c r="AI577" s="79">
        <v>1152</v>
      </c>
      <c r="AJ577" s="79">
        <v>0</v>
      </c>
      <c r="AK577" s="79">
        <v>21</v>
      </c>
      <c r="AL577" s="79">
        <v>0</v>
      </c>
      <c r="AM577" s="79" t="s">
        <v>2092</v>
      </c>
      <c r="AN577" s="114" t="str">
        <f>HYPERLINK("https://www.youtube.com/watch?v=k9k807CcqxQ")</f>
        <v>https://www.youtube.com/watch?v=k9k807CcqxQ</v>
      </c>
      <c r="AO577" s="78" t="str">
        <f>REPLACE(INDEX(GroupVertices[Group],MATCH(Vertices[[#This Row],[Vertex]],GroupVertices[Vertex],0)),1,1,"")</f>
        <v>PARK</v>
      </c>
      <c r="AP577" s="2"/>
      <c r="AQ577" s="3"/>
      <c r="AR577" s="3"/>
      <c r="AS577" s="3"/>
      <c r="AT577" s="3"/>
    </row>
    <row r="578" spans="1:46" ht="15">
      <c r="A578" s="64" t="s">
        <v>539</v>
      </c>
      <c r="B578" s="65"/>
      <c r="C578" s="65"/>
      <c r="D578" s="66">
        <v>150</v>
      </c>
      <c r="E578" s="102">
        <v>97.85714285714286</v>
      </c>
      <c r="F578" s="98" t="str">
        <f>HYPERLINK("https://i.ytimg.com/vi/U4-d8mGXySc/default.jpg")</f>
        <v>https://i.ytimg.com/vi/U4-d8mGXySc/default.jpg</v>
      </c>
      <c r="G578" s="100"/>
      <c r="H578" s="69" t="s">
        <v>962</v>
      </c>
      <c r="I578" s="70"/>
      <c r="J578" s="104" t="s">
        <v>159</v>
      </c>
      <c r="K578" s="69" t="s">
        <v>962</v>
      </c>
      <c r="L578" s="105">
        <v>1</v>
      </c>
      <c r="M578" s="74">
        <v>5391.61767578125</v>
      </c>
      <c r="N578" s="74">
        <v>9115.103515625</v>
      </c>
      <c r="O578" s="75"/>
      <c r="P578" s="76"/>
      <c r="Q578" s="76"/>
      <c r="R578" s="106"/>
      <c r="S578" s="48">
        <v>1</v>
      </c>
      <c r="T578" s="48">
        <v>0</v>
      </c>
      <c r="U578" s="49">
        <v>0</v>
      </c>
      <c r="V578" s="49">
        <v>0.142262</v>
      </c>
      <c r="W578" s="107"/>
      <c r="X578" s="50"/>
      <c r="Y578" s="50"/>
      <c r="Z578" s="49">
        <v>0</v>
      </c>
      <c r="AA578" s="71">
        <v>578</v>
      </c>
      <c r="AB578" s="71"/>
      <c r="AC578" s="72"/>
      <c r="AD578" s="79" t="s">
        <v>962</v>
      </c>
      <c r="AE578" s="79" t="s">
        <v>1252</v>
      </c>
      <c r="AF578" s="79" t="s">
        <v>1447</v>
      </c>
      <c r="AG578" s="79" t="s">
        <v>1668</v>
      </c>
      <c r="AH578" s="79" t="s">
        <v>2019</v>
      </c>
      <c r="AI578" s="79">
        <v>601</v>
      </c>
      <c r="AJ578" s="79">
        <v>0</v>
      </c>
      <c r="AK578" s="79">
        <v>7</v>
      </c>
      <c r="AL578" s="79">
        <v>0</v>
      </c>
      <c r="AM578" s="79" t="s">
        <v>2092</v>
      </c>
      <c r="AN578" s="114" t="str">
        <f>HYPERLINK("https://www.youtube.com/watch?v=U4-d8mGXySc")</f>
        <v>https://www.youtube.com/watch?v=U4-d8mGXySc</v>
      </c>
      <c r="AO578" s="78" t="str">
        <f>REPLACE(INDEX(GroupVertices[Group],MATCH(Vertices[[#This Row],[Vertex]],GroupVertices[Vertex],0)),1,1,"")</f>
        <v>PARK</v>
      </c>
      <c r="AP578" s="2"/>
      <c r="AQ578" s="3"/>
      <c r="AR578" s="3"/>
      <c r="AS578" s="3"/>
      <c r="AT578" s="3"/>
    </row>
    <row r="579" spans="1:46" ht="15">
      <c r="A579" s="64" t="s">
        <v>535</v>
      </c>
      <c r="B579" s="65"/>
      <c r="C579" s="65"/>
      <c r="D579" s="66">
        <v>150</v>
      </c>
      <c r="E579" s="102">
        <v>97.85714285714286</v>
      </c>
      <c r="F579" s="98" t="str">
        <f>HYPERLINK("https://i.ytimg.com/vi/fy-BQgp1Mmk/default.jpg")</f>
        <v>https://i.ytimg.com/vi/fy-BQgp1Mmk/default.jpg</v>
      </c>
      <c r="G579" s="100"/>
      <c r="H579" s="69" t="s">
        <v>958</v>
      </c>
      <c r="I579" s="70"/>
      <c r="J579" s="104" t="s">
        <v>159</v>
      </c>
      <c r="K579" s="69" t="s">
        <v>958</v>
      </c>
      <c r="L579" s="105">
        <v>1</v>
      </c>
      <c r="M579" s="74">
        <v>4141.15283203125</v>
      </c>
      <c r="N579" s="74">
        <v>9741.4375</v>
      </c>
      <c r="O579" s="75"/>
      <c r="P579" s="76"/>
      <c r="Q579" s="76"/>
      <c r="R579" s="106"/>
      <c r="S579" s="48">
        <v>1</v>
      </c>
      <c r="T579" s="48">
        <v>0</v>
      </c>
      <c r="U579" s="49">
        <v>0</v>
      </c>
      <c r="V579" s="49">
        <v>0.142262</v>
      </c>
      <c r="W579" s="107"/>
      <c r="X579" s="50"/>
      <c r="Y579" s="50"/>
      <c r="Z579" s="49">
        <v>0</v>
      </c>
      <c r="AA579" s="71">
        <v>579</v>
      </c>
      <c r="AB579" s="71"/>
      <c r="AC579" s="72"/>
      <c r="AD579" s="79" t="s">
        <v>958</v>
      </c>
      <c r="AE579" s="79" t="s">
        <v>1248</v>
      </c>
      <c r="AF579" s="79" t="s">
        <v>1445</v>
      </c>
      <c r="AG579" s="79" t="s">
        <v>1668</v>
      </c>
      <c r="AH579" s="79" t="s">
        <v>2015</v>
      </c>
      <c r="AI579" s="79">
        <v>254</v>
      </c>
      <c r="AJ579" s="79">
        <v>0</v>
      </c>
      <c r="AK579" s="79">
        <v>9</v>
      </c>
      <c r="AL579" s="79">
        <v>0</v>
      </c>
      <c r="AM579" s="79" t="s">
        <v>2092</v>
      </c>
      <c r="AN579" s="114" t="str">
        <f>HYPERLINK("https://www.youtube.com/watch?v=fy-BQgp1Mmk")</f>
        <v>https://www.youtube.com/watch?v=fy-BQgp1Mmk</v>
      </c>
      <c r="AO579" s="78" t="str">
        <f>REPLACE(INDEX(GroupVertices[Group],MATCH(Vertices[[#This Row],[Vertex]],GroupVertices[Vertex],0)),1,1,"")</f>
        <v>PARK</v>
      </c>
      <c r="AP579" s="2"/>
      <c r="AQ579" s="3"/>
      <c r="AR579" s="3"/>
      <c r="AS579" s="3"/>
      <c r="AT579" s="3"/>
    </row>
    <row r="580" spans="1:46" ht="15">
      <c r="A580" s="64" t="s">
        <v>536</v>
      </c>
      <c r="B580" s="65"/>
      <c r="C580" s="65"/>
      <c r="D580" s="66">
        <v>150</v>
      </c>
      <c r="E580" s="102">
        <v>97.85714285714286</v>
      </c>
      <c r="F580" s="98" t="str">
        <f>HYPERLINK("https://i.ytimg.com/vi/pvf0IDxTgwA/default.jpg")</f>
        <v>https://i.ytimg.com/vi/pvf0IDxTgwA/default.jpg</v>
      </c>
      <c r="G580" s="100"/>
      <c r="H580" s="69" t="s">
        <v>959</v>
      </c>
      <c r="I580" s="70"/>
      <c r="J580" s="104" t="s">
        <v>159</v>
      </c>
      <c r="K580" s="69" t="s">
        <v>959</v>
      </c>
      <c r="L580" s="105">
        <v>1</v>
      </c>
      <c r="M580" s="74">
        <v>4329.7294921875</v>
      </c>
      <c r="N580" s="74">
        <v>9663.7626953125</v>
      </c>
      <c r="O580" s="75"/>
      <c r="P580" s="76"/>
      <c r="Q580" s="76"/>
      <c r="R580" s="106"/>
      <c r="S580" s="48">
        <v>1</v>
      </c>
      <c r="T580" s="48">
        <v>0</v>
      </c>
      <c r="U580" s="49">
        <v>0</v>
      </c>
      <c r="V580" s="49">
        <v>0.142262</v>
      </c>
      <c r="W580" s="107"/>
      <c r="X580" s="50"/>
      <c r="Y580" s="50"/>
      <c r="Z580" s="49">
        <v>0</v>
      </c>
      <c r="AA580" s="71">
        <v>580</v>
      </c>
      <c r="AB580" s="71"/>
      <c r="AC580" s="72"/>
      <c r="AD580" s="79" t="s">
        <v>959</v>
      </c>
      <c r="AE580" s="79" t="s">
        <v>1249</v>
      </c>
      <c r="AF580" s="79"/>
      <c r="AG580" s="79" t="s">
        <v>1668</v>
      </c>
      <c r="AH580" s="79" t="s">
        <v>2016</v>
      </c>
      <c r="AI580" s="79">
        <v>313</v>
      </c>
      <c r="AJ580" s="79">
        <v>0</v>
      </c>
      <c r="AK580" s="79">
        <v>15</v>
      </c>
      <c r="AL580" s="79">
        <v>0</v>
      </c>
      <c r="AM580" s="79" t="s">
        <v>2092</v>
      </c>
      <c r="AN580" s="114" t="str">
        <f>HYPERLINK("https://www.youtube.com/watch?v=pvf0IDxTgwA")</f>
        <v>https://www.youtube.com/watch?v=pvf0IDxTgwA</v>
      </c>
      <c r="AO580" s="78" t="str">
        <f>REPLACE(INDEX(GroupVertices[Group],MATCH(Vertices[[#This Row],[Vertex]],GroupVertices[Vertex],0)),1,1,"")</f>
        <v>PARK</v>
      </c>
      <c r="AP580" s="2"/>
      <c r="AQ580" s="3"/>
      <c r="AR580" s="3"/>
      <c r="AS580" s="3"/>
      <c r="AT580" s="3"/>
    </row>
    <row r="581" spans="1:46" ht="15">
      <c r="A581" s="64" t="s">
        <v>534</v>
      </c>
      <c r="B581" s="65"/>
      <c r="C581" s="65"/>
      <c r="D581" s="66">
        <v>150</v>
      </c>
      <c r="E581" s="102">
        <v>97.85714285714286</v>
      </c>
      <c r="F581" s="98" t="str">
        <f>HYPERLINK("https://i.ytimg.com/vi/OBeYzIo6KEo/default.jpg")</f>
        <v>https://i.ytimg.com/vi/OBeYzIo6KEo/default.jpg</v>
      </c>
      <c r="G581" s="100"/>
      <c r="H581" s="69" t="s">
        <v>957</v>
      </c>
      <c r="I581" s="70"/>
      <c r="J581" s="104" t="s">
        <v>159</v>
      </c>
      <c r="K581" s="69" t="s">
        <v>957</v>
      </c>
      <c r="L581" s="105">
        <v>1</v>
      </c>
      <c r="M581" s="74">
        <v>5247.30078125</v>
      </c>
      <c r="N581" s="74">
        <v>8843.2177734375</v>
      </c>
      <c r="O581" s="75"/>
      <c r="P581" s="76"/>
      <c r="Q581" s="76"/>
      <c r="R581" s="106"/>
      <c r="S581" s="48">
        <v>1</v>
      </c>
      <c r="T581" s="48">
        <v>0</v>
      </c>
      <c r="U581" s="49">
        <v>0</v>
      </c>
      <c r="V581" s="49">
        <v>0.142262</v>
      </c>
      <c r="W581" s="107"/>
      <c r="X581" s="50"/>
      <c r="Y581" s="50"/>
      <c r="Z581" s="49">
        <v>0</v>
      </c>
      <c r="AA581" s="71">
        <v>581</v>
      </c>
      <c r="AB581" s="71"/>
      <c r="AC581" s="72"/>
      <c r="AD581" s="79" t="s">
        <v>957</v>
      </c>
      <c r="AE581" s="79" t="s">
        <v>1247</v>
      </c>
      <c r="AF581" s="79" t="s">
        <v>1444</v>
      </c>
      <c r="AG581" s="79" t="s">
        <v>1668</v>
      </c>
      <c r="AH581" s="79" t="s">
        <v>2014</v>
      </c>
      <c r="AI581" s="79">
        <v>178</v>
      </c>
      <c r="AJ581" s="79">
        <v>1</v>
      </c>
      <c r="AK581" s="79">
        <v>4</v>
      </c>
      <c r="AL581" s="79">
        <v>0</v>
      </c>
      <c r="AM581" s="79" t="s">
        <v>2092</v>
      </c>
      <c r="AN581" s="114" t="str">
        <f>HYPERLINK("https://www.youtube.com/watch?v=OBeYzIo6KEo")</f>
        <v>https://www.youtube.com/watch?v=OBeYzIo6KEo</v>
      </c>
      <c r="AO581" s="78" t="str">
        <f>REPLACE(INDEX(GroupVertices[Group],MATCH(Vertices[[#This Row],[Vertex]],GroupVertices[Vertex],0)),1,1,"")</f>
        <v>PARK</v>
      </c>
      <c r="AP581" s="2"/>
      <c r="AQ581" s="3"/>
      <c r="AR581" s="3"/>
      <c r="AS581" s="3"/>
      <c r="AT581" s="3"/>
    </row>
    <row r="582" spans="1:46" ht="15">
      <c r="A582" s="64" t="s">
        <v>540</v>
      </c>
      <c r="B582" s="65"/>
      <c r="C582" s="65"/>
      <c r="D582" s="66">
        <v>150</v>
      </c>
      <c r="E582" s="102">
        <v>97.85714285714286</v>
      </c>
      <c r="F582" s="98" t="str">
        <f>HYPERLINK("https://i.ytimg.com/vi/A3j6ZZcu04Y/default.jpg")</f>
        <v>https://i.ytimg.com/vi/A3j6ZZcu04Y/default.jpg</v>
      </c>
      <c r="G582" s="100"/>
      <c r="H582" s="69" t="s">
        <v>963</v>
      </c>
      <c r="I582" s="70"/>
      <c r="J582" s="104" t="s">
        <v>159</v>
      </c>
      <c r="K582" s="69" t="s">
        <v>963</v>
      </c>
      <c r="L582" s="105">
        <v>1</v>
      </c>
      <c r="M582" s="74">
        <v>5434.5302734375</v>
      </c>
      <c r="N582" s="74">
        <v>8778.78125</v>
      </c>
      <c r="O582" s="75"/>
      <c r="P582" s="76"/>
      <c r="Q582" s="76"/>
      <c r="R582" s="106"/>
      <c r="S582" s="48">
        <v>1</v>
      </c>
      <c r="T582" s="48">
        <v>0</v>
      </c>
      <c r="U582" s="49">
        <v>0</v>
      </c>
      <c r="V582" s="49">
        <v>0.142262</v>
      </c>
      <c r="W582" s="107"/>
      <c r="X582" s="50"/>
      <c r="Y582" s="50"/>
      <c r="Z582" s="49">
        <v>0</v>
      </c>
      <c r="AA582" s="71">
        <v>582</v>
      </c>
      <c r="AB582" s="71"/>
      <c r="AC582" s="72"/>
      <c r="AD582" s="79" t="s">
        <v>963</v>
      </c>
      <c r="AE582" s="79" t="s">
        <v>1253</v>
      </c>
      <c r="AF582" s="79" t="s">
        <v>1448</v>
      </c>
      <c r="AG582" s="79" t="s">
        <v>1668</v>
      </c>
      <c r="AH582" s="79" t="s">
        <v>2020</v>
      </c>
      <c r="AI582" s="79">
        <v>2154</v>
      </c>
      <c r="AJ582" s="79">
        <v>0</v>
      </c>
      <c r="AK582" s="79">
        <v>29</v>
      </c>
      <c r="AL582" s="79">
        <v>0</v>
      </c>
      <c r="AM582" s="79" t="s">
        <v>2092</v>
      </c>
      <c r="AN582" s="114" t="str">
        <f>HYPERLINK("https://www.youtube.com/watch?v=A3j6ZZcu04Y")</f>
        <v>https://www.youtube.com/watch?v=A3j6ZZcu04Y</v>
      </c>
      <c r="AO582" s="78" t="str">
        <f>REPLACE(INDEX(GroupVertices[Group],MATCH(Vertices[[#This Row],[Vertex]],GroupVertices[Vertex],0)),1,1,"")</f>
        <v>PARK</v>
      </c>
      <c r="AP582" s="2"/>
      <c r="AQ582" s="3"/>
      <c r="AR582" s="3"/>
      <c r="AS582" s="3"/>
      <c r="AT582" s="3"/>
    </row>
    <row r="583" spans="1:46" ht="15">
      <c r="A583" s="64" t="s">
        <v>542</v>
      </c>
      <c r="B583" s="65"/>
      <c r="C583" s="65"/>
      <c r="D583" s="66">
        <v>150</v>
      </c>
      <c r="E583" s="102">
        <v>97.85714285714286</v>
      </c>
      <c r="F583" s="98" t="str">
        <f>HYPERLINK("https://i.ytimg.com/vi/zsux-k1Jdxg/default.jpg")</f>
        <v>https://i.ytimg.com/vi/zsux-k1Jdxg/default.jpg</v>
      </c>
      <c r="G583" s="100"/>
      <c r="H583" s="69" t="s">
        <v>965</v>
      </c>
      <c r="I583" s="70"/>
      <c r="J583" s="104" t="s">
        <v>159</v>
      </c>
      <c r="K583" s="69" t="s">
        <v>965</v>
      </c>
      <c r="L583" s="105">
        <v>1</v>
      </c>
      <c r="M583" s="74">
        <v>5200.60595703125</v>
      </c>
      <c r="N583" s="74">
        <v>9417.4560546875</v>
      </c>
      <c r="O583" s="75"/>
      <c r="P583" s="76"/>
      <c r="Q583" s="76"/>
      <c r="R583" s="106"/>
      <c r="S583" s="48">
        <v>1</v>
      </c>
      <c r="T583" s="48">
        <v>0</v>
      </c>
      <c r="U583" s="49">
        <v>0</v>
      </c>
      <c r="V583" s="49">
        <v>0.142262</v>
      </c>
      <c r="W583" s="107"/>
      <c r="X583" s="50"/>
      <c r="Y583" s="50"/>
      <c r="Z583" s="49">
        <v>0</v>
      </c>
      <c r="AA583" s="71">
        <v>583</v>
      </c>
      <c r="AB583" s="71"/>
      <c r="AC583" s="72"/>
      <c r="AD583" s="79" t="s">
        <v>965</v>
      </c>
      <c r="AE583" s="79" t="s">
        <v>1255</v>
      </c>
      <c r="AF583" s="79" t="s">
        <v>1450</v>
      </c>
      <c r="AG583" s="79" t="s">
        <v>1668</v>
      </c>
      <c r="AH583" s="79" t="s">
        <v>2022</v>
      </c>
      <c r="AI583" s="79">
        <v>3482</v>
      </c>
      <c r="AJ583" s="79">
        <v>1</v>
      </c>
      <c r="AK583" s="79">
        <v>59</v>
      </c>
      <c r="AL583" s="79">
        <v>0</v>
      </c>
      <c r="AM583" s="79" t="s">
        <v>2092</v>
      </c>
      <c r="AN583" s="114" t="str">
        <f>HYPERLINK("https://www.youtube.com/watch?v=zsux-k1Jdxg")</f>
        <v>https://www.youtube.com/watch?v=zsux-k1Jdxg</v>
      </c>
      <c r="AO583" s="78" t="str">
        <f>REPLACE(INDEX(GroupVertices[Group],MATCH(Vertices[[#This Row],[Vertex]],GroupVertices[Vertex],0)),1,1,"")</f>
        <v>PARK</v>
      </c>
      <c r="AP583" s="2"/>
      <c r="AQ583" s="3"/>
      <c r="AR583" s="3"/>
      <c r="AS583" s="3"/>
      <c r="AT583" s="3"/>
    </row>
    <row r="584" spans="1:46" ht="15">
      <c r="A584" s="64" t="s">
        <v>2404</v>
      </c>
      <c r="B584" s="65"/>
      <c r="C584" s="65"/>
      <c r="D584" s="66">
        <v>150</v>
      </c>
      <c r="E584" s="102">
        <v>97.85714285714286</v>
      </c>
      <c r="F584" s="98" t="str">
        <f>HYPERLINK("https://i.ytimg.com/vi/oLOQ85RtRQk/default.jpg")</f>
        <v>https://i.ytimg.com/vi/oLOQ85RtRQk/default.jpg</v>
      </c>
      <c r="G584" s="100"/>
      <c r="H584" s="69" t="s">
        <v>2880</v>
      </c>
      <c r="I584" s="70"/>
      <c r="J584" s="104" t="s">
        <v>159</v>
      </c>
      <c r="K584" s="69" t="s">
        <v>2880</v>
      </c>
      <c r="L584" s="105">
        <v>1</v>
      </c>
      <c r="M584" s="74">
        <v>5070.07861328125</v>
      </c>
      <c r="N584" s="74">
        <v>9207.146484375</v>
      </c>
      <c r="O584" s="75"/>
      <c r="P584" s="76"/>
      <c r="Q584" s="76"/>
      <c r="R584" s="106"/>
      <c r="S584" s="48">
        <v>1</v>
      </c>
      <c r="T584" s="48">
        <v>0</v>
      </c>
      <c r="U584" s="49">
        <v>0</v>
      </c>
      <c r="V584" s="49">
        <v>0.142262</v>
      </c>
      <c r="W584" s="107"/>
      <c r="X584" s="50"/>
      <c r="Y584" s="50"/>
      <c r="Z584" s="49">
        <v>0</v>
      </c>
      <c r="AA584" s="71">
        <v>584</v>
      </c>
      <c r="AB584" s="71"/>
      <c r="AC584" s="72"/>
      <c r="AD584" s="79" t="s">
        <v>2880</v>
      </c>
      <c r="AE584" s="79" t="s">
        <v>3319</v>
      </c>
      <c r="AF584" s="79" t="s">
        <v>3616</v>
      </c>
      <c r="AG584" s="79" t="s">
        <v>1668</v>
      </c>
      <c r="AH584" s="79" t="s">
        <v>4246</v>
      </c>
      <c r="AI584" s="79">
        <v>1237</v>
      </c>
      <c r="AJ584" s="79">
        <v>0</v>
      </c>
      <c r="AK584" s="79">
        <v>19</v>
      </c>
      <c r="AL584" s="79">
        <v>0</v>
      </c>
      <c r="AM584" s="79" t="s">
        <v>2092</v>
      </c>
      <c r="AN584" s="114" t="str">
        <f>HYPERLINK("https://www.youtube.com/watch?v=oLOQ85RtRQk")</f>
        <v>https://www.youtube.com/watch?v=oLOQ85RtRQk</v>
      </c>
      <c r="AO584" s="78" t="str">
        <f>REPLACE(INDEX(GroupVertices[Group],MATCH(Vertices[[#This Row],[Vertex]],GroupVertices[Vertex],0)),1,1,"")</f>
        <v>PARK</v>
      </c>
      <c r="AP584" s="2"/>
      <c r="AQ584" s="3"/>
      <c r="AR584" s="3"/>
      <c r="AS584" s="3"/>
      <c r="AT584" s="3"/>
    </row>
    <row r="585" spans="1:46" ht="15">
      <c r="A585" s="64" t="s">
        <v>537</v>
      </c>
      <c r="B585" s="65"/>
      <c r="C585" s="65"/>
      <c r="D585" s="66">
        <v>150</v>
      </c>
      <c r="E585" s="102">
        <v>97.85714285714286</v>
      </c>
      <c r="F585" s="98" t="str">
        <f>HYPERLINK("https://i.ytimg.com/vi/Dj7bQ1qBjKk/default.jpg")</f>
        <v>https://i.ytimg.com/vi/Dj7bQ1qBjKk/default.jpg</v>
      </c>
      <c r="G585" s="100"/>
      <c r="H585" s="69" t="s">
        <v>960</v>
      </c>
      <c r="I585" s="70"/>
      <c r="J585" s="104" t="s">
        <v>159</v>
      </c>
      <c r="K585" s="69" t="s">
        <v>960</v>
      </c>
      <c r="L585" s="105">
        <v>1</v>
      </c>
      <c r="M585" s="74">
        <v>4491.60205078125</v>
      </c>
      <c r="N585" s="74">
        <v>9827.8515625</v>
      </c>
      <c r="O585" s="75"/>
      <c r="P585" s="76"/>
      <c r="Q585" s="76"/>
      <c r="R585" s="106"/>
      <c r="S585" s="48">
        <v>1</v>
      </c>
      <c r="T585" s="48">
        <v>0</v>
      </c>
      <c r="U585" s="49">
        <v>0</v>
      </c>
      <c r="V585" s="49">
        <v>0.142262</v>
      </c>
      <c r="W585" s="107"/>
      <c r="X585" s="50"/>
      <c r="Y585" s="50"/>
      <c r="Z585" s="49">
        <v>0</v>
      </c>
      <c r="AA585" s="71">
        <v>585</v>
      </c>
      <c r="AB585" s="71"/>
      <c r="AC585" s="72"/>
      <c r="AD585" s="79" t="s">
        <v>960</v>
      </c>
      <c r="AE585" s="79" t="s">
        <v>1250</v>
      </c>
      <c r="AF585" s="79"/>
      <c r="AG585" s="79" t="s">
        <v>1668</v>
      </c>
      <c r="AH585" s="79" t="s">
        <v>2017</v>
      </c>
      <c r="AI585" s="79">
        <v>166</v>
      </c>
      <c r="AJ585" s="79">
        <v>0</v>
      </c>
      <c r="AK585" s="79">
        <v>4</v>
      </c>
      <c r="AL585" s="79">
        <v>0</v>
      </c>
      <c r="AM585" s="79" t="s">
        <v>2092</v>
      </c>
      <c r="AN585" s="114" t="str">
        <f>HYPERLINK("https://www.youtube.com/watch?v=Dj7bQ1qBjKk")</f>
        <v>https://www.youtube.com/watch?v=Dj7bQ1qBjKk</v>
      </c>
      <c r="AO585" s="78" t="str">
        <f>REPLACE(INDEX(GroupVertices[Group],MATCH(Vertices[[#This Row],[Vertex]],GroupVertices[Vertex],0)),1,1,"")</f>
        <v>PARK</v>
      </c>
      <c r="AP585" s="2"/>
      <c r="AQ585" s="3"/>
      <c r="AR585" s="3"/>
      <c r="AS585" s="3"/>
      <c r="AT585" s="3"/>
    </row>
    <row r="586" spans="1:46" ht="15">
      <c r="A586" s="64" t="s">
        <v>543</v>
      </c>
      <c r="B586" s="65"/>
      <c r="C586" s="65"/>
      <c r="D586" s="66">
        <v>150</v>
      </c>
      <c r="E586" s="102">
        <v>97.85714285714286</v>
      </c>
      <c r="F586" s="98" t="str">
        <f>HYPERLINK("https://i.ytimg.com/vi/1ruCytPSb5A/default.jpg")</f>
        <v>https://i.ytimg.com/vi/1ruCytPSb5A/default.jpg</v>
      </c>
      <c r="G586" s="100"/>
      <c r="H586" s="69" t="s">
        <v>966</v>
      </c>
      <c r="I586" s="70"/>
      <c r="J586" s="104" t="s">
        <v>159</v>
      </c>
      <c r="K586" s="69" t="s">
        <v>966</v>
      </c>
      <c r="L586" s="105">
        <v>1</v>
      </c>
      <c r="M586" s="74">
        <v>5315.80419921875</v>
      </c>
      <c r="N586" s="74">
        <v>9276.22265625</v>
      </c>
      <c r="O586" s="75"/>
      <c r="P586" s="76"/>
      <c r="Q586" s="76"/>
      <c r="R586" s="106"/>
      <c r="S586" s="48">
        <v>1</v>
      </c>
      <c r="T586" s="48">
        <v>0</v>
      </c>
      <c r="U586" s="49">
        <v>0</v>
      </c>
      <c r="V586" s="49">
        <v>0.142262</v>
      </c>
      <c r="W586" s="107"/>
      <c r="X586" s="50"/>
      <c r="Y586" s="50"/>
      <c r="Z586" s="49">
        <v>0</v>
      </c>
      <c r="AA586" s="71">
        <v>586</v>
      </c>
      <c r="AB586" s="71"/>
      <c r="AC586" s="72"/>
      <c r="AD586" s="79" t="s">
        <v>966</v>
      </c>
      <c r="AE586" s="79" t="s">
        <v>1256</v>
      </c>
      <c r="AF586" s="79" t="s">
        <v>1451</v>
      </c>
      <c r="AG586" s="79" t="s">
        <v>1668</v>
      </c>
      <c r="AH586" s="79" t="s">
        <v>2023</v>
      </c>
      <c r="AI586" s="79">
        <v>175</v>
      </c>
      <c r="AJ586" s="79">
        <v>0</v>
      </c>
      <c r="AK586" s="79">
        <v>2</v>
      </c>
      <c r="AL586" s="79">
        <v>0</v>
      </c>
      <c r="AM586" s="79" t="s">
        <v>2092</v>
      </c>
      <c r="AN586" s="114" t="str">
        <f>HYPERLINK("https://www.youtube.com/watch?v=1ruCytPSb5A")</f>
        <v>https://www.youtube.com/watch?v=1ruCytPSb5A</v>
      </c>
      <c r="AO586" s="78" t="str">
        <f>REPLACE(INDEX(GroupVertices[Group],MATCH(Vertices[[#This Row],[Vertex]],GroupVertices[Vertex],0)),1,1,"")</f>
        <v>PARK</v>
      </c>
      <c r="AP586" s="2"/>
      <c r="AQ586" s="3"/>
      <c r="AR586" s="3"/>
      <c r="AS586" s="3"/>
      <c r="AT586" s="3"/>
    </row>
    <row r="587" spans="1:46" ht="15">
      <c r="A587" s="64" t="s">
        <v>2405</v>
      </c>
      <c r="B587" s="65"/>
      <c r="C587" s="65"/>
      <c r="D587" s="66">
        <v>150</v>
      </c>
      <c r="E587" s="102">
        <v>95.71428571428571</v>
      </c>
      <c r="F587" s="98" t="str">
        <f>HYPERLINK("https://i.ytimg.com/vi/3Cs0-0HSNYw/default.jpg")</f>
        <v>https://i.ytimg.com/vi/3Cs0-0HSNYw/default.jpg</v>
      </c>
      <c r="G587" s="100"/>
      <c r="H587" s="69" t="s">
        <v>2125</v>
      </c>
      <c r="I587" s="70"/>
      <c r="J587" s="104" t="s">
        <v>75</v>
      </c>
      <c r="K587" s="69" t="s">
        <v>2125</v>
      </c>
      <c r="L587" s="105">
        <v>512.1695763371291</v>
      </c>
      <c r="M587" s="74">
        <v>4129.49365234375</v>
      </c>
      <c r="N587" s="74">
        <v>8699.3603515625</v>
      </c>
      <c r="O587" s="75"/>
      <c r="P587" s="76"/>
      <c r="Q587" s="76"/>
      <c r="R587" s="106"/>
      <c r="S587" s="48">
        <v>2</v>
      </c>
      <c r="T587" s="48">
        <v>0</v>
      </c>
      <c r="U587" s="49">
        <v>7140.34233</v>
      </c>
      <c r="V587" s="49">
        <v>0.162171</v>
      </c>
      <c r="W587" s="107"/>
      <c r="X587" s="50"/>
      <c r="Y587" s="50"/>
      <c r="Z587" s="49">
        <v>0</v>
      </c>
      <c r="AA587" s="71">
        <v>587</v>
      </c>
      <c r="AB587" s="71"/>
      <c r="AC587" s="72"/>
      <c r="AD587" s="112">
        <v>45052</v>
      </c>
      <c r="AE587" s="79"/>
      <c r="AF587" s="79"/>
      <c r="AG587" s="79" t="s">
        <v>3853</v>
      </c>
      <c r="AH587" s="79" t="s">
        <v>4247</v>
      </c>
      <c r="AI587" s="79">
        <v>2</v>
      </c>
      <c r="AJ587" s="79">
        <v>0</v>
      </c>
      <c r="AK587" s="79">
        <v>0</v>
      </c>
      <c r="AL587" s="79">
        <v>0</v>
      </c>
      <c r="AM587" s="79" t="s">
        <v>2092</v>
      </c>
      <c r="AN587" s="114" t="str">
        <f>HYPERLINK("https://www.youtube.com/watch?v=3Cs0-0HSNYw")</f>
        <v>https://www.youtube.com/watch?v=3Cs0-0HSNYw</v>
      </c>
      <c r="AO587" s="78" t="str">
        <f>REPLACE(INDEX(GroupVertices[Group],MATCH(Vertices[[#This Row],[Vertex]],GroupVertices[Vertex],0)),1,1,"")</f>
        <v>BEGAIL CORDERO</v>
      </c>
      <c r="AP587" s="2"/>
      <c r="AQ587" s="3"/>
      <c r="AR587" s="3"/>
      <c r="AS587" s="3"/>
      <c r="AT587" s="3"/>
    </row>
    <row r="588" spans="1:46" ht="15">
      <c r="A588" s="64" t="s">
        <v>2406</v>
      </c>
      <c r="B588" s="65"/>
      <c r="C588" s="65"/>
      <c r="D588" s="66">
        <v>150</v>
      </c>
      <c r="E588" s="102">
        <v>95.71428571428571</v>
      </c>
      <c r="F588" s="98" t="str">
        <f>HYPERLINK("https://i.ytimg.com/vi/mfBqHXnZGBQ/default.jpg")</f>
        <v>https://i.ytimg.com/vi/mfBqHXnZGBQ/default.jpg</v>
      </c>
      <c r="G588" s="100"/>
      <c r="H588" s="69" t="s">
        <v>2881</v>
      </c>
      <c r="I588" s="70"/>
      <c r="J588" s="104" t="s">
        <v>75</v>
      </c>
      <c r="K588" s="69" t="s">
        <v>2881</v>
      </c>
      <c r="L588" s="105">
        <v>512.1695763371291</v>
      </c>
      <c r="M588" s="74">
        <v>4045.50634765625</v>
      </c>
      <c r="N588" s="74">
        <v>8769.1484375</v>
      </c>
      <c r="O588" s="75"/>
      <c r="P588" s="76"/>
      <c r="Q588" s="76"/>
      <c r="R588" s="106"/>
      <c r="S588" s="48">
        <v>2</v>
      </c>
      <c r="T588" s="48">
        <v>0</v>
      </c>
      <c r="U588" s="49">
        <v>7140.34233</v>
      </c>
      <c r="V588" s="49">
        <v>0.162171</v>
      </c>
      <c r="W588" s="107"/>
      <c r="X588" s="50"/>
      <c r="Y588" s="50"/>
      <c r="Z588" s="49">
        <v>0</v>
      </c>
      <c r="AA588" s="71">
        <v>588</v>
      </c>
      <c r="AB588" s="71"/>
      <c r="AC588" s="72"/>
      <c r="AD588" s="79" t="s">
        <v>2881</v>
      </c>
      <c r="AE588" s="79"/>
      <c r="AF588" s="79"/>
      <c r="AG588" s="79" t="s">
        <v>3854</v>
      </c>
      <c r="AH588" s="79" t="s">
        <v>4248</v>
      </c>
      <c r="AI588" s="79">
        <v>7</v>
      </c>
      <c r="AJ588" s="79">
        <v>0</v>
      </c>
      <c r="AK588" s="79">
        <v>0</v>
      </c>
      <c r="AL588" s="79">
        <v>0</v>
      </c>
      <c r="AM588" s="79" t="s">
        <v>2092</v>
      </c>
      <c r="AN588" s="114" t="str">
        <f>HYPERLINK("https://www.youtube.com/watch?v=mfBqHXnZGBQ")</f>
        <v>https://www.youtube.com/watch?v=mfBqHXnZGBQ</v>
      </c>
      <c r="AO588" s="78" t="str">
        <f>REPLACE(INDEX(GroupVertices[Group],MATCH(Vertices[[#This Row],[Vertex]],GroupVertices[Vertex],0)),1,1,"")</f>
        <v>nn Hilado</v>
      </c>
      <c r="AP588" s="2"/>
      <c r="AQ588" s="3"/>
      <c r="AR588" s="3"/>
      <c r="AS588" s="3"/>
      <c r="AT588" s="3"/>
    </row>
    <row r="589" spans="1:46" ht="15">
      <c r="A589" s="64" t="s">
        <v>2407</v>
      </c>
      <c r="B589" s="65"/>
      <c r="C589" s="65"/>
      <c r="D589" s="66">
        <v>150</v>
      </c>
      <c r="E589" s="102">
        <v>95.71428571428571</v>
      </c>
      <c r="F589" s="98" t="str">
        <f>HYPERLINK("https://i.ytimg.com/vi/QWOgYVRehGE/default.jpg")</f>
        <v>https://i.ytimg.com/vi/QWOgYVRehGE/default.jpg</v>
      </c>
      <c r="G589" s="100"/>
      <c r="H589" s="69" t="s">
        <v>2882</v>
      </c>
      <c r="I589" s="70"/>
      <c r="J589" s="104" t="s">
        <v>75</v>
      </c>
      <c r="K589" s="69" t="s">
        <v>2882</v>
      </c>
      <c r="L589" s="105">
        <v>512.1695763371291</v>
      </c>
      <c r="M589" s="74">
        <v>3961.214111328125</v>
      </c>
      <c r="N589" s="74">
        <v>8838.1083984375</v>
      </c>
      <c r="O589" s="75"/>
      <c r="P589" s="76"/>
      <c r="Q589" s="76"/>
      <c r="R589" s="106"/>
      <c r="S589" s="48">
        <v>2</v>
      </c>
      <c r="T589" s="48">
        <v>0</v>
      </c>
      <c r="U589" s="49">
        <v>7140.34233</v>
      </c>
      <c r="V589" s="49">
        <v>0.162171</v>
      </c>
      <c r="W589" s="107"/>
      <c r="X589" s="50"/>
      <c r="Y589" s="50"/>
      <c r="Z589" s="49">
        <v>0</v>
      </c>
      <c r="AA589" s="71">
        <v>589</v>
      </c>
      <c r="AB589" s="71"/>
      <c r="AC589" s="72"/>
      <c r="AD589" s="79" t="s">
        <v>2882</v>
      </c>
      <c r="AE589" s="79" t="s">
        <v>3320</v>
      </c>
      <c r="AF589" s="79"/>
      <c r="AG589" s="79" t="s">
        <v>3855</v>
      </c>
      <c r="AH589" s="79" t="s">
        <v>4249</v>
      </c>
      <c r="AI589" s="79">
        <v>4</v>
      </c>
      <c r="AJ589" s="79">
        <v>0</v>
      </c>
      <c r="AK589" s="79">
        <v>0</v>
      </c>
      <c r="AL589" s="79">
        <v>0</v>
      </c>
      <c r="AM589" s="79" t="s">
        <v>2092</v>
      </c>
      <c r="AN589" s="114" t="str">
        <f>HYPERLINK("https://www.youtube.com/watch?v=QWOgYVRehGE")</f>
        <v>https://www.youtube.com/watch?v=QWOgYVRehGE</v>
      </c>
      <c r="AO589" s="78" t="str">
        <f>REPLACE(INDEX(GroupVertices[Group],MATCH(Vertices[[#This Row],[Vertex]],GroupVertices[Vertex],0)),1,1,"")</f>
        <v>tudent</v>
      </c>
      <c r="AP589" s="2"/>
      <c r="AQ589" s="3"/>
      <c r="AR589" s="3"/>
      <c r="AS589" s="3"/>
      <c r="AT589" s="3"/>
    </row>
    <row r="590" spans="1:46" ht="15">
      <c r="A590" s="64" t="s">
        <v>2408</v>
      </c>
      <c r="B590" s="65"/>
      <c r="C590" s="65"/>
      <c r="D590" s="66">
        <v>150</v>
      </c>
      <c r="E590" s="102">
        <v>95.71428571428571</v>
      </c>
      <c r="F590" s="98" t="str">
        <f>HYPERLINK("https://i.ytimg.com/vi/okO5e-csfmQ/default.jpg")</f>
        <v>https://i.ytimg.com/vi/okO5e-csfmQ/default.jpg</v>
      </c>
      <c r="G590" s="100"/>
      <c r="H590" s="69" t="s">
        <v>2883</v>
      </c>
      <c r="I590" s="70"/>
      <c r="J590" s="104" t="s">
        <v>75</v>
      </c>
      <c r="K590" s="69" t="s">
        <v>2883</v>
      </c>
      <c r="L590" s="105">
        <v>512.1695763371291</v>
      </c>
      <c r="M590" s="74">
        <v>4211.56689453125</v>
      </c>
      <c r="N590" s="74">
        <v>8628.130859375</v>
      </c>
      <c r="O590" s="75"/>
      <c r="P590" s="76"/>
      <c r="Q590" s="76"/>
      <c r="R590" s="106"/>
      <c r="S590" s="48">
        <v>2</v>
      </c>
      <c r="T590" s="48">
        <v>0</v>
      </c>
      <c r="U590" s="49">
        <v>7140.34233</v>
      </c>
      <c r="V590" s="49">
        <v>0.162171</v>
      </c>
      <c r="W590" s="107"/>
      <c r="X590" s="50"/>
      <c r="Y590" s="50"/>
      <c r="Z590" s="49">
        <v>0</v>
      </c>
      <c r="AA590" s="71">
        <v>590</v>
      </c>
      <c r="AB590" s="71"/>
      <c r="AC590" s="72"/>
      <c r="AD590" s="79" t="s">
        <v>2883</v>
      </c>
      <c r="AE590" s="79" t="s">
        <v>3321</v>
      </c>
      <c r="AF590" s="79" t="s">
        <v>3617</v>
      </c>
      <c r="AG590" s="79" t="s">
        <v>3856</v>
      </c>
      <c r="AH590" s="79" t="s">
        <v>4250</v>
      </c>
      <c r="AI590" s="79">
        <v>28</v>
      </c>
      <c r="AJ590" s="79">
        <v>1</v>
      </c>
      <c r="AK590" s="79">
        <v>4</v>
      </c>
      <c r="AL590" s="79">
        <v>0</v>
      </c>
      <c r="AM590" s="79" t="s">
        <v>2092</v>
      </c>
      <c r="AN590" s="114" t="str">
        <f>HYPERLINK("https://www.youtube.com/watch?v=okO5e-csfmQ")</f>
        <v>https://www.youtube.com/watch?v=okO5e-csfmQ</v>
      </c>
      <c r="AO590" s="78" t="str">
        <f>REPLACE(INDEX(GroupVertices[Group],MATCH(Vertices[[#This Row],[Vertex]],GroupVertices[Vertex],0)),1,1,"")</f>
        <v>sychology TV | Win by Learning</v>
      </c>
      <c r="AP590" s="2"/>
      <c r="AQ590" s="3"/>
      <c r="AR590" s="3"/>
      <c r="AS590" s="3"/>
      <c r="AT590" s="3"/>
    </row>
    <row r="591" spans="1:46" ht="15">
      <c r="A591" s="64" t="s">
        <v>381</v>
      </c>
      <c r="B591" s="65"/>
      <c r="C591" s="65"/>
      <c r="D591" s="66">
        <v>150</v>
      </c>
      <c r="E591" s="102">
        <v>95.71428571428571</v>
      </c>
      <c r="F591" s="98" t="str">
        <f>HYPERLINK("https://i.ytimg.com/vi/5kIrWMmb-KE/default.jpg")</f>
        <v>https://i.ytimg.com/vi/5kIrWMmb-KE/default.jpg</v>
      </c>
      <c r="G591" s="100"/>
      <c r="H591" s="69" t="s">
        <v>790</v>
      </c>
      <c r="I591" s="70"/>
      <c r="J591" s="104" t="s">
        <v>75</v>
      </c>
      <c r="K591" s="69" t="s">
        <v>790</v>
      </c>
      <c r="L591" s="105">
        <v>4056.004067774334</v>
      </c>
      <c r="M591" s="74">
        <v>4903.4521484375</v>
      </c>
      <c r="N591" s="74">
        <v>9667.552734375</v>
      </c>
      <c r="O591" s="75"/>
      <c r="P591" s="76"/>
      <c r="Q591" s="76"/>
      <c r="R591" s="106"/>
      <c r="S591" s="48">
        <v>2</v>
      </c>
      <c r="T591" s="48">
        <v>0</v>
      </c>
      <c r="U591" s="49">
        <v>56642.880433</v>
      </c>
      <c r="V591" s="49">
        <v>0.198011</v>
      </c>
      <c r="W591" s="107"/>
      <c r="X591" s="50"/>
      <c r="Y591" s="50"/>
      <c r="Z591" s="49">
        <v>0</v>
      </c>
      <c r="AA591" s="71">
        <v>591</v>
      </c>
      <c r="AB591" s="71"/>
      <c r="AC591" s="72"/>
      <c r="AD591" s="79" t="s">
        <v>790</v>
      </c>
      <c r="AE591" s="79" t="s">
        <v>3322</v>
      </c>
      <c r="AF591" s="79"/>
      <c r="AG591" s="79" t="s">
        <v>1526</v>
      </c>
      <c r="AH591" s="79" t="s">
        <v>1716</v>
      </c>
      <c r="AI591" s="79">
        <v>64</v>
      </c>
      <c r="AJ591" s="79">
        <v>0</v>
      </c>
      <c r="AK591" s="79">
        <v>0</v>
      </c>
      <c r="AL591" s="79">
        <v>0</v>
      </c>
      <c r="AM591" s="79" t="s">
        <v>2092</v>
      </c>
      <c r="AN591" s="114" t="str">
        <f>HYPERLINK("https://www.youtube.com/watch?v=5kIrWMmb-KE")</f>
        <v>https://www.youtube.com/watch?v=5kIrWMmb-KE</v>
      </c>
      <c r="AO591" s="78" t="str">
        <f>REPLACE(INDEX(GroupVertices[Group],MATCH(Vertices[[#This Row],[Vertex]],GroupVertices[Vertex],0)),1,1,"")</f>
        <v>Conn mHealth</v>
      </c>
      <c r="AP591" s="2"/>
      <c r="AQ591" s="3"/>
      <c r="AR591" s="3"/>
      <c r="AS591" s="3"/>
      <c r="AT591" s="3"/>
    </row>
    <row r="592" spans="1:46" ht="15">
      <c r="A592" s="64" t="s">
        <v>2409</v>
      </c>
      <c r="B592" s="65"/>
      <c r="C592" s="65"/>
      <c r="D592" s="66">
        <v>150</v>
      </c>
      <c r="E592" s="102">
        <v>97.85714285714286</v>
      </c>
      <c r="F592" s="98" t="str">
        <f>HYPERLINK("https://i.ytimg.com/vi/1ooVDQHcT1c/default.jpg")</f>
        <v>https://i.ytimg.com/vi/1ooVDQHcT1c/default.jpg</v>
      </c>
      <c r="G592" s="100"/>
      <c r="H592" s="69" t="s">
        <v>2884</v>
      </c>
      <c r="I592" s="70"/>
      <c r="J592" s="104" t="s">
        <v>159</v>
      </c>
      <c r="K592" s="69" t="s">
        <v>2884</v>
      </c>
      <c r="L592" s="105">
        <v>1</v>
      </c>
      <c r="M592" s="74">
        <v>2136.62646484375</v>
      </c>
      <c r="N592" s="74">
        <v>3569.430908203125</v>
      </c>
      <c r="O592" s="75"/>
      <c r="P592" s="76"/>
      <c r="Q592" s="76"/>
      <c r="R592" s="106"/>
      <c r="S592" s="48">
        <v>1</v>
      </c>
      <c r="T592" s="48">
        <v>0</v>
      </c>
      <c r="U592" s="49">
        <v>0</v>
      </c>
      <c r="V592" s="49">
        <v>0.118287</v>
      </c>
      <c r="W592" s="107"/>
      <c r="X592" s="50"/>
      <c r="Y592" s="50"/>
      <c r="Z592" s="49">
        <v>0</v>
      </c>
      <c r="AA592" s="71">
        <v>592</v>
      </c>
      <c r="AB592" s="71"/>
      <c r="AC592" s="72"/>
      <c r="AD592" s="79" t="s">
        <v>2884</v>
      </c>
      <c r="AE592" s="79"/>
      <c r="AF592" s="79"/>
      <c r="AG592" s="79" t="s">
        <v>1564</v>
      </c>
      <c r="AH592" s="79" t="s">
        <v>4251</v>
      </c>
      <c r="AI592" s="79">
        <v>41</v>
      </c>
      <c r="AJ592" s="79">
        <v>0</v>
      </c>
      <c r="AK592" s="79">
        <v>0</v>
      </c>
      <c r="AL592" s="79">
        <v>0</v>
      </c>
      <c r="AM592" s="79" t="s">
        <v>2092</v>
      </c>
      <c r="AN592" s="114" t="str">
        <f>HYPERLINK("https://www.youtube.com/watch?v=1ooVDQHcT1c")</f>
        <v>https://www.youtube.com/watch?v=1ooVDQHcT1c</v>
      </c>
      <c r="AO592" s="78" t="str">
        <f>REPLACE(INDEX(GroupVertices[Group],MATCH(Vertices[[#This Row],[Vertex]],GroupVertices[Vertex],0)),1,1,"")</f>
        <v>ennessey Lustica</v>
      </c>
      <c r="AP592" s="2"/>
      <c r="AQ592" s="3"/>
      <c r="AR592" s="3"/>
      <c r="AS592" s="3"/>
      <c r="AT592" s="3"/>
    </row>
    <row r="593" spans="1:46" ht="15">
      <c r="A593" s="64" t="s">
        <v>545</v>
      </c>
      <c r="B593" s="65"/>
      <c r="C593" s="65"/>
      <c r="D593" s="66">
        <v>150</v>
      </c>
      <c r="E593" s="102">
        <v>97.85714285714286</v>
      </c>
      <c r="F593" s="98" t="str">
        <f>HYPERLINK("https://i.ytimg.com/vi/yCFKXQaKzV8/default.jpg")</f>
        <v>https://i.ytimg.com/vi/yCFKXQaKzV8/default.jpg</v>
      </c>
      <c r="G593" s="100"/>
      <c r="H593" s="69" t="s">
        <v>968</v>
      </c>
      <c r="I593" s="70"/>
      <c r="J593" s="104" t="s">
        <v>159</v>
      </c>
      <c r="K593" s="69" t="s">
        <v>968</v>
      </c>
      <c r="L593" s="105">
        <v>1</v>
      </c>
      <c r="M593" s="74">
        <v>2353.898193359375</v>
      </c>
      <c r="N593" s="74">
        <v>3928.41552734375</v>
      </c>
      <c r="O593" s="75"/>
      <c r="P593" s="76"/>
      <c r="Q593" s="76"/>
      <c r="R593" s="106"/>
      <c r="S593" s="48">
        <v>1</v>
      </c>
      <c r="T593" s="48">
        <v>0</v>
      </c>
      <c r="U593" s="49">
        <v>0</v>
      </c>
      <c r="V593" s="49">
        <v>0.118287</v>
      </c>
      <c r="W593" s="107"/>
      <c r="X593" s="50"/>
      <c r="Y593" s="50"/>
      <c r="Z593" s="49">
        <v>0</v>
      </c>
      <c r="AA593" s="71">
        <v>593</v>
      </c>
      <c r="AB593" s="71"/>
      <c r="AC593" s="72"/>
      <c r="AD593" s="79" t="s">
        <v>968</v>
      </c>
      <c r="AE593" s="79"/>
      <c r="AF593" s="79"/>
      <c r="AG593" s="79" t="s">
        <v>1564</v>
      </c>
      <c r="AH593" s="79" t="s">
        <v>2025</v>
      </c>
      <c r="AI593" s="79">
        <v>1464</v>
      </c>
      <c r="AJ593" s="79">
        <v>1</v>
      </c>
      <c r="AK593" s="79">
        <v>14</v>
      </c>
      <c r="AL593" s="79">
        <v>0</v>
      </c>
      <c r="AM593" s="79" t="s">
        <v>2092</v>
      </c>
      <c r="AN593" s="114" t="str">
        <f>HYPERLINK("https://www.youtube.com/watch?v=yCFKXQaKzV8")</f>
        <v>https://www.youtube.com/watch?v=yCFKXQaKzV8</v>
      </c>
      <c r="AO593" s="78" t="str">
        <f>REPLACE(INDEX(GroupVertices[Group],MATCH(Vertices[[#This Row],[Vertex]],GroupVertices[Vertex],0)),1,1,"")</f>
        <v>ennessey Lustica</v>
      </c>
      <c r="AP593" s="2"/>
      <c r="AQ593" s="3"/>
      <c r="AR593" s="3"/>
      <c r="AS593" s="3"/>
      <c r="AT593" s="3"/>
    </row>
    <row r="594" spans="1:46" ht="15">
      <c r="A594" s="64" t="s">
        <v>544</v>
      </c>
      <c r="B594" s="65"/>
      <c r="C594" s="65"/>
      <c r="D594" s="66">
        <v>150</v>
      </c>
      <c r="E594" s="102">
        <v>97.85714285714286</v>
      </c>
      <c r="F594" s="98" t="str">
        <f>HYPERLINK("https://i.ytimg.com/vi/JtdLiq5NCmU/default.jpg")</f>
        <v>https://i.ytimg.com/vi/JtdLiq5NCmU/default.jpg</v>
      </c>
      <c r="G594" s="100"/>
      <c r="H594" s="69" t="s">
        <v>967</v>
      </c>
      <c r="I594" s="70"/>
      <c r="J594" s="104" t="s">
        <v>159</v>
      </c>
      <c r="K594" s="69" t="s">
        <v>967</v>
      </c>
      <c r="L594" s="105">
        <v>1</v>
      </c>
      <c r="M594" s="74">
        <v>2248.166015625</v>
      </c>
      <c r="N594" s="74">
        <v>3660.63525390625</v>
      </c>
      <c r="O594" s="75"/>
      <c r="P594" s="76"/>
      <c r="Q594" s="76"/>
      <c r="R594" s="106"/>
      <c r="S594" s="48">
        <v>1</v>
      </c>
      <c r="T594" s="48">
        <v>0</v>
      </c>
      <c r="U594" s="49">
        <v>0</v>
      </c>
      <c r="V594" s="49">
        <v>0.118287</v>
      </c>
      <c r="W594" s="107"/>
      <c r="X594" s="50"/>
      <c r="Y594" s="50"/>
      <c r="Z594" s="49">
        <v>0</v>
      </c>
      <c r="AA594" s="71">
        <v>594</v>
      </c>
      <c r="AB594" s="71"/>
      <c r="AC594" s="72"/>
      <c r="AD594" s="79" t="s">
        <v>967</v>
      </c>
      <c r="AE594" s="79"/>
      <c r="AF594" s="79"/>
      <c r="AG594" s="79" t="s">
        <v>1564</v>
      </c>
      <c r="AH594" s="79" t="s">
        <v>2024</v>
      </c>
      <c r="AI594" s="79">
        <v>3285</v>
      </c>
      <c r="AJ594" s="79">
        <v>0</v>
      </c>
      <c r="AK594" s="79">
        <v>44</v>
      </c>
      <c r="AL594" s="79">
        <v>0</v>
      </c>
      <c r="AM594" s="79" t="s">
        <v>2092</v>
      </c>
      <c r="AN594" s="114" t="str">
        <f>HYPERLINK("https://www.youtube.com/watch?v=JtdLiq5NCmU")</f>
        <v>https://www.youtube.com/watch?v=JtdLiq5NCmU</v>
      </c>
      <c r="AO594" s="78" t="str">
        <f>REPLACE(INDEX(GroupVertices[Group],MATCH(Vertices[[#This Row],[Vertex]],GroupVertices[Vertex],0)),1,1,"")</f>
        <v>ennessey Lustica</v>
      </c>
      <c r="AP594" s="2"/>
      <c r="AQ594" s="3"/>
      <c r="AR594" s="3"/>
      <c r="AS594" s="3"/>
      <c r="AT594" s="3"/>
    </row>
    <row r="595" spans="1:46" ht="15">
      <c r="A595" s="64" t="s">
        <v>546</v>
      </c>
      <c r="B595" s="65"/>
      <c r="C595" s="65"/>
      <c r="D595" s="66">
        <v>150</v>
      </c>
      <c r="E595" s="102">
        <v>97.85714285714286</v>
      </c>
      <c r="F595" s="98" t="str">
        <f>HYPERLINK("https://i.ytimg.com/vi/CIg2fFhMBsY/default.jpg")</f>
        <v>https://i.ytimg.com/vi/CIg2fFhMBsY/default.jpg</v>
      </c>
      <c r="G595" s="100"/>
      <c r="H595" s="69" t="s">
        <v>969</v>
      </c>
      <c r="I595" s="70"/>
      <c r="J595" s="104" t="s">
        <v>159</v>
      </c>
      <c r="K595" s="69" t="s">
        <v>969</v>
      </c>
      <c r="L595" s="105">
        <v>1</v>
      </c>
      <c r="M595" s="74">
        <v>2240.990478515625</v>
      </c>
      <c r="N595" s="74">
        <v>3836.08984375</v>
      </c>
      <c r="O595" s="75"/>
      <c r="P595" s="76"/>
      <c r="Q595" s="76"/>
      <c r="R595" s="106"/>
      <c r="S595" s="48">
        <v>1</v>
      </c>
      <c r="T595" s="48">
        <v>0</v>
      </c>
      <c r="U595" s="49">
        <v>0</v>
      </c>
      <c r="V595" s="49">
        <v>0.118287</v>
      </c>
      <c r="W595" s="107"/>
      <c r="X595" s="50"/>
      <c r="Y595" s="50"/>
      <c r="Z595" s="49">
        <v>0</v>
      </c>
      <c r="AA595" s="71">
        <v>595</v>
      </c>
      <c r="AB595" s="71"/>
      <c r="AC595" s="72"/>
      <c r="AD595" s="79" t="s">
        <v>969</v>
      </c>
      <c r="AE595" s="79"/>
      <c r="AF595" s="79"/>
      <c r="AG595" s="79" t="s">
        <v>1564</v>
      </c>
      <c r="AH595" s="79" t="s">
        <v>2026</v>
      </c>
      <c r="AI595" s="79">
        <v>13544</v>
      </c>
      <c r="AJ595" s="79">
        <v>6</v>
      </c>
      <c r="AK595" s="79">
        <v>215</v>
      </c>
      <c r="AL595" s="79">
        <v>0</v>
      </c>
      <c r="AM595" s="79" t="s">
        <v>2092</v>
      </c>
      <c r="AN595" s="114" t="str">
        <f>HYPERLINK("https://www.youtube.com/watch?v=CIg2fFhMBsY")</f>
        <v>https://www.youtube.com/watch?v=CIg2fFhMBsY</v>
      </c>
      <c r="AO595" s="78" t="str">
        <f>REPLACE(INDEX(GroupVertices[Group],MATCH(Vertices[[#This Row],[Vertex]],GroupVertices[Vertex],0)),1,1,"")</f>
        <v>ennessey Lustica</v>
      </c>
      <c r="AP595" s="2"/>
      <c r="AQ595" s="3"/>
      <c r="AR595" s="3"/>
      <c r="AS595" s="3"/>
      <c r="AT595" s="3"/>
    </row>
    <row r="596" spans="1:46" ht="15">
      <c r="A596" s="64" t="s">
        <v>2410</v>
      </c>
      <c r="B596" s="65"/>
      <c r="C596" s="65"/>
      <c r="D596" s="66">
        <v>150</v>
      </c>
      <c r="E596" s="102">
        <v>97.85714285714286</v>
      </c>
      <c r="F596" s="98" t="str">
        <f>HYPERLINK("https://i.ytimg.com/vi/qN9x05uimG8/default.jpg")</f>
        <v>https://i.ytimg.com/vi/qN9x05uimG8/default.jpg</v>
      </c>
      <c r="G596" s="100"/>
      <c r="H596" s="69" t="s">
        <v>2885</v>
      </c>
      <c r="I596" s="70"/>
      <c r="J596" s="104" t="s">
        <v>159</v>
      </c>
      <c r="K596" s="69" t="s">
        <v>2885</v>
      </c>
      <c r="L596" s="105">
        <v>1</v>
      </c>
      <c r="M596" s="74">
        <v>279.2789001464844</v>
      </c>
      <c r="N596" s="74">
        <v>1542.0489501953125</v>
      </c>
      <c r="O596" s="75"/>
      <c r="P596" s="76"/>
      <c r="Q596" s="76"/>
      <c r="R596" s="106"/>
      <c r="S596" s="48">
        <v>1</v>
      </c>
      <c r="T596" s="48">
        <v>0</v>
      </c>
      <c r="U596" s="49">
        <v>0</v>
      </c>
      <c r="V596" s="49">
        <v>0.162756</v>
      </c>
      <c r="W596" s="107"/>
      <c r="X596" s="50"/>
      <c r="Y596" s="50"/>
      <c r="Z596" s="49">
        <v>0</v>
      </c>
      <c r="AA596" s="71">
        <v>596</v>
      </c>
      <c r="AB596" s="71"/>
      <c r="AC596" s="72"/>
      <c r="AD596" s="79" t="s">
        <v>2885</v>
      </c>
      <c r="AE596" s="79"/>
      <c r="AF596" s="79"/>
      <c r="AG596" s="79" t="s">
        <v>3857</v>
      </c>
      <c r="AH596" s="79" t="s">
        <v>4252</v>
      </c>
      <c r="AI596" s="79">
        <v>1</v>
      </c>
      <c r="AJ596" s="79">
        <v>0</v>
      </c>
      <c r="AK596" s="79">
        <v>0</v>
      </c>
      <c r="AL596" s="79">
        <v>0</v>
      </c>
      <c r="AM596" s="79" t="s">
        <v>2092</v>
      </c>
      <c r="AN596" s="114" t="str">
        <f>HYPERLINK("https://www.youtube.com/watch?v=qN9x05uimG8")</f>
        <v>https://www.youtube.com/watch?v=qN9x05uimG8</v>
      </c>
      <c r="AO596" s="78" t="str">
        <f>REPLACE(INDEX(GroupVertices[Group],MATCH(Vertices[[#This Row],[Vertex]],GroupVertices[Vertex],0)),1,1,"")</f>
        <v>losedsocket</v>
      </c>
      <c r="AP596" s="2"/>
      <c r="AQ596" s="3"/>
      <c r="AR596" s="3"/>
      <c r="AS596" s="3"/>
      <c r="AT596" s="3"/>
    </row>
    <row r="597" spans="1:46" ht="15">
      <c r="A597" s="64" t="s">
        <v>2411</v>
      </c>
      <c r="B597" s="65"/>
      <c r="C597" s="65"/>
      <c r="D597" s="66">
        <v>150</v>
      </c>
      <c r="E597" s="102">
        <v>97.85714285714286</v>
      </c>
      <c r="F597" s="98" t="str">
        <f>HYPERLINK("https://i.ytimg.com/vi/eYENw_joD5U/default.jpg")</f>
        <v>https://i.ytimg.com/vi/eYENw_joD5U/default.jpg</v>
      </c>
      <c r="G597" s="100"/>
      <c r="H597" s="69" t="s">
        <v>2886</v>
      </c>
      <c r="I597" s="70"/>
      <c r="J597" s="104" t="s">
        <v>159</v>
      </c>
      <c r="K597" s="69" t="s">
        <v>2886</v>
      </c>
      <c r="L597" s="105">
        <v>1</v>
      </c>
      <c r="M597" s="74">
        <v>342.4720764160156</v>
      </c>
      <c r="N597" s="74">
        <v>628.74658203125</v>
      </c>
      <c r="O597" s="75"/>
      <c r="P597" s="76"/>
      <c r="Q597" s="76"/>
      <c r="R597" s="106"/>
      <c r="S597" s="48">
        <v>1</v>
      </c>
      <c r="T597" s="48">
        <v>0</v>
      </c>
      <c r="U597" s="49">
        <v>0</v>
      </c>
      <c r="V597" s="49">
        <v>0.162756</v>
      </c>
      <c r="W597" s="107"/>
      <c r="X597" s="50"/>
      <c r="Y597" s="50"/>
      <c r="Z597" s="49">
        <v>0</v>
      </c>
      <c r="AA597" s="71">
        <v>597</v>
      </c>
      <c r="AB597" s="71"/>
      <c r="AC597" s="72"/>
      <c r="AD597" s="79" t="s">
        <v>2886</v>
      </c>
      <c r="AE597" s="79" t="s">
        <v>3323</v>
      </c>
      <c r="AF597" s="79" t="s">
        <v>3618</v>
      </c>
      <c r="AG597" s="79" t="s">
        <v>3858</v>
      </c>
      <c r="AH597" s="79" t="s">
        <v>4253</v>
      </c>
      <c r="AI597" s="79">
        <v>60</v>
      </c>
      <c r="AJ597" s="79">
        <v>0</v>
      </c>
      <c r="AK597" s="79">
        <v>5</v>
      </c>
      <c r="AL597" s="79">
        <v>0</v>
      </c>
      <c r="AM597" s="79" t="s">
        <v>2092</v>
      </c>
      <c r="AN597" s="114" t="str">
        <f>HYPERLINK("https://www.youtube.com/watch?v=eYENw_joD5U")</f>
        <v>https://www.youtube.com/watch?v=eYENw_joD5U</v>
      </c>
      <c r="AO597" s="78" t="str">
        <f>REPLACE(INDEX(GroupVertices[Group],MATCH(Vertices[[#This Row],[Vertex]],GroupVertices[Vertex],0)),1,1,"")</f>
        <v>implest</v>
      </c>
      <c r="AP597" s="2"/>
      <c r="AQ597" s="3"/>
      <c r="AR597" s="3"/>
      <c r="AS597" s="3"/>
      <c r="AT597" s="3"/>
    </row>
    <row r="598" spans="1:46" ht="15">
      <c r="A598" s="64" t="s">
        <v>2412</v>
      </c>
      <c r="B598" s="65"/>
      <c r="C598" s="65"/>
      <c r="D598" s="66">
        <v>150</v>
      </c>
      <c r="E598" s="102">
        <v>97.85714285714286</v>
      </c>
      <c r="F598" s="98" t="str">
        <f>HYPERLINK("https://i.ytimg.com/vi/Ul45GDonlAw/default.jpg")</f>
        <v>https://i.ytimg.com/vi/Ul45GDonlAw/default.jpg</v>
      </c>
      <c r="G598" s="100"/>
      <c r="H598" s="69" t="s">
        <v>2887</v>
      </c>
      <c r="I598" s="70"/>
      <c r="J598" s="104" t="s">
        <v>159</v>
      </c>
      <c r="K598" s="69" t="s">
        <v>2887</v>
      </c>
      <c r="L598" s="105">
        <v>1</v>
      </c>
      <c r="M598" s="74">
        <v>183.47691345214844</v>
      </c>
      <c r="N598" s="74">
        <v>1078.6534423828125</v>
      </c>
      <c r="O598" s="75"/>
      <c r="P598" s="76"/>
      <c r="Q598" s="76"/>
      <c r="R598" s="106"/>
      <c r="S598" s="48">
        <v>1</v>
      </c>
      <c r="T598" s="48">
        <v>0</v>
      </c>
      <c r="U598" s="49">
        <v>0</v>
      </c>
      <c r="V598" s="49">
        <v>0.162756</v>
      </c>
      <c r="W598" s="107"/>
      <c r="X598" s="50"/>
      <c r="Y598" s="50"/>
      <c r="Z598" s="49">
        <v>0</v>
      </c>
      <c r="AA598" s="71">
        <v>598</v>
      </c>
      <c r="AB598" s="71"/>
      <c r="AC598" s="72"/>
      <c r="AD598" s="79" t="s">
        <v>2887</v>
      </c>
      <c r="AE598" s="79" t="s">
        <v>1061</v>
      </c>
      <c r="AF598" s="79" t="s">
        <v>1406</v>
      </c>
      <c r="AG598" s="79" t="s">
        <v>3859</v>
      </c>
      <c r="AH598" s="79" t="s">
        <v>4254</v>
      </c>
      <c r="AI598" s="79">
        <v>1</v>
      </c>
      <c r="AJ598" s="79">
        <v>0</v>
      </c>
      <c r="AK598" s="79">
        <v>0</v>
      </c>
      <c r="AL598" s="79">
        <v>0</v>
      </c>
      <c r="AM598" s="79" t="s">
        <v>2092</v>
      </c>
      <c r="AN598" s="114" t="str">
        <f>HYPERLINK("https://www.youtube.com/watch?v=Ul45GDonlAw")</f>
        <v>https://www.youtube.com/watch?v=Ul45GDonlAw</v>
      </c>
      <c r="AO598" s="78" t="str">
        <f>REPLACE(INDEX(GroupVertices[Group],MATCH(Vertices[[#This Row],[Vertex]],GroupVertices[Vertex],0)),1,1,"")</f>
        <v>olver Tutor</v>
      </c>
      <c r="AP598" s="2"/>
      <c r="AQ598" s="3"/>
      <c r="AR598" s="3"/>
      <c r="AS598" s="3"/>
      <c r="AT598" s="3"/>
    </row>
    <row r="599" spans="1:46" ht="15">
      <c r="A599" s="64" t="s">
        <v>2413</v>
      </c>
      <c r="B599" s="65"/>
      <c r="C599" s="65"/>
      <c r="D599" s="66">
        <v>150</v>
      </c>
      <c r="E599" s="102">
        <v>97.85714285714286</v>
      </c>
      <c r="F599" s="98" t="str">
        <f>HYPERLINK("https://i.ytimg.com/vi/FYCLyPjKsaQ/default.jpg")</f>
        <v>https://i.ytimg.com/vi/FYCLyPjKsaQ/default.jpg</v>
      </c>
      <c r="G599" s="100"/>
      <c r="H599" s="69" t="s">
        <v>2888</v>
      </c>
      <c r="I599" s="70"/>
      <c r="J599" s="104" t="s">
        <v>159</v>
      </c>
      <c r="K599" s="69" t="s">
        <v>2888</v>
      </c>
      <c r="L599" s="105">
        <v>1</v>
      </c>
      <c r="M599" s="74">
        <v>395.2923583984375</v>
      </c>
      <c r="N599" s="74">
        <v>959.486328125</v>
      </c>
      <c r="O599" s="75"/>
      <c r="P599" s="76"/>
      <c r="Q599" s="76"/>
      <c r="R599" s="106"/>
      <c r="S599" s="48">
        <v>1</v>
      </c>
      <c r="T599" s="48">
        <v>0</v>
      </c>
      <c r="U599" s="49">
        <v>0</v>
      </c>
      <c r="V599" s="49">
        <v>0.162756</v>
      </c>
      <c r="W599" s="107"/>
      <c r="X599" s="50"/>
      <c r="Y599" s="50"/>
      <c r="Z599" s="49">
        <v>0</v>
      </c>
      <c r="AA599" s="71">
        <v>599</v>
      </c>
      <c r="AB599" s="71"/>
      <c r="AC599" s="72"/>
      <c r="AD599" s="79" t="s">
        <v>2888</v>
      </c>
      <c r="AE599" s="79"/>
      <c r="AF599" s="79"/>
      <c r="AG599" s="79" t="s">
        <v>3860</v>
      </c>
      <c r="AH599" s="79" t="s">
        <v>4255</v>
      </c>
      <c r="AI599" s="79">
        <v>11</v>
      </c>
      <c r="AJ599" s="79">
        <v>1</v>
      </c>
      <c r="AK599" s="79">
        <v>1</v>
      </c>
      <c r="AL599" s="79">
        <v>0</v>
      </c>
      <c r="AM599" s="79" t="s">
        <v>2092</v>
      </c>
      <c r="AN599" s="114" t="str">
        <f>HYPERLINK("https://www.youtube.com/watch?v=FYCLyPjKsaQ")</f>
        <v>https://www.youtube.com/watch?v=FYCLyPjKsaQ</v>
      </c>
      <c r="AO599" s="78" t="str">
        <f>REPLACE(INDEX(GroupVertices[Group],MATCH(Vertices[[#This Row],[Vertex]],GroupVertices[Vertex],0)),1,1,"")</f>
        <v>runa Silva</v>
      </c>
      <c r="AP599" s="2"/>
      <c r="AQ599" s="3"/>
      <c r="AR599" s="3"/>
      <c r="AS599" s="3"/>
      <c r="AT599" s="3"/>
    </row>
    <row r="600" spans="1:46" ht="15">
      <c r="A600" s="64" t="s">
        <v>2414</v>
      </c>
      <c r="B600" s="65"/>
      <c r="C600" s="65"/>
      <c r="D600" s="66">
        <v>150</v>
      </c>
      <c r="E600" s="102">
        <v>97.85714285714286</v>
      </c>
      <c r="F600" s="98" t="str">
        <f>HYPERLINK("https://i.ytimg.com/vi/Qn4coWXnqoI/default.jpg")</f>
        <v>https://i.ytimg.com/vi/Qn4coWXnqoI/default.jpg</v>
      </c>
      <c r="G600" s="100"/>
      <c r="H600" s="69" t="s">
        <v>2889</v>
      </c>
      <c r="I600" s="70"/>
      <c r="J600" s="104" t="s">
        <v>159</v>
      </c>
      <c r="K600" s="69" t="s">
        <v>2889</v>
      </c>
      <c r="L600" s="105">
        <v>1</v>
      </c>
      <c r="M600" s="74">
        <v>287.8348083496094</v>
      </c>
      <c r="N600" s="74">
        <v>2232.314697265625</v>
      </c>
      <c r="O600" s="75"/>
      <c r="P600" s="76"/>
      <c r="Q600" s="76"/>
      <c r="R600" s="106"/>
      <c r="S600" s="48">
        <v>1</v>
      </c>
      <c r="T600" s="48">
        <v>0</v>
      </c>
      <c r="U600" s="49">
        <v>0</v>
      </c>
      <c r="V600" s="49">
        <v>0.162756</v>
      </c>
      <c r="W600" s="107"/>
      <c r="X600" s="50"/>
      <c r="Y600" s="50"/>
      <c r="Z600" s="49">
        <v>0</v>
      </c>
      <c r="AA600" s="71">
        <v>600</v>
      </c>
      <c r="AB600" s="71"/>
      <c r="AC600" s="72"/>
      <c r="AD600" s="79" t="s">
        <v>2889</v>
      </c>
      <c r="AE600" s="79"/>
      <c r="AF600" s="79"/>
      <c r="AG600" s="79" t="s">
        <v>3861</v>
      </c>
      <c r="AH600" s="79" t="s">
        <v>4256</v>
      </c>
      <c r="AI600" s="79">
        <v>4</v>
      </c>
      <c r="AJ600" s="79">
        <v>0</v>
      </c>
      <c r="AK600" s="79">
        <v>0</v>
      </c>
      <c r="AL600" s="79">
        <v>0</v>
      </c>
      <c r="AM600" s="79" t="s">
        <v>2092</v>
      </c>
      <c r="AN600" s="114" t="str">
        <f>HYPERLINK("https://www.youtube.com/watch?v=Qn4coWXnqoI")</f>
        <v>https://www.youtube.com/watch?v=Qn4coWXnqoI</v>
      </c>
      <c r="AO600" s="78" t="str">
        <f>REPLACE(INDEX(GroupVertices[Group],MATCH(Vertices[[#This Row],[Vertex]],GroupVertices[Vertex],0)),1,1,"")</f>
        <v>ddieffect</v>
      </c>
      <c r="AP600" s="2"/>
      <c r="AQ600" s="3"/>
      <c r="AR600" s="3"/>
      <c r="AS600" s="3"/>
      <c r="AT600" s="3"/>
    </row>
    <row r="601" spans="1:46" ht="15">
      <c r="A601" s="64" t="s">
        <v>2415</v>
      </c>
      <c r="B601" s="65"/>
      <c r="C601" s="65"/>
      <c r="D601" s="66">
        <v>150</v>
      </c>
      <c r="E601" s="102">
        <v>97.85714285714286</v>
      </c>
      <c r="F601" s="98" t="str">
        <f>HYPERLINK("https://i.ytimg.com/vi/2DROxrKOYFs/default.jpg")</f>
        <v>https://i.ytimg.com/vi/2DROxrKOYFs/default.jpg</v>
      </c>
      <c r="G601" s="100"/>
      <c r="H601" s="69" t="s">
        <v>2890</v>
      </c>
      <c r="I601" s="70"/>
      <c r="J601" s="104" t="s">
        <v>159</v>
      </c>
      <c r="K601" s="69" t="s">
        <v>2890</v>
      </c>
      <c r="L601" s="105">
        <v>1</v>
      </c>
      <c r="M601" s="74">
        <v>829.584228515625</v>
      </c>
      <c r="N601" s="74">
        <v>143.66378784179688</v>
      </c>
      <c r="O601" s="75"/>
      <c r="P601" s="76"/>
      <c r="Q601" s="76"/>
      <c r="R601" s="106"/>
      <c r="S601" s="48">
        <v>1</v>
      </c>
      <c r="T601" s="48">
        <v>0</v>
      </c>
      <c r="U601" s="49">
        <v>0</v>
      </c>
      <c r="V601" s="49">
        <v>0.162756</v>
      </c>
      <c r="W601" s="107"/>
      <c r="X601" s="50"/>
      <c r="Y601" s="50"/>
      <c r="Z601" s="49">
        <v>0</v>
      </c>
      <c r="AA601" s="71">
        <v>601</v>
      </c>
      <c r="AB601" s="71"/>
      <c r="AC601" s="72"/>
      <c r="AD601" s="79" t="s">
        <v>2890</v>
      </c>
      <c r="AE601" s="79" t="s">
        <v>3324</v>
      </c>
      <c r="AF601" s="79"/>
      <c r="AG601" s="79" t="s">
        <v>3862</v>
      </c>
      <c r="AH601" s="79" t="s">
        <v>4257</v>
      </c>
      <c r="AI601" s="79">
        <v>2</v>
      </c>
      <c r="AJ601" s="79">
        <v>0</v>
      </c>
      <c r="AK601" s="79">
        <v>0</v>
      </c>
      <c r="AL601" s="79">
        <v>0</v>
      </c>
      <c r="AM601" s="79" t="s">
        <v>2092</v>
      </c>
      <c r="AN601" s="114" t="str">
        <f>HYPERLINK("https://www.youtube.com/watch?v=2DROxrKOYFs")</f>
        <v>https://www.youtube.com/watch?v=2DROxrKOYFs</v>
      </c>
      <c r="AO601" s="78" t="str">
        <f>REPLACE(INDEX(GroupVertices[Group],MATCH(Vertices[[#This Row],[Vertex]],GroupVertices[Vertex],0)),1,1,"")</f>
        <v>eredith McNerney</v>
      </c>
      <c r="AP601" s="2"/>
      <c r="AQ601" s="3"/>
      <c r="AR601" s="3"/>
      <c r="AS601" s="3"/>
      <c r="AT601" s="3"/>
    </row>
    <row r="602" spans="1:46" ht="15">
      <c r="A602" s="64" t="s">
        <v>2416</v>
      </c>
      <c r="B602" s="65"/>
      <c r="C602" s="65"/>
      <c r="D602" s="66">
        <v>150</v>
      </c>
      <c r="E602" s="102">
        <v>97.85714285714286</v>
      </c>
      <c r="F602" s="98" t="str">
        <f>HYPERLINK("https://i.ytimg.com/vi/xqTrrntxPnc/default.jpg")</f>
        <v>https://i.ytimg.com/vi/xqTrrntxPnc/default.jpg</v>
      </c>
      <c r="G602" s="100"/>
      <c r="H602" s="69" t="s">
        <v>2891</v>
      </c>
      <c r="I602" s="70"/>
      <c r="J602" s="104" t="s">
        <v>159</v>
      </c>
      <c r="K602" s="69" t="s">
        <v>2891</v>
      </c>
      <c r="L602" s="105">
        <v>1</v>
      </c>
      <c r="M602" s="74">
        <v>452.1560363769531</v>
      </c>
      <c r="N602" s="74">
        <v>418.2138671875</v>
      </c>
      <c r="O602" s="75"/>
      <c r="P602" s="76"/>
      <c r="Q602" s="76"/>
      <c r="R602" s="106"/>
      <c r="S602" s="48">
        <v>1</v>
      </c>
      <c r="T602" s="48">
        <v>0</v>
      </c>
      <c r="U602" s="49">
        <v>0</v>
      </c>
      <c r="V602" s="49">
        <v>0.162756</v>
      </c>
      <c r="W602" s="107"/>
      <c r="X602" s="50"/>
      <c r="Y602" s="50"/>
      <c r="Z602" s="49">
        <v>0</v>
      </c>
      <c r="AA602" s="71">
        <v>602</v>
      </c>
      <c r="AB602" s="71"/>
      <c r="AC602" s="72"/>
      <c r="AD602" s="79" t="s">
        <v>2891</v>
      </c>
      <c r="AE602" s="79" t="s">
        <v>1061</v>
      </c>
      <c r="AF602" s="79" t="s">
        <v>1406</v>
      </c>
      <c r="AG602" s="79" t="s">
        <v>3863</v>
      </c>
      <c r="AH602" s="79" t="s">
        <v>4258</v>
      </c>
      <c r="AI602" s="79">
        <v>7</v>
      </c>
      <c r="AJ602" s="79">
        <v>0</v>
      </c>
      <c r="AK602" s="79">
        <v>0</v>
      </c>
      <c r="AL602" s="79">
        <v>0</v>
      </c>
      <c r="AM602" s="79" t="s">
        <v>2092</v>
      </c>
      <c r="AN602" s="114" t="str">
        <f>HYPERLINK("https://www.youtube.com/watch?v=xqTrrntxPnc")</f>
        <v>https://www.youtube.com/watch?v=xqTrrntxPnc</v>
      </c>
      <c r="AO602" s="78" t="str">
        <f>REPLACE(INDEX(GroupVertices[Group],MATCH(Vertices[[#This Row],[Vertex]],GroupVertices[Vertex],0)),1,1,"")</f>
        <v>lana Fernandes</v>
      </c>
      <c r="AP602" s="2"/>
      <c r="AQ602" s="3"/>
      <c r="AR602" s="3"/>
      <c r="AS602" s="3"/>
      <c r="AT602" s="3"/>
    </row>
    <row r="603" spans="1:46" ht="15">
      <c r="A603" s="64" t="s">
        <v>2417</v>
      </c>
      <c r="B603" s="65"/>
      <c r="C603" s="65"/>
      <c r="D603" s="66">
        <v>150</v>
      </c>
      <c r="E603" s="102">
        <v>97.85714285714286</v>
      </c>
      <c r="F603" s="98" t="str">
        <f>HYPERLINK("https://i.ytimg.com/vi/C6C7v4x9flI/default.jpg")</f>
        <v>https://i.ytimg.com/vi/C6C7v4x9flI/default.jpg</v>
      </c>
      <c r="G603" s="100"/>
      <c r="H603" s="69" t="s">
        <v>2892</v>
      </c>
      <c r="I603" s="70"/>
      <c r="J603" s="104" t="s">
        <v>159</v>
      </c>
      <c r="K603" s="69" t="s">
        <v>2892</v>
      </c>
      <c r="L603" s="105">
        <v>1</v>
      </c>
      <c r="M603" s="74">
        <v>137.6204376220703</v>
      </c>
      <c r="N603" s="74">
        <v>1360.17626953125</v>
      </c>
      <c r="O603" s="75"/>
      <c r="P603" s="76"/>
      <c r="Q603" s="76"/>
      <c r="R603" s="106"/>
      <c r="S603" s="48">
        <v>1</v>
      </c>
      <c r="T603" s="48">
        <v>0</v>
      </c>
      <c r="U603" s="49">
        <v>0</v>
      </c>
      <c r="V603" s="49">
        <v>0.162756</v>
      </c>
      <c r="W603" s="107"/>
      <c r="X603" s="50"/>
      <c r="Y603" s="50"/>
      <c r="Z603" s="49">
        <v>0</v>
      </c>
      <c r="AA603" s="71">
        <v>603</v>
      </c>
      <c r="AB603" s="71"/>
      <c r="AC603" s="72"/>
      <c r="AD603" s="79" t="s">
        <v>2892</v>
      </c>
      <c r="AE603" s="79" t="s">
        <v>3325</v>
      </c>
      <c r="AF603" s="79" t="s">
        <v>3619</v>
      </c>
      <c r="AG603" s="79" t="s">
        <v>3864</v>
      </c>
      <c r="AH603" s="79" t="s">
        <v>4259</v>
      </c>
      <c r="AI603" s="79">
        <v>1</v>
      </c>
      <c r="AJ603" s="79">
        <v>0</v>
      </c>
      <c r="AK603" s="79">
        <v>0</v>
      </c>
      <c r="AL603" s="79">
        <v>0</v>
      </c>
      <c r="AM603" s="79" t="s">
        <v>2092</v>
      </c>
      <c r="AN603" s="114" t="str">
        <f>HYPERLINK("https://www.youtube.com/watch?v=C6C7v4x9flI")</f>
        <v>https://www.youtube.com/watch?v=C6C7v4x9flI</v>
      </c>
      <c r="AO603" s="78" t="str">
        <f>REPLACE(INDEX(GroupVertices[Group],MATCH(Vertices[[#This Row],[Vertex]],GroupVertices[Vertex],0)),1,1,"")</f>
        <v>azu Takahasi</v>
      </c>
      <c r="AP603" s="2"/>
      <c r="AQ603" s="3"/>
      <c r="AR603" s="3"/>
      <c r="AS603" s="3"/>
      <c r="AT603" s="3"/>
    </row>
    <row r="604" spans="1:46" ht="15">
      <c r="A604" s="64" t="s">
        <v>2418</v>
      </c>
      <c r="B604" s="65"/>
      <c r="C604" s="65"/>
      <c r="D604" s="66">
        <v>150</v>
      </c>
      <c r="E604" s="102">
        <v>97.85714285714286</v>
      </c>
      <c r="F604" s="98" t="str">
        <f>HYPERLINK("https://i.ytimg.com/vi/1Tn8-jX4UAs/default.jpg")</f>
        <v>https://i.ytimg.com/vi/1Tn8-jX4UAs/default.jpg</v>
      </c>
      <c r="G604" s="100"/>
      <c r="H604" s="69" t="s">
        <v>2893</v>
      </c>
      <c r="I604" s="70"/>
      <c r="J604" s="104" t="s">
        <v>159</v>
      </c>
      <c r="K604" s="69" t="s">
        <v>2893</v>
      </c>
      <c r="L604" s="105">
        <v>1</v>
      </c>
      <c r="M604" s="74">
        <v>293.7983703613281</v>
      </c>
      <c r="N604" s="74">
        <v>2065.611572265625</v>
      </c>
      <c r="O604" s="75"/>
      <c r="P604" s="76"/>
      <c r="Q604" s="76"/>
      <c r="R604" s="106"/>
      <c r="S604" s="48">
        <v>1</v>
      </c>
      <c r="T604" s="48">
        <v>0</v>
      </c>
      <c r="U604" s="49">
        <v>0</v>
      </c>
      <c r="V604" s="49">
        <v>0.162756</v>
      </c>
      <c r="W604" s="107"/>
      <c r="X604" s="50"/>
      <c r="Y604" s="50"/>
      <c r="Z604" s="49">
        <v>0</v>
      </c>
      <c r="AA604" s="71">
        <v>604</v>
      </c>
      <c r="AB604" s="71"/>
      <c r="AC604" s="72"/>
      <c r="AD604" s="79" t="s">
        <v>2893</v>
      </c>
      <c r="AE604" s="79"/>
      <c r="AF604" s="79"/>
      <c r="AG604" s="79" t="s">
        <v>3865</v>
      </c>
      <c r="AH604" s="79" t="s">
        <v>4260</v>
      </c>
      <c r="AI604" s="79">
        <v>4</v>
      </c>
      <c r="AJ604" s="79">
        <v>0</v>
      </c>
      <c r="AK604" s="79">
        <v>0</v>
      </c>
      <c r="AL604" s="79">
        <v>0</v>
      </c>
      <c r="AM604" s="79" t="s">
        <v>2092</v>
      </c>
      <c r="AN604" s="114" t="str">
        <f>HYPERLINK("https://www.youtube.com/watch?v=1Tn8-jX4UAs")</f>
        <v>https://www.youtube.com/watch?v=1Tn8-jX4UAs</v>
      </c>
      <c r="AO604" s="78" t="str">
        <f>REPLACE(INDEX(GroupVertices[Group],MATCH(Vertices[[#This Row],[Vertex]],GroupVertices[Vertex],0)),1,1,"")</f>
        <v>xplore ESJ &amp; ESD</v>
      </c>
      <c r="AP604" s="2"/>
      <c r="AQ604" s="3"/>
      <c r="AR604" s="3"/>
      <c r="AS604" s="3"/>
      <c r="AT604" s="3"/>
    </row>
    <row r="605" spans="1:46" ht="15">
      <c r="A605" s="64" t="s">
        <v>2419</v>
      </c>
      <c r="B605" s="65"/>
      <c r="C605" s="65"/>
      <c r="D605" s="66">
        <v>150</v>
      </c>
      <c r="E605" s="102">
        <v>97.85714285714286</v>
      </c>
      <c r="F605" s="98" t="str">
        <f>HYPERLINK("https://i.ytimg.com/vi/TtgertX7QGc/default.jpg")</f>
        <v>https://i.ytimg.com/vi/TtgertX7QGc/default.jpg</v>
      </c>
      <c r="G605" s="100"/>
      <c r="H605" s="69" t="s">
        <v>2894</v>
      </c>
      <c r="I605" s="70"/>
      <c r="J605" s="104" t="s">
        <v>159</v>
      </c>
      <c r="K605" s="69" t="s">
        <v>2894</v>
      </c>
      <c r="L605" s="105">
        <v>1</v>
      </c>
      <c r="M605" s="74">
        <v>302.1465148925781</v>
      </c>
      <c r="N605" s="74">
        <v>1807.5736083984375</v>
      </c>
      <c r="O605" s="75"/>
      <c r="P605" s="76"/>
      <c r="Q605" s="76"/>
      <c r="R605" s="106"/>
      <c r="S605" s="48">
        <v>1</v>
      </c>
      <c r="T605" s="48">
        <v>0</v>
      </c>
      <c r="U605" s="49">
        <v>0</v>
      </c>
      <c r="V605" s="49">
        <v>0.162756</v>
      </c>
      <c r="W605" s="107"/>
      <c r="X605" s="50"/>
      <c r="Y605" s="50"/>
      <c r="Z605" s="49">
        <v>0</v>
      </c>
      <c r="AA605" s="71">
        <v>605</v>
      </c>
      <c r="AB605" s="71"/>
      <c r="AC605" s="72"/>
      <c r="AD605" s="79" t="s">
        <v>2894</v>
      </c>
      <c r="AE605" s="79" t="s">
        <v>1269</v>
      </c>
      <c r="AF605" s="79"/>
      <c r="AG605" s="79" t="s">
        <v>1670</v>
      </c>
      <c r="AH605" s="79" t="s">
        <v>4261</v>
      </c>
      <c r="AI605" s="79">
        <v>7</v>
      </c>
      <c r="AJ605" s="79">
        <v>0</v>
      </c>
      <c r="AK605" s="79">
        <v>0</v>
      </c>
      <c r="AL605" s="79">
        <v>0</v>
      </c>
      <c r="AM605" s="79" t="s">
        <v>2092</v>
      </c>
      <c r="AN605" s="114" t="str">
        <f>HYPERLINK("https://www.youtube.com/watch?v=TtgertX7QGc")</f>
        <v>https://www.youtube.com/watch?v=TtgertX7QGc</v>
      </c>
      <c r="AO605" s="78" t="str">
        <f>REPLACE(INDEX(GroupVertices[Group],MATCH(Vertices[[#This Row],[Vertex]],GroupVertices[Vertex],0)),1,1,"")</f>
        <v>rofessor Capron</v>
      </c>
      <c r="AP605" s="2"/>
      <c r="AQ605" s="3"/>
      <c r="AR605" s="3"/>
      <c r="AS605" s="3"/>
      <c r="AT605" s="3"/>
    </row>
    <row r="606" spans="1:46" ht="15">
      <c r="A606" s="64" t="s">
        <v>321</v>
      </c>
      <c r="B606" s="65"/>
      <c r="C606" s="65"/>
      <c r="D606" s="66">
        <v>150</v>
      </c>
      <c r="E606" s="102">
        <v>97.85714285714286</v>
      </c>
      <c r="F606" s="98" t="str">
        <f>HYPERLINK("https://i.ytimg.com/vi/GguFY2xXXko/default.jpg")</f>
        <v>https://i.ytimg.com/vi/GguFY2xXXko/default.jpg</v>
      </c>
      <c r="G606" s="100"/>
      <c r="H606" s="69" t="s">
        <v>718</v>
      </c>
      <c r="I606" s="70"/>
      <c r="J606" s="104" t="s">
        <v>159</v>
      </c>
      <c r="K606" s="69" t="s">
        <v>718</v>
      </c>
      <c r="L606" s="105">
        <v>1</v>
      </c>
      <c r="M606" s="74">
        <v>314.8225402832031</v>
      </c>
      <c r="N606" s="74">
        <v>1266.26953125</v>
      </c>
      <c r="O606" s="75"/>
      <c r="P606" s="76"/>
      <c r="Q606" s="76"/>
      <c r="R606" s="106"/>
      <c r="S606" s="48">
        <v>1</v>
      </c>
      <c r="T606" s="48">
        <v>0</v>
      </c>
      <c r="U606" s="49">
        <v>0</v>
      </c>
      <c r="V606" s="49">
        <v>0.162756</v>
      </c>
      <c r="W606" s="107"/>
      <c r="X606" s="50"/>
      <c r="Y606" s="50"/>
      <c r="Z606" s="49">
        <v>0</v>
      </c>
      <c r="AA606" s="71">
        <v>606</v>
      </c>
      <c r="AB606" s="71"/>
      <c r="AC606" s="72"/>
      <c r="AD606" s="79" t="s">
        <v>718</v>
      </c>
      <c r="AE606" s="79" t="s">
        <v>1082</v>
      </c>
      <c r="AF606" s="79"/>
      <c r="AG606" s="79" t="s">
        <v>1563</v>
      </c>
      <c r="AH606" s="79" t="s">
        <v>1773</v>
      </c>
      <c r="AI606" s="79">
        <v>13</v>
      </c>
      <c r="AJ606" s="79">
        <v>0</v>
      </c>
      <c r="AK606" s="79">
        <v>0</v>
      </c>
      <c r="AL606" s="79">
        <v>0</v>
      </c>
      <c r="AM606" s="79" t="s">
        <v>2092</v>
      </c>
      <c r="AN606" s="114" t="str">
        <f>HYPERLINK("https://www.youtube.com/watch?v=GguFY2xXXko")</f>
        <v>https://www.youtube.com/watch?v=GguFY2xXXko</v>
      </c>
      <c r="AO606" s="78" t="str">
        <f>REPLACE(INDEX(GroupVertices[Group],MATCH(Vertices[[#This Row],[Vertex]],GroupVertices[Vertex],0)),1,1,"")</f>
        <v>teve Sweder</v>
      </c>
      <c r="AP606" s="2"/>
      <c r="AQ606" s="3"/>
      <c r="AR606" s="3"/>
      <c r="AS606" s="3"/>
      <c r="AT606" s="3"/>
    </row>
    <row r="607" spans="1:46" ht="15">
      <c r="A607" s="64" t="s">
        <v>577</v>
      </c>
      <c r="B607" s="65"/>
      <c r="C607" s="65"/>
      <c r="D607" s="66">
        <v>150</v>
      </c>
      <c r="E607" s="102">
        <v>97.85714285714286</v>
      </c>
      <c r="F607" s="98" t="str">
        <f>HYPERLINK("https://i.ytimg.com/vi/lprutJ72maE/default.jpg")</f>
        <v>https://i.ytimg.com/vi/lprutJ72maE/default.jpg</v>
      </c>
      <c r="G607" s="100"/>
      <c r="H607" s="69" t="s">
        <v>1002</v>
      </c>
      <c r="I607" s="70"/>
      <c r="J607" s="104" t="s">
        <v>159</v>
      </c>
      <c r="K607" s="69" t="s">
        <v>1002</v>
      </c>
      <c r="L607" s="105">
        <v>1</v>
      </c>
      <c r="M607" s="74">
        <v>173.9493865966797</v>
      </c>
      <c r="N607" s="74">
        <v>1947.8983154296875</v>
      </c>
      <c r="O607" s="75"/>
      <c r="P607" s="76"/>
      <c r="Q607" s="76"/>
      <c r="R607" s="106"/>
      <c r="S607" s="48">
        <v>1</v>
      </c>
      <c r="T607" s="48">
        <v>0</v>
      </c>
      <c r="U607" s="49">
        <v>0</v>
      </c>
      <c r="V607" s="49">
        <v>0.162756</v>
      </c>
      <c r="W607" s="107"/>
      <c r="X607" s="50"/>
      <c r="Y607" s="50"/>
      <c r="Z607" s="49">
        <v>0</v>
      </c>
      <c r="AA607" s="71">
        <v>607</v>
      </c>
      <c r="AB607" s="71"/>
      <c r="AC607" s="72"/>
      <c r="AD607" s="79" t="s">
        <v>1002</v>
      </c>
      <c r="AE607" s="79" t="s">
        <v>1271</v>
      </c>
      <c r="AF607" s="79" t="s">
        <v>1463</v>
      </c>
      <c r="AG607" s="79" t="s">
        <v>1528</v>
      </c>
      <c r="AH607" s="79" t="s">
        <v>2058</v>
      </c>
      <c r="AI607" s="79">
        <v>10</v>
      </c>
      <c r="AJ607" s="79">
        <v>0</v>
      </c>
      <c r="AK607" s="79">
        <v>0</v>
      </c>
      <c r="AL607" s="79">
        <v>0</v>
      </c>
      <c r="AM607" s="79" t="s">
        <v>2092</v>
      </c>
      <c r="AN607" s="114" t="str">
        <f>HYPERLINK("https://www.youtube.com/watch?v=lprutJ72maE")</f>
        <v>https://www.youtube.com/watch?v=lprutJ72maE</v>
      </c>
      <c r="AO607" s="78" t="str">
        <f>REPLACE(INDEX(GroupVertices[Group],MATCH(Vertices[[#This Row],[Vertex]],GroupVertices[Vertex],0)),1,1,"")</f>
        <v>en Joyce Ackerson</v>
      </c>
      <c r="AP607" s="2"/>
      <c r="AQ607" s="3"/>
      <c r="AR607" s="3"/>
      <c r="AS607" s="3"/>
      <c r="AT607" s="3"/>
    </row>
    <row r="608" spans="1:46" ht="15">
      <c r="A608" s="64" t="s">
        <v>549</v>
      </c>
      <c r="B608" s="65"/>
      <c r="C608" s="65"/>
      <c r="D608" s="66">
        <v>150</v>
      </c>
      <c r="E608" s="102">
        <v>97.85714285714286</v>
      </c>
      <c r="F608" s="98" t="str">
        <f>HYPERLINK("https://i.ytimg.com/vi/-uzmgu9l-o0/default.jpg")</f>
        <v>https://i.ytimg.com/vi/-uzmgu9l-o0/default.jpg</v>
      </c>
      <c r="G608" s="100"/>
      <c r="H608" s="69" t="s">
        <v>972</v>
      </c>
      <c r="I608" s="70"/>
      <c r="J608" s="104" t="s">
        <v>159</v>
      </c>
      <c r="K608" s="69" t="s">
        <v>972</v>
      </c>
      <c r="L608" s="105">
        <v>1</v>
      </c>
      <c r="M608" s="74">
        <v>133.8554229736328</v>
      </c>
      <c r="N608" s="74">
        <v>1663.3538818359375</v>
      </c>
      <c r="O608" s="75"/>
      <c r="P608" s="76"/>
      <c r="Q608" s="76"/>
      <c r="R608" s="106"/>
      <c r="S608" s="48">
        <v>1</v>
      </c>
      <c r="T608" s="48">
        <v>0</v>
      </c>
      <c r="U608" s="49">
        <v>0</v>
      </c>
      <c r="V608" s="49">
        <v>0.162756</v>
      </c>
      <c r="W608" s="107"/>
      <c r="X608" s="50"/>
      <c r="Y608" s="50"/>
      <c r="Z608" s="49">
        <v>0</v>
      </c>
      <c r="AA608" s="71">
        <v>608</v>
      </c>
      <c r="AB608" s="71"/>
      <c r="AC608" s="72"/>
      <c r="AD608" s="79" t="s">
        <v>972</v>
      </c>
      <c r="AE608" s="79" t="s">
        <v>972</v>
      </c>
      <c r="AF608" s="79"/>
      <c r="AG608" s="79" t="s">
        <v>1520</v>
      </c>
      <c r="AH608" s="79" t="s">
        <v>2029</v>
      </c>
      <c r="AI608" s="79">
        <v>1009</v>
      </c>
      <c r="AJ608" s="79">
        <v>0</v>
      </c>
      <c r="AK608" s="79">
        <v>0</v>
      </c>
      <c r="AL608" s="79">
        <v>0</v>
      </c>
      <c r="AM608" s="79" t="s">
        <v>2092</v>
      </c>
      <c r="AN608" s="114" t="str">
        <f>HYPERLINK("https://www.youtube.com/watch?v=-uzmgu9l-o0")</f>
        <v>https://www.youtube.com/watch?v=-uzmgu9l-o0</v>
      </c>
      <c r="AO608" s="78" t="str">
        <f>REPLACE(INDEX(GroupVertices[Group],MATCH(Vertices[[#This Row],[Vertex]],GroupVertices[Vertex],0)),1,1,"")</f>
        <v>iktor Burlaka</v>
      </c>
      <c r="AP608" s="2"/>
      <c r="AQ608" s="3"/>
      <c r="AR608" s="3"/>
      <c r="AS608" s="3"/>
      <c r="AT608" s="3"/>
    </row>
    <row r="609" spans="1:46" ht="15">
      <c r="A609" s="64" t="s">
        <v>547</v>
      </c>
      <c r="B609" s="65"/>
      <c r="C609" s="65"/>
      <c r="D609" s="66">
        <v>150</v>
      </c>
      <c r="E609" s="102">
        <v>97.85714285714286</v>
      </c>
      <c r="F609" s="98" t="str">
        <f>HYPERLINK("https://i.ytimg.com/vi/oX-nSQkIl5Y/default.jpg")</f>
        <v>https://i.ytimg.com/vi/oX-nSQkIl5Y/default.jpg</v>
      </c>
      <c r="G609" s="100"/>
      <c r="H609" s="69" t="s">
        <v>970</v>
      </c>
      <c r="I609" s="70"/>
      <c r="J609" s="104" t="s">
        <v>159</v>
      </c>
      <c r="K609" s="69" t="s">
        <v>970</v>
      </c>
      <c r="L609" s="105">
        <v>1</v>
      </c>
      <c r="M609" s="74">
        <v>728.9950561523438</v>
      </c>
      <c r="N609" s="74">
        <v>201.0530242919922</v>
      </c>
      <c r="O609" s="75"/>
      <c r="P609" s="76"/>
      <c r="Q609" s="76"/>
      <c r="R609" s="106"/>
      <c r="S609" s="48">
        <v>1</v>
      </c>
      <c r="T609" s="48">
        <v>0</v>
      </c>
      <c r="U609" s="49">
        <v>0</v>
      </c>
      <c r="V609" s="49">
        <v>0.162756</v>
      </c>
      <c r="W609" s="107"/>
      <c r="X609" s="50"/>
      <c r="Y609" s="50"/>
      <c r="Z609" s="49">
        <v>0</v>
      </c>
      <c r="AA609" s="71">
        <v>609</v>
      </c>
      <c r="AB609" s="71"/>
      <c r="AC609" s="72"/>
      <c r="AD609" s="79" t="s">
        <v>970</v>
      </c>
      <c r="AE609" s="79" t="s">
        <v>970</v>
      </c>
      <c r="AF609" s="79"/>
      <c r="AG609" s="79" t="s">
        <v>1520</v>
      </c>
      <c r="AH609" s="79" t="s">
        <v>2027</v>
      </c>
      <c r="AI609" s="79">
        <v>1153</v>
      </c>
      <c r="AJ609" s="79">
        <v>0</v>
      </c>
      <c r="AK609" s="79">
        <v>0</v>
      </c>
      <c r="AL609" s="79">
        <v>0</v>
      </c>
      <c r="AM609" s="79" t="s">
        <v>2092</v>
      </c>
      <c r="AN609" s="114" t="str">
        <f>HYPERLINK("https://www.youtube.com/watch?v=oX-nSQkIl5Y")</f>
        <v>https://www.youtube.com/watch?v=oX-nSQkIl5Y</v>
      </c>
      <c r="AO609" s="78" t="str">
        <f>REPLACE(INDEX(GroupVertices[Group],MATCH(Vertices[[#This Row],[Vertex]],GroupVertices[Vertex],0)),1,1,"")</f>
        <v>iktor Burlaka</v>
      </c>
      <c r="AP609" s="2"/>
      <c r="AQ609" s="3"/>
      <c r="AR609" s="3"/>
      <c r="AS609" s="3"/>
      <c r="AT609" s="3"/>
    </row>
    <row r="610" spans="1:46" ht="15">
      <c r="A610" s="64" t="s">
        <v>548</v>
      </c>
      <c r="B610" s="65"/>
      <c r="C610" s="65"/>
      <c r="D610" s="66">
        <v>150</v>
      </c>
      <c r="E610" s="102">
        <v>97.85714285714286</v>
      </c>
      <c r="F610" s="98" t="str">
        <f>HYPERLINK("https://i.ytimg.com/vi/-merjqmlYo8/default.jpg")</f>
        <v>https://i.ytimg.com/vi/-merjqmlYo8/default.jpg</v>
      </c>
      <c r="G610" s="100"/>
      <c r="H610" s="69" t="s">
        <v>971</v>
      </c>
      <c r="I610" s="70"/>
      <c r="J610" s="104" t="s">
        <v>159</v>
      </c>
      <c r="K610" s="69" t="s">
        <v>971</v>
      </c>
      <c r="L610" s="105">
        <v>1</v>
      </c>
      <c r="M610" s="74">
        <v>596.523193359375</v>
      </c>
      <c r="N610" s="74">
        <v>253.92733764648438</v>
      </c>
      <c r="O610" s="75"/>
      <c r="P610" s="76"/>
      <c r="Q610" s="76"/>
      <c r="R610" s="106"/>
      <c r="S610" s="48">
        <v>1</v>
      </c>
      <c r="T610" s="48">
        <v>0</v>
      </c>
      <c r="U610" s="49">
        <v>0</v>
      </c>
      <c r="V610" s="49">
        <v>0.162756</v>
      </c>
      <c r="W610" s="107"/>
      <c r="X610" s="50"/>
      <c r="Y610" s="50"/>
      <c r="Z610" s="49">
        <v>0</v>
      </c>
      <c r="AA610" s="71">
        <v>610</v>
      </c>
      <c r="AB610" s="71"/>
      <c r="AC610" s="72"/>
      <c r="AD610" s="79" t="s">
        <v>971</v>
      </c>
      <c r="AE610" s="79" t="s">
        <v>3326</v>
      </c>
      <c r="AF610" s="79" t="s">
        <v>1452</v>
      </c>
      <c r="AG610" s="79" t="s">
        <v>1514</v>
      </c>
      <c r="AH610" s="79" t="s">
        <v>2028</v>
      </c>
      <c r="AI610" s="79">
        <v>24392</v>
      </c>
      <c r="AJ610" s="79">
        <v>23</v>
      </c>
      <c r="AK610" s="79">
        <v>428</v>
      </c>
      <c r="AL610" s="79">
        <v>0</v>
      </c>
      <c r="AM610" s="79" t="s">
        <v>2092</v>
      </c>
      <c r="AN610" s="114" t="str">
        <f>HYPERLINK("https://www.youtube.com/watch?v=-merjqmlYo8")</f>
        <v>https://www.youtube.com/watch?v=-merjqmlYo8</v>
      </c>
      <c r="AO610" s="78" t="str">
        <f>REPLACE(INDEX(GroupVertices[Group],MATCH(Vertices[[#This Row],[Vertex]],GroupVertices[Vertex],0)),1,1,"")</f>
        <v>hesus Medicine</v>
      </c>
      <c r="AP610" s="2"/>
      <c r="AQ610" s="3"/>
      <c r="AR610" s="3"/>
      <c r="AS610" s="3"/>
      <c r="AT610" s="3"/>
    </row>
    <row r="611" spans="1:46" ht="15">
      <c r="A611" s="64" t="s">
        <v>551</v>
      </c>
      <c r="B611" s="65"/>
      <c r="C611" s="65"/>
      <c r="D611" s="66">
        <v>150</v>
      </c>
      <c r="E611" s="102">
        <v>97.85714285714286</v>
      </c>
      <c r="F611" s="98" t="str">
        <f>HYPERLINK("https://i.ytimg.com/vi/ZNSDhr5GH3I/default.jpg")</f>
        <v>https://i.ytimg.com/vi/ZNSDhr5GH3I/default.jpg</v>
      </c>
      <c r="G611" s="100"/>
      <c r="H611" s="69" t="s">
        <v>974</v>
      </c>
      <c r="I611" s="70"/>
      <c r="J611" s="104" t="s">
        <v>159</v>
      </c>
      <c r="K611" s="69" t="s">
        <v>974</v>
      </c>
      <c r="L611" s="105">
        <v>1</v>
      </c>
      <c r="M611" s="74">
        <v>516.3887939453125</v>
      </c>
      <c r="N611" s="74">
        <v>666.7108154296875</v>
      </c>
      <c r="O611" s="75"/>
      <c r="P611" s="76"/>
      <c r="Q611" s="76"/>
      <c r="R611" s="106"/>
      <c r="S611" s="48">
        <v>1</v>
      </c>
      <c r="T611" s="48">
        <v>0</v>
      </c>
      <c r="U611" s="49">
        <v>0</v>
      </c>
      <c r="V611" s="49">
        <v>0.162756</v>
      </c>
      <c r="W611" s="107"/>
      <c r="X611" s="50"/>
      <c r="Y611" s="50"/>
      <c r="Z611" s="49">
        <v>0</v>
      </c>
      <c r="AA611" s="71">
        <v>611</v>
      </c>
      <c r="AB611" s="71"/>
      <c r="AC611" s="72"/>
      <c r="AD611" s="79" t="s">
        <v>974</v>
      </c>
      <c r="AE611" s="79" t="s">
        <v>1257</v>
      </c>
      <c r="AF611" s="79"/>
      <c r="AG611" s="79" t="s">
        <v>1520</v>
      </c>
      <c r="AH611" s="79" t="s">
        <v>2031</v>
      </c>
      <c r="AI611" s="79">
        <v>7694</v>
      </c>
      <c r="AJ611" s="79">
        <v>0</v>
      </c>
      <c r="AK611" s="79">
        <v>138</v>
      </c>
      <c r="AL611" s="79">
        <v>0</v>
      </c>
      <c r="AM611" s="79" t="s">
        <v>2092</v>
      </c>
      <c r="AN611" s="114" t="str">
        <f>HYPERLINK("https://www.youtube.com/watch?v=ZNSDhr5GH3I")</f>
        <v>https://www.youtube.com/watch?v=ZNSDhr5GH3I</v>
      </c>
      <c r="AO611" s="78" t="str">
        <f>REPLACE(INDEX(GroupVertices[Group],MATCH(Vertices[[#This Row],[Vertex]],GroupVertices[Vertex],0)),1,1,"")</f>
        <v>iktor Burlaka</v>
      </c>
      <c r="AP611" s="2"/>
      <c r="AQ611" s="3"/>
      <c r="AR611" s="3"/>
      <c r="AS611" s="3"/>
      <c r="AT611" s="3"/>
    </row>
    <row r="612" spans="1:46" ht="15">
      <c r="A612" s="64" t="s">
        <v>550</v>
      </c>
      <c r="B612" s="65"/>
      <c r="C612" s="65"/>
      <c r="D612" s="66">
        <v>150</v>
      </c>
      <c r="E612" s="102">
        <v>97.85714285714286</v>
      </c>
      <c r="F612" s="98" t="str">
        <f>HYPERLINK("https://i.ytimg.com/vi/Oc9QZF-YyJQ/default.jpg")</f>
        <v>https://i.ytimg.com/vi/Oc9QZF-YyJQ/default.jpg</v>
      </c>
      <c r="G612" s="100"/>
      <c r="H612" s="69" t="s">
        <v>973</v>
      </c>
      <c r="I612" s="70"/>
      <c r="J612" s="104" t="s">
        <v>159</v>
      </c>
      <c r="K612" s="69" t="s">
        <v>973</v>
      </c>
      <c r="L612" s="105">
        <v>1</v>
      </c>
      <c r="M612" s="74">
        <v>249.58401489257812</v>
      </c>
      <c r="N612" s="74">
        <v>835.0571899414062</v>
      </c>
      <c r="O612" s="75"/>
      <c r="P612" s="76"/>
      <c r="Q612" s="76"/>
      <c r="R612" s="106"/>
      <c r="S612" s="48">
        <v>1</v>
      </c>
      <c r="T612" s="48">
        <v>0</v>
      </c>
      <c r="U612" s="49">
        <v>0</v>
      </c>
      <c r="V612" s="49">
        <v>0.162756</v>
      </c>
      <c r="W612" s="107"/>
      <c r="X612" s="50"/>
      <c r="Y612" s="50"/>
      <c r="Z612" s="49">
        <v>0</v>
      </c>
      <c r="AA612" s="71">
        <v>612</v>
      </c>
      <c r="AB612" s="71"/>
      <c r="AC612" s="72"/>
      <c r="AD612" s="79" t="s">
        <v>973</v>
      </c>
      <c r="AE612" s="79" t="s">
        <v>973</v>
      </c>
      <c r="AF612" s="79" t="s">
        <v>973</v>
      </c>
      <c r="AG612" s="79" t="s">
        <v>1520</v>
      </c>
      <c r="AH612" s="79" t="s">
        <v>2030</v>
      </c>
      <c r="AI612" s="79">
        <v>7447</v>
      </c>
      <c r="AJ612" s="79">
        <v>0</v>
      </c>
      <c r="AK612" s="79">
        <v>0</v>
      </c>
      <c r="AL612" s="79">
        <v>0</v>
      </c>
      <c r="AM612" s="79" t="s">
        <v>2092</v>
      </c>
      <c r="AN612" s="114" t="str">
        <f>HYPERLINK("https://www.youtube.com/watch?v=Oc9QZF-YyJQ")</f>
        <v>https://www.youtube.com/watch?v=Oc9QZF-YyJQ</v>
      </c>
      <c r="AO612" s="78" t="str">
        <f>REPLACE(INDEX(GroupVertices[Group],MATCH(Vertices[[#This Row],[Vertex]],GroupVertices[Vertex],0)),1,1,"")</f>
        <v>iktor Burlaka</v>
      </c>
      <c r="AP612" s="2"/>
      <c r="AQ612" s="3"/>
      <c r="AR612" s="3"/>
      <c r="AS612" s="3"/>
      <c r="AT612" s="3"/>
    </row>
    <row r="613" spans="1:46" ht="15">
      <c r="A613" s="64" t="s">
        <v>2420</v>
      </c>
      <c r="B613" s="65"/>
      <c r="C613" s="65"/>
      <c r="D613" s="66">
        <v>150</v>
      </c>
      <c r="E613" s="102">
        <v>95.71428571428571</v>
      </c>
      <c r="F613" s="98" t="str">
        <f>HYPERLINK("https://i.ytimg.com/vi/DUdHQRU_l8A/default.jpg")</f>
        <v>https://i.ytimg.com/vi/DUdHQRU_l8A/default.jpg</v>
      </c>
      <c r="G613" s="100"/>
      <c r="H613" s="69" t="s">
        <v>2895</v>
      </c>
      <c r="I613" s="70"/>
      <c r="J613" s="104" t="s">
        <v>75</v>
      </c>
      <c r="K613" s="69" t="s">
        <v>2895</v>
      </c>
      <c r="L613" s="105">
        <v>495.02712975756253</v>
      </c>
      <c r="M613" s="74">
        <v>1257.7166748046875</v>
      </c>
      <c r="N613" s="74">
        <v>1395.2030029296875</v>
      </c>
      <c r="O613" s="75"/>
      <c r="P613" s="76"/>
      <c r="Q613" s="76"/>
      <c r="R613" s="106"/>
      <c r="S613" s="48">
        <v>2</v>
      </c>
      <c r="T613" s="48">
        <v>0</v>
      </c>
      <c r="U613" s="49">
        <v>6900.885714</v>
      </c>
      <c r="V613" s="49">
        <v>0.201101</v>
      </c>
      <c r="W613" s="107"/>
      <c r="X613" s="50"/>
      <c r="Y613" s="50"/>
      <c r="Z613" s="49">
        <v>0</v>
      </c>
      <c r="AA613" s="71">
        <v>613</v>
      </c>
      <c r="AB613" s="71"/>
      <c r="AC613" s="72"/>
      <c r="AD613" s="79" t="s">
        <v>2895</v>
      </c>
      <c r="AE613" s="79" t="s">
        <v>3327</v>
      </c>
      <c r="AF613" s="79" t="s">
        <v>3620</v>
      </c>
      <c r="AG613" s="79" t="s">
        <v>3866</v>
      </c>
      <c r="AH613" s="79" t="s">
        <v>4262</v>
      </c>
      <c r="AI613" s="79">
        <v>9293</v>
      </c>
      <c r="AJ613" s="79">
        <v>7</v>
      </c>
      <c r="AK613" s="79">
        <v>183</v>
      </c>
      <c r="AL613" s="79">
        <v>0</v>
      </c>
      <c r="AM613" s="79" t="s">
        <v>2092</v>
      </c>
      <c r="AN613" s="114" t="str">
        <f>HYPERLINK("https://www.youtube.com/watch?v=DUdHQRU_l8A")</f>
        <v>https://www.youtube.com/watch?v=DUdHQRU_l8A</v>
      </c>
      <c r="AO613" s="78" t="str">
        <f>REPLACE(INDEX(GroupVertices[Group],MATCH(Vertices[[#This Row],[Vertex]],GroupVertices[Vertex],0)),1,1,"")</f>
        <v>edsplanations</v>
      </c>
      <c r="AP613" s="2"/>
      <c r="AQ613" s="3"/>
      <c r="AR613" s="3"/>
      <c r="AS613" s="3"/>
      <c r="AT613" s="3"/>
    </row>
    <row r="614" spans="1:46" ht="15">
      <c r="A614" s="64" t="s">
        <v>2421</v>
      </c>
      <c r="B614" s="65"/>
      <c r="C614" s="65"/>
      <c r="D614" s="66">
        <v>150</v>
      </c>
      <c r="E614" s="102">
        <v>93.57142857142857</v>
      </c>
      <c r="F614" s="98" t="str">
        <f>HYPERLINK("https://i.ytimg.com/vi/CDelxXcURa4/default.jpg")</f>
        <v>https://i.ytimg.com/vi/CDelxXcURa4/default.jpg</v>
      </c>
      <c r="G614" s="100"/>
      <c r="H614" s="69" t="s">
        <v>2896</v>
      </c>
      <c r="I614" s="70"/>
      <c r="J614" s="104" t="s">
        <v>75</v>
      </c>
      <c r="K614" s="69" t="s">
        <v>2896</v>
      </c>
      <c r="L614" s="105">
        <v>1613.1006981363623</v>
      </c>
      <c r="M614" s="74">
        <v>655.8024291992188</v>
      </c>
      <c r="N614" s="74">
        <v>455.81072998046875</v>
      </c>
      <c r="O614" s="75"/>
      <c r="P614" s="76"/>
      <c r="Q614" s="76"/>
      <c r="R614" s="106"/>
      <c r="S614" s="48">
        <v>3</v>
      </c>
      <c r="T614" s="48">
        <v>0</v>
      </c>
      <c r="U614" s="49">
        <v>22518.849689</v>
      </c>
      <c r="V614" s="49">
        <v>0.206158</v>
      </c>
      <c r="W614" s="107"/>
      <c r="X614" s="50"/>
      <c r="Y614" s="50"/>
      <c r="Z614" s="49">
        <v>0</v>
      </c>
      <c r="AA614" s="71">
        <v>614</v>
      </c>
      <c r="AB614" s="71"/>
      <c r="AC614" s="72"/>
      <c r="AD614" s="79" t="s">
        <v>2896</v>
      </c>
      <c r="AE614" s="79" t="s">
        <v>3328</v>
      </c>
      <c r="AF614" s="79" t="s">
        <v>3621</v>
      </c>
      <c r="AG614" s="79" t="s">
        <v>1620</v>
      </c>
      <c r="AH614" s="79" t="s">
        <v>4263</v>
      </c>
      <c r="AI614" s="79">
        <v>159685</v>
      </c>
      <c r="AJ614" s="79">
        <v>619</v>
      </c>
      <c r="AK614" s="79">
        <v>6633</v>
      </c>
      <c r="AL614" s="79">
        <v>0</v>
      </c>
      <c r="AM614" s="79" t="s">
        <v>2092</v>
      </c>
      <c r="AN614" s="114" t="str">
        <f>HYPERLINK("https://www.youtube.com/watch?v=CDelxXcURa4")</f>
        <v>https://www.youtube.com/watch?v=CDelxXcURa4</v>
      </c>
      <c r="AO614" s="78" t="str">
        <f>REPLACE(INDEX(GroupVertices[Group],MATCH(Vertices[[#This Row],[Vertex]],GroupVertices[Vertex],0)),1,1,"")</f>
        <v>ow to ADHD</v>
      </c>
      <c r="AP614" s="2"/>
      <c r="AQ614" s="3"/>
      <c r="AR614" s="3"/>
      <c r="AS614" s="3"/>
      <c r="AT614" s="3"/>
    </row>
    <row r="615" spans="1:46" ht="15">
      <c r="A615" s="64" t="s">
        <v>2422</v>
      </c>
      <c r="B615" s="65"/>
      <c r="C615" s="65"/>
      <c r="D615" s="66">
        <v>150</v>
      </c>
      <c r="E615" s="102">
        <v>97.85714285714286</v>
      </c>
      <c r="F615" s="98" t="str">
        <f>HYPERLINK("https://i.ytimg.com/vi/AujXoH1kedM/default.jpg")</f>
        <v>https://i.ytimg.com/vi/AujXoH1kedM/default.jpg</v>
      </c>
      <c r="G615" s="100"/>
      <c r="H615" s="69" t="s">
        <v>2897</v>
      </c>
      <c r="I615" s="70"/>
      <c r="J615" s="104" t="s">
        <v>159</v>
      </c>
      <c r="K615" s="69" t="s">
        <v>2897</v>
      </c>
      <c r="L615" s="105">
        <v>1</v>
      </c>
      <c r="M615" s="74">
        <v>1655.9962158203125</v>
      </c>
      <c r="N615" s="74">
        <v>3106.276123046875</v>
      </c>
      <c r="O615" s="75"/>
      <c r="P615" s="76"/>
      <c r="Q615" s="76"/>
      <c r="R615" s="106"/>
      <c r="S615" s="48">
        <v>1</v>
      </c>
      <c r="T615" s="48">
        <v>0</v>
      </c>
      <c r="U615" s="49">
        <v>0</v>
      </c>
      <c r="V615" s="49">
        <v>0.118494</v>
      </c>
      <c r="W615" s="107"/>
      <c r="X615" s="50"/>
      <c r="Y615" s="50"/>
      <c r="Z615" s="49">
        <v>0</v>
      </c>
      <c r="AA615" s="71">
        <v>615</v>
      </c>
      <c r="AB615" s="71"/>
      <c r="AC615" s="72"/>
      <c r="AD615" s="79" t="s">
        <v>2897</v>
      </c>
      <c r="AE615" s="79" t="s">
        <v>2897</v>
      </c>
      <c r="AF615" s="79"/>
      <c r="AG615" s="79" t="s">
        <v>3867</v>
      </c>
      <c r="AH615" s="79" t="s">
        <v>4264</v>
      </c>
      <c r="AI615" s="79">
        <v>2</v>
      </c>
      <c r="AJ615" s="79">
        <v>0</v>
      </c>
      <c r="AK615" s="79">
        <v>1</v>
      </c>
      <c r="AL615" s="79">
        <v>0</v>
      </c>
      <c r="AM615" s="79" t="s">
        <v>2092</v>
      </c>
      <c r="AN615" s="114" t="str">
        <f>HYPERLINK("https://www.youtube.com/watch?v=AujXoH1kedM")</f>
        <v>https://www.youtube.com/watch?v=AujXoH1kedM</v>
      </c>
      <c r="AO615" s="78" t="str">
        <f>REPLACE(INDEX(GroupVertices[Group],MATCH(Vertices[[#This Row],[Vertex]],GroupVertices[Vertex],0)),1,1,"")</f>
        <v>EX COACHING ACADEMY</v>
      </c>
      <c r="AP615" s="2"/>
      <c r="AQ615" s="3"/>
      <c r="AR615" s="3"/>
      <c r="AS615" s="3"/>
      <c r="AT615" s="3"/>
    </row>
    <row r="616" spans="1:46" ht="15">
      <c r="A616" s="64" t="s">
        <v>2423</v>
      </c>
      <c r="B616" s="65"/>
      <c r="C616" s="65"/>
      <c r="D616" s="66">
        <v>150</v>
      </c>
      <c r="E616" s="102">
        <v>97.85714285714286</v>
      </c>
      <c r="F616" s="98" t="str">
        <f>HYPERLINK("https://i.ytimg.com/vi/woVdaM92Dl0/default.jpg")</f>
        <v>https://i.ytimg.com/vi/woVdaM92Dl0/default.jpg</v>
      </c>
      <c r="G616" s="100"/>
      <c r="H616" s="69" t="s">
        <v>2898</v>
      </c>
      <c r="I616" s="70"/>
      <c r="J616" s="104" t="s">
        <v>159</v>
      </c>
      <c r="K616" s="69" t="s">
        <v>2898</v>
      </c>
      <c r="L616" s="105">
        <v>1</v>
      </c>
      <c r="M616" s="74">
        <v>1897.8050537109375</v>
      </c>
      <c r="N616" s="74">
        <v>3363.16015625</v>
      </c>
      <c r="O616" s="75"/>
      <c r="P616" s="76"/>
      <c r="Q616" s="76"/>
      <c r="R616" s="106"/>
      <c r="S616" s="48">
        <v>1</v>
      </c>
      <c r="T616" s="48">
        <v>0</v>
      </c>
      <c r="U616" s="49">
        <v>0</v>
      </c>
      <c r="V616" s="49">
        <v>0.118494</v>
      </c>
      <c r="W616" s="107"/>
      <c r="X616" s="50"/>
      <c r="Y616" s="50"/>
      <c r="Z616" s="49">
        <v>0</v>
      </c>
      <c r="AA616" s="71">
        <v>616</v>
      </c>
      <c r="AB616" s="71"/>
      <c r="AC616" s="72"/>
      <c r="AD616" s="79" t="s">
        <v>2898</v>
      </c>
      <c r="AE616" s="79" t="s">
        <v>1059</v>
      </c>
      <c r="AF616" s="79"/>
      <c r="AG616" s="79" t="s">
        <v>1529</v>
      </c>
      <c r="AH616" s="79" t="s">
        <v>4265</v>
      </c>
      <c r="AI616" s="79">
        <v>2</v>
      </c>
      <c r="AJ616" s="79">
        <v>0</v>
      </c>
      <c r="AK616" s="79">
        <v>0</v>
      </c>
      <c r="AL616" s="79">
        <v>0</v>
      </c>
      <c r="AM616" s="79" t="s">
        <v>2092</v>
      </c>
      <c r="AN616" s="114" t="str">
        <f>HYPERLINK("https://www.youtube.com/watch?v=woVdaM92Dl0")</f>
        <v>https://www.youtube.com/watch?v=woVdaM92Dl0</v>
      </c>
      <c r="AO616" s="78" t="str">
        <f>REPLACE(INDEX(GroupVertices[Group],MATCH(Vertices[[#This Row],[Vertex]],GroupVertices[Vertex],0)),1,1,"")</f>
        <v>MC- Levine Scholar Program</v>
      </c>
      <c r="AP616" s="2"/>
      <c r="AQ616" s="3"/>
      <c r="AR616" s="3"/>
      <c r="AS616" s="3"/>
      <c r="AT616" s="3"/>
    </row>
    <row r="617" spans="1:46" ht="15">
      <c r="A617" s="64" t="s">
        <v>2424</v>
      </c>
      <c r="B617" s="65"/>
      <c r="C617" s="65"/>
      <c r="D617" s="66">
        <v>150</v>
      </c>
      <c r="E617" s="102">
        <v>97.85714285714286</v>
      </c>
      <c r="F617" s="98" t="str">
        <f>HYPERLINK("https://i.ytimg.com/vi/fAl6OCvKmXk/default.jpg")</f>
        <v>https://i.ytimg.com/vi/fAl6OCvKmXk/default.jpg</v>
      </c>
      <c r="G617" s="100"/>
      <c r="H617" s="69" t="s">
        <v>2899</v>
      </c>
      <c r="I617" s="70"/>
      <c r="J617" s="104" t="s">
        <v>159</v>
      </c>
      <c r="K617" s="69" t="s">
        <v>2899</v>
      </c>
      <c r="L617" s="105">
        <v>1</v>
      </c>
      <c r="M617" s="74">
        <v>1359.02099609375</v>
      </c>
      <c r="N617" s="74">
        <v>3233.044677734375</v>
      </c>
      <c r="O617" s="75"/>
      <c r="P617" s="76"/>
      <c r="Q617" s="76"/>
      <c r="R617" s="106"/>
      <c r="S617" s="48">
        <v>1</v>
      </c>
      <c r="T617" s="48">
        <v>0</v>
      </c>
      <c r="U617" s="49">
        <v>0</v>
      </c>
      <c r="V617" s="49">
        <v>0.118494</v>
      </c>
      <c r="W617" s="107"/>
      <c r="X617" s="50"/>
      <c r="Y617" s="50"/>
      <c r="Z617" s="49">
        <v>0</v>
      </c>
      <c r="AA617" s="71">
        <v>617</v>
      </c>
      <c r="AB617" s="71"/>
      <c r="AC617" s="72"/>
      <c r="AD617" s="79" t="s">
        <v>2899</v>
      </c>
      <c r="AE617" s="79"/>
      <c r="AF617" s="79"/>
      <c r="AG617" s="79" t="s">
        <v>3868</v>
      </c>
      <c r="AH617" s="79" t="s">
        <v>4266</v>
      </c>
      <c r="AI617" s="79">
        <v>5</v>
      </c>
      <c r="AJ617" s="79">
        <v>0</v>
      </c>
      <c r="AK617" s="79">
        <v>0</v>
      </c>
      <c r="AL617" s="79">
        <v>0</v>
      </c>
      <c r="AM617" s="79" t="s">
        <v>2092</v>
      </c>
      <c r="AN617" s="114" t="str">
        <f>HYPERLINK("https://www.youtube.com/watch?v=fAl6OCvKmXk")</f>
        <v>https://www.youtube.com/watch?v=fAl6OCvKmXk</v>
      </c>
      <c r="AO617" s="78" t="str">
        <f>REPLACE(INDEX(GroupVertices[Group],MATCH(Vertices[[#This Row],[Vertex]],GroupVertices[Vertex],0)),1,1,"")</f>
        <v>olly Skully</v>
      </c>
      <c r="AP617" s="2"/>
      <c r="AQ617" s="3"/>
      <c r="AR617" s="3"/>
      <c r="AS617" s="3"/>
      <c r="AT617" s="3"/>
    </row>
    <row r="618" spans="1:46" ht="15">
      <c r="A618" s="64" t="s">
        <v>553</v>
      </c>
      <c r="B618" s="65"/>
      <c r="C618" s="65"/>
      <c r="D618" s="66">
        <v>150</v>
      </c>
      <c r="E618" s="102">
        <v>97.85714285714286</v>
      </c>
      <c r="F618" s="98" t="str">
        <f>HYPERLINK("https://i.ytimg.com/vi/TB6ZBBCaaTk/default.jpg")</f>
        <v>https://i.ytimg.com/vi/TB6ZBBCaaTk/default.jpg</v>
      </c>
      <c r="G618" s="100"/>
      <c r="H618" s="69" t="s">
        <v>976</v>
      </c>
      <c r="I618" s="70"/>
      <c r="J618" s="104" t="s">
        <v>159</v>
      </c>
      <c r="K618" s="69" t="s">
        <v>976</v>
      </c>
      <c r="L618" s="105">
        <v>1</v>
      </c>
      <c r="M618" s="74">
        <v>1714.452392578125</v>
      </c>
      <c r="N618" s="74">
        <v>3328.97705078125</v>
      </c>
      <c r="O618" s="75"/>
      <c r="P618" s="76"/>
      <c r="Q618" s="76"/>
      <c r="R618" s="106"/>
      <c r="S618" s="48">
        <v>1</v>
      </c>
      <c r="T618" s="48">
        <v>0</v>
      </c>
      <c r="U618" s="49">
        <v>0</v>
      </c>
      <c r="V618" s="49">
        <v>0.118494</v>
      </c>
      <c r="W618" s="107"/>
      <c r="X618" s="50"/>
      <c r="Y618" s="50"/>
      <c r="Z618" s="49">
        <v>0</v>
      </c>
      <c r="AA618" s="71">
        <v>618</v>
      </c>
      <c r="AB618" s="71"/>
      <c r="AC618" s="72"/>
      <c r="AD618" s="79" t="s">
        <v>976</v>
      </c>
      <c r="AE618" s="79" t="s">
        <v>1258</v>
      </c>
      <c r="AF618" s="79"/>
      <c r="AG618" s="79" t="s">
        <v>1670</v>
      </c>
      <c r="AH618" s="79" t="s">
        <v>2033</v>
      </c>
      <c r="AI618" s="79">
        <v>10</v>
      </c>
      <c r="AJ618" s="79">
        <v>0</v>
      </c>
      <c r="AK618" s="79">
        <v>0</v>
      </c>
      <c r="AL618" s="79">
        <v>0</v>
      </c>
      <c r="AM618" s="79" t="s">
        <v>2092</v>
      </c>
      <c r="AN618" s="114" t="str">
        <f>HYPERLINK("https://www.youtube.com/watch?v=TB6ZBBCaaTk")</f>
        <v>https://www.youtube.com/watch?v=TB6ZBBCaaTk</v>
      </c>
      <c r="AO618" s="78" t="str">
        <f>REPLACE(INDEX(GroupVertices[Group],MATCH(Vertices[[#This Row],[Vertex]],GroupVertices[Vertex],0)),1,1,"")</f>
        <v>rofessor Capron</v>
      </c>
      <c r="AP618" s="2"/>
      <c r="AQ618" s="3"/>
      <c r="AR618" s="3"/>
      <c r="AS618" s="3"/>
      <c r="AT618" s="3"/>
    </row>
    <row r="619" spans="1:46" ht="15">
      <c r="A619" s="64" t="s">
        <v>2425</v>
      </c>
      <c r="B619" s="65"/>
      <c r="C619" s="65"/>
      <c r="D619" s="66">
        <v>150</v>
      </c>
      <c r="E619" s="102">
        <v>97.85714285714286</v>
      </c>
      <c r="F619" s="98" t="str">
        <f>HYPERLINK("https://i.ytimg.com/vi/W_vPFTVbIZU/default.jpg")</f>
        <v>https://i.ytimg.com/vi/W_vPFTVbIZU/default.jpg</v>
      </c>
      <c r="G619" s="100"/>
      <c r="H619" s="69" t="s">
        <v>2900</v>
      </c>
      <c r="I619" s="70"/>
      <c r="J619" s="104" t="s">
        <v>159</v>
      </c>
      <c r="K619" s="69" t="s">
        <v>2900</v>
      </c>
      <c r="L619" s="105">
        <v>1</v>
      </c>
      <c r="M619" s="74">
        <v>1540.1837158203125</v>
      </c>
      <c r="N619" s="74">
        <v>3235.897216796875</v>
      </c>
      <c r="O619" s="75"/>
      <c r="P619" s="76"/>
      <c r="Q619" s="76"/>
      <c r="R619" s="106"/>
      <c r="S619" s="48">
        <v>1</v>
      </c>
      <c r="T619" s="48">
        <v>0</v>
      </c>
      <c r="U619" s="49">
        <v>0</v>
      </c>
      <c r="V619" s="49">
        <v>0.118494</v>
      </c>
      <c r="W619" s="107"/>
      <c r="X619" s="50"/>
      <c r="Y619" s="50"/>
      <c r="Z619" s="49">
        <v>0</v>
      </c>
      <c r="AA619" s="71">
        <v>619</v>
      </c>
      <c r="AB619" s="71"/>
      <c r="AC619" s="72"/>
      <c r="AD619" s="79" t="s">
        <v>2900</v>
      </c>
      <c r="AE619" s="79" t="s">
        <v>3329</v>
      </c>
      <c r="AF619" s="79"/>
      <c r="AG619" s="79" t="s">
        <v>3869</v>
      </c>
      <c r="AH619" s="79" t="s">
        <v>4267</v>
      </c>
      <c r="AI619" s="79">
        <v>7</v>
      </c>
      <c r="AJ619" s="79">
        <v>0</v>
      </c>
      <c r="AK619" s="79">
        <v>1</v>
      </c>
      <c r="AL619" s="79">
        <v>0</v>
      </c>
      <c r="AM619" s="79" t="s">
        <v>2092</v>
      </c>
      <c r="AN619" s="114" t="str">
        <f>HYPERLINK("https://www.youtube.com/watch?v=W_vPFTVbIZU")</f>
        <v>https://www.youtube.com/watch?v=W_vPFTVbIZU</v>
      </c>
      <c r="AO619" s="78" t="str">
        <f>REPLACE(INDEX(GroupVertices[Group],MATCH(Vertices[[#This Row],[Vertex]],GroupVertices[Vertex],0)),1,1,"")</f>
        <v>ealthcare Manager Bae</v>
      </c>
      <c r="AP619" s="2"/>
      <c r="AQ619" s="3"/>
      <c r="AR619" s="3"/>
      <c r="AS619" s="3"/>
      <c r="AT619" s="3"/>
    </row>
    <row r="620" spans="1:46" ht="15">
      <c r="A620" s="64" t="s">
        <v>552</v>
      </c>
      <c r="B620" s="65"/>
      <c r="C620" s="65"/>
      <c r="D620" s="66">
        <v>150</v>
      </c>
      <c r="E620" s="102">
        <v>97.85714285714286</v>
      </c>
      <c r="F620" s="98" t="str">
        <f>HYPERLINK("https://i.ytimg.com/vi/B1fafhrM3V4/default.jpg")</f>
        <v>https://i.ytimg.com/vi/B1fafhrM3V4/default.jpg</v>
      </c>
      <c r="G620" s="100"/>
      <c r="H620" s="69" t="s">
        <v>975</v>
      </c>
      <c r="I620" s="70"/>
      <c r="J620" s="104" t="s">
        <v>159</v>
      </c>
      <c r="K620" s="69" t="s">
        <v>975</v>
      </c>
      <c r="L620" s="105">
        <v>1</v>
      </c>
      <c r="M620" s="74">
        <v>1451.37890625</v>
      </c>
      <c r="N620" s="74">
        <v>3060.038818359375</v>
      </c>
      <c r="O620" s="75"/>
      <c r="P620" s="76"/>
      <c r="Q620" s="76"/>
      <c r="R620" s="106"/>
      <c r="S620" s="48">
        <v>1</v>
      </c>
      <c r="T620" s="48">
        <v>0</v>
      </c>
      <c r="U620" s="49">
        <v>0</v>
      </c>
      <c r="V620" s="49">
        <v>0.118494</v>
      </c>
      <c r="W620" s="107"/>
      <c r="X620" s="50"/>
      <c r="Y620" s="50"/>
      <c r="Z620" s="49">
        <v>0</v>
      </c>
      <c r="AA620" s="71">
        <v>620</v>
      </c>
      <c r="AB620" s="71"/>
      <c r="AC620" s="72"/>
      <c r="AD620" s="79" t="s">
        <v>975</v>
      </c>
      <c r="AE620" s="79"/>
      <c r="AF620" s="79"/>
      <c r="AG620" s="79" t="s">
        <v>1669</v>
      </c>
      <c r="AH620" s="79" t="s">
        <v>2032</v>
      </c>
      <c r="AI620" s="79">
        <v>2</v>
      </c>
      <c r="AJ620" s="79">
        <v>0</v>
      </c>
      <c r="AK620" s="79">
        <v>0</v>
      </c>
      <c r="AL620" s="79">
        <v>0</v>
      </c>
      <c r="AM620" s="79" t="s">
        <v>2092</v>
      </c>
      <c r="AN620" s="114" t="str">
        <f>HYPERLINK("https://www.youtube.com/watch?v=B1fafhrM3V4")</f>
        <v>https://www.youtube.com/watch?v=B1fafhrM3V4</v>
      </c>
      <c r="AO620" s="78" t="str">
        <f>REPLACE(INDEX(GroupVertices[Group],MATCH(Vertices[[#This Row],[Vertex]],GroupVertices[Vertex],0)),1,1,"")</f>
        <v>arla Solis</v>
      </c>
      <c r="AP620" s="2"/>
      <c r="AQ620" s="3"/>
      <c r="AR620" s="3"/>
      <c r="AS620" s="3"/>
      <c r="AT620" s="3"/>
    </row>
    <row r="621" spans="1:46" ht="15">
      <c r="A621" s="64" t="s">
        <v>554</v>
      </c>
      <c r="B621" s="65"/>
      <c r="C621" s="65"/>
      <c r="D621" s="66">
        <v>150</v>
      </c>
      <c r="E621" s="102">
        <v>97.85714285714286</v>
      </c>
      <c r="F621" s="98" t="str">
        <f>HYPERLINK("https://i.ytimg.com/vi/P51dv-endVY/default.jpg")</f>
        <v>https://i.ytimg.com/vi/P51dv-endVY/default.jpg</v>
      </c>
      <c r="G621" s="100"/>
      <c r="H621" s="69" t="s">
        <v>977</v>
      </c>
      <c r="I621" s="70"/>
      <c r="J621" s="104" t="s">
        <v>159</v>
      </c>
      <c r="K621" s="69" t="s">
        <v>977</v>
      </c>
      <c r="L621" s="105">
        <v>1</v>
      </c>
      <c r="M621" s="74">
        <v>1269.709228515625</v>
      </c>
      <c r="N621" s="74">
        <v>3116.707275390625</v>
      </c>
      <c r="O621" s="75"/>
      <c r="P621" s="76"/>
      <c r="Q621" s="76"/>
      <c r="R621" s="106"/>
      <c r="S621" s="48">
        <v>1</v>
      </c>
      <c r="T621" s="48">
        <v>0</v>
      </c>
      <c r="U621" s="49">
        <v>0</v>
      </c>
      <c r="V621" s="49">
        <v>0.118494</v>
      </c>
      <c r="W621" s="107"/>
      <c r="X621" s="50"/>
      <c r="Y621" s="50"/>
      <c r="Z621" s="49">
        <v>0</v>
      </c>
      <c r="AA621" s="71">
        <v>621</v>
      </c>
      <c r="AB621" s="71"/>
      <c r="AC621" s="72"/>
      <c r="AD621" s="79" t="s">
        <v>977</v>
      </c>
      <c r="AE621" s="79" t="s">
        <v>1259</v>
      </c>
      <c r="AF621" s="79"/>
      <c r="AG621" s="79" t="s">
        <v>1529</v>
      </c>
      <c r="AH621" s="79" t="s">
        <v>1720</v>
      </c>
      <c r="AI621" s="79">
        <v>10</v>
      </c>
      <c r="AJ621" s="79">
        <v>0</v>
      </c>
      <c r="AK621" s="79">
        <v>0</v>
      </c>
      <c r="AL621" s="79">
        <v>0</v>
      </c>
      <c r="AM621" s="79" t="s">
        <v>2092</v>
      </c>
      <c r="AN621" s="114" t="str">
        <f>HYPERLINK("https://www.youtube.com/watch?v=P51dv-endVY")</f>
        <v>https://www.youtube.com/watch?v=P51dv-endVY</v>
      </c>
      <c r="AO621" s="78" t="str">
        <f>REPLACE(INDEX(GroupVertices[Group],MATCH(Vertices[[#This Row],[Vertex]],GroupVertices[Vertex],0)),1,1,"")</f>
        <v>MC- Levine Scholar Program</v>
      </c>
      <c r="AP621" s="2"/>
      <c r="AQ621" s="3"/>
      <c r="AR621" s="3"/>
      <c r="AS621" s="3"/>
      <c r="AT621" s="3"/>
    </row>
    <row r="622" spans="1:46" ht="15">
      <c r="A622" s="64" t="s">
        <v>558</v>
      </c>
      <c r="B622" s="65"/>
      <c r="C622" s="65"/>
      <c r="D622" s="66">
        <v>150</v>
      </c>
      <c r="E622" s="102">
        <v>97.85714285714286</v>
      </c>
      <c r="F622" s="98" t="str">
        <f>HYPERLINK("https://i.ytimg.com/vi/-aqpmb6FZaI/default.jpg")</f>
        <v>https://i.ytimg.com/vi/-aqpmb6FZaI/default.jpg</v>
      </c>
      <c r="G622" s="100"/>
      <c r="H622" s="69" t="s">
        <v>981</v>
      </c>
      <c r="I622" s="70"/>
      <c r="J622" s="104" t="s">
        <v>159</v>
      </c>
      <c r="K622" s="69" t="s">
        <v>981</v>
      </c>
      <c r="L622" s="105">
        <v>1</v>
      </c>
      <c r="M622" s="74">
        <v>1826.289306640625</v>
      </c>
      <c r="N622" s="74">
        <v>3207.94091796875</v>
      </c>
      <c r="O622" s="75"/>
      <c r="P622" s="76"/>
      <c r="Q622" s="76"/>
      <c r="R622" s="106"/>
      <c r="S622" s="48">
        <v>1</v>
      </c>
      <c r="T622" s="48">
        <v>0</v>
      </c>
      <c r="U622" s="49">
        <v>0</v>
      </c>
      <c r="V622" s="49">
        <v>0.118494</v>
      </c>
      <c r="W622" s="107"/>
      <c r="X622" s="50"/>
      <c r="Y622" s="50"/>
      <c r="Z622" s="49">
        <v>0</v>
      </c>
      <c r="AA622" s="71">
        <v>622</v>
      </c>
      <c r="AB622" s="71"/>
      <c r="AC622" s="72"/>
      <c r="AD622" s="79" t="s">
        <v>981</v>
      </c>
      <c r="AE622" s="79"/>
      <c r="AF622" s="79" t="s">
        <v>1456</v>
      </c>
      <c r="AG622" s="79" t="s">
        <v>1522</v>
      </c>
      <c r="AH622" s="79" t="s">
        <v>2037</v>
      </c>
      <c r="AI622" s="79">
        <v>10478</v>
      </c>
      <c r="AJ622" s="79">
        <v>0</v>
      </c>
      <c r="AK622" s="79">
        <v>169</v>
      </c>
      <c r="AL622" s="79">
        <v>0</v>
      </c>
      <c r="AM622" s="79" t="s">
        <v>2092</v>
      </c>
      <c r="AN622" s="114" t="str">
        <f>HYPERLINK("https://www.youtube.com/watch?v=-aqpmb6FZaI")</f>
        <v>https://www.youtube.com/watch?v=-aqpmb6FZaI</v>
      </c>
      <c r="AO622" s="78" t="str">
        <f>REPLACE(INDEX(GroupVertices[Group],MATCH(Vertices[[#This Row],[Vertex]],GroupVertices[Vertex],0)),1,1,"")</f>
        <v>lizabeth L. Jeglic Ph.D.</v>
      </c>
      <c r="AP622" s="2"/>
      <c r="AQ622" s="3"/>
      <c r="AR622" s="3"/>
      <c r="AS622" s="3"/>
      <c r="AT622" s="3"/>
    </row>
    <row r="623" spans="1:46" ht="15">
      <c r="A623" s="64" t="s">
        <v>2426</v>
      </c>
      <c r="B623" s="65"/>
      <c r="C623" s="65"/>
      <c r="D623" s="66">
        <v>150</v>
      </c>
      <c r="E623" s="102">
        <v>97.85714285714286</v>
      </c>
      <c r="F623" s="98" t="str">
        <f>HYPERLINK("https://i.ytimg.com/vi/-4Jt-Xdk0to/default_live.jpg")</f>
        <v>https://i.ytimg.com/vi/-4Jt-Xdk0to/default_live.jpg</v>
      </c>
      <c r="G623" s="100"/>
      <c r="H623" s="69" t="s">
        <v>2901</v>
      </c>
      <c r="I623" s="70"/>
      <c r="J623" s="104" t="s">
        <v>159</v>
      </c>
      <c r="K623" s="69" t="s">
        <v>2901</v>
      </c>
      <c r="L623" s="105">
        <v>1</v>
      </c>
      <c r="M623" s="74">
        <v>3538.458740234375</v>
      </c>
      <c r="N623" s="74">
        <v>8492.8056640625</v>
      </c>
      <c r="O623" s="75"/>
      <c r="P623" s="76"/>
      <c r="Q623" s="76"/>
      <c r="R623" s="106"/>
      <c r="S623" s="48">
        <v>1</v>
      </c>
      <c r="T623" s="48">
        <v>0</v>
      </c>
      <c r="U623" s="49">
        <v>0</v>
      </c>
      <c r="V623" s="49">
        <v>0.141481</v>
      </c>
      <c r="W623" s="107"/>
      <c r="X623" s="50"/>
      <c r="Y623" s="50"/>
      <c r="Z623" s="49">
        <v>0</v>
      </c>
      <c r="AA623" s="71">
        <v>623</v>
      </c>
      <c r="AB623" s="71"/>
      <c r="AC623" s="72"/>
      <c r="AD623" s="79" t="s">
        <v>2901</v>
      </c>
      <c r="AE623" s="79" t="s">
        <v>3331</v>
      </c>
      <c r="AF623" s="79"/>
      <c r="AG623" s="79" t="s">
        <v>3870</v>
      </c>
      <c r="AH623" s="79" t="s">
        <v>4268</v>
      </c>
      <c r="AI623" s="79">
        <v>239</v>
      </c>
      <c r="AJ623" s="79">
        <v>0</v>
      </c>
      <c r="AK623" s="79">
        <v>10</v>
      </c>
      <c r="AL623" s="79">
        <v>0</v>
      </c>
      <c r="AM623" s="79" t="s">
        <v>2092</v>
      </c>
      <c r="AN623" s="114" t="str">
        <f>HYPERLINK("https://www.youtube.com/watch?v=-4Jt-Xdk0to")</f>
        <v>https://www.youtube.com/watch?v=-4Jt-Xdk0to</v>
      </c>
      <c r="AO623" s="78" t="str">
        <f>REPLACE(INDEX(GroupVertices[Group],MATCH(Vertices[[#This Row],[Vertex]],GroupVertices[Vertex],0)),1,1,"")</f>
        <v>arayana Health</v>
      </c>
      <c r="AP623" s="2"/>
      <c r="AQ623" s="3"/>
      <c r="AR623" s="3"/>
      <c r="AS623" s="3"/>
      <c r="AT623" s="3"/>
    </row>
    <row r="624" spans="1:46" ht="15">
      <c r="A624" s="64" t="s">
        <v>2427</v>
      </c>
      <c r="B624" s="65"/>
      <c r="C624" s="65"/>
      <c r="D624" s="66">
        <v>150</v>
      </c>
      <c r="E624" s="102">
        <v>97.85714285714286</v>
      </c>
      <c r="F624" s="98" t="str">
        <f>HYPERLINK("https://i.ytimg.com/vi/JxeDLN_1w6Q/default.jpg")</f>
        <v>https://i.ytimg.com/vi/JxeDLN_1w6Q/default.jpg</v>
      </c>
      <c r="G624" s="100"/>
      <c r="H624" s="69" t="s">
        <v>2902</v>
      </c>
      <c r="I624" s="70"/>
      <c r="J624" s="104" t="s">
        <v>159</v>
      </c>
      <c r="K624" s="69" t="s">
        <v>2902</v>
      </c>
      <c r="L624" s="105">
        <v>1</v>
      </c>
      <c r="M624" s="74">
        <v>3160.89697265625</v>
      </c>
      <c r="N624" s="74">
        <v>8294.484375</v>
      </c>
      <c r="O624" s="75"/>
      <c r="P624" s="76"/>
      <c r="Q624" s="76"/>
      <c r="R624" s="106"/>
      <c r="S624" s="48">
        <v>1</v>
      </c>
      <c r="T624" s="48">
        <v>0</v>
      </c>
      <c r="U624" s="49">
        <v>0</v>
      </c>
      <c r="V624" s="49">
        <v>0.141481</v>
      </c>
      <c r="W624" s="107"/>
      <c r="X624" s="50"/>
      <c r="Y624" s="50"/>
      <c r="Z624" s="49">
        <v>0</v>
      </c>
      <c r="AA624" s="71">
        <v>624</v>
      </c>
      <c r="AB624" s="71"/>
      <c r="AC624" s="72"/>
      <c r="AD624" s="79" t="s">
        <v>2902</v>
      </c>
      <c r="AE624" s="79"/>
      <c r="AF624" s="79"/>
      <c r="AG624" s="79" t="s">
        <v>3871</v>
      </c>
      <c r="AH624" s="79" t="s">
        <v>4269</v>
      </c>
      <c r="AI624" s="79">
        <v>118</v>
      </c>
      <c r="AJ624" s="79">
        <v>0</v>
      </c>
      <c r="AK624" s="79">
        <v>0</v>
      </c>
      <c r="AL624" s="79">
        <v>0</v>
      </c>
      <c r="AM624" s="79" t="s">
        <v>2092</v>
      </c>
      <c r="AN624" s="114" t="str">
        <f>HYPERLINK("https://www.youtube.com/watch?v=JxeDLN_1w6Q")</f>
        <v>https://www.youtube.com/watch?v=JxeDLN_1w6Q</v>
      </c>
      <c r="AO624" s="78" t="str">
        <f>REPLACE(INDEX(GroupVertices[Group],MATCH(Vertices[[#This Row],[Vertex]],GroupVertices[Vertex],0)),1,1,"")</f>
        <v>exus Lifecare Pvt Ltd</v>
      </c>
      <c r="AP624" s="2"/>
      <c r="AQ624" s="3"/>
      <c r="AR624" s="3"/>
      <c r="AS624" s="3"/>
      <c r="AT624" s="3"/>
    </row>
    <row r="625" spans="1:46" ht="15">
      <c r="A625" s="64" t="s">
        <v>2428</v>
      </c>
      <c r="B625" s="65"/>
      <c r="C625" s="65"/>
      <c r="D625" s="66">
        <v>150</v>
      </c>
      <c r="E625" s="102">
        <v>97.85714285714286</v>
      </c>
      <c r="F625" s="98" t="str">
        <f>HYPERLINK("https://i.ytimg.com/vi/2If2rRfmr3Q/default.jpg")</f>
        <v>https://i.ytimg.com/vi/2If2rRfmr3Q/default.jpg</v>
      </c>
      <c r="G625" s="100"/>
      <c r="H625" s="69" t="s">
        <v>2903</v>
      </c>
      <c r="I625" s="70"/>
      <c r="J625" s="104" t="s">
        <v>159</v>
      </c>
      <c r="K625" s="69" t="s">
        <v>2903</v>
      </c>
      <c r="L625" s="105">
        <v>1</v>
      </c>
      <c r="M625" s="74">
        <v>4216.2294921875</v>
      </c>
      <c r="N625" s="74">
        <v>7788.70849609375</v>
      </c>
      <c r="O625" s="75"/>
      <c r="P625" s="76"/>
      <c r="Q625" s="76"/>
      <c r="R625" s="106"/>
      <c r="S625" s="48">
        <v>1</v>
      </c>
      <c r="T625" s="48">
        <v>0</v>
      </c>
      <c r="U625" s="49">
        <v>0</v>
      </c>
      <c r="V625" s="49">
        <v>0.141481</v>
      </c>
      <c r="W625" s="107"/>
      <c r="X625" s="50"/>
      <c r="Y625" s="50"/>
      <c r="Z625" s="49">
        <v>0</v>
      </c>
      <c r="AA625" s="71">
        <v>625</v>
      </c>
      <c r="AB625" s="71"/>
      <c r="AC625" s="72"/>
      <c r="AD625" s="79" t="s">
        <v>2903</v>
      </c>
      <c r="AE625" s="79" t="s">
        <v>3332</v>
      </c>
      <c r="AF625" s="79" t="s">
        <v>3622</v>
      </c>
      <c r="AG625" s="79" t="s">
        <v>3872</v>
      </c>
      <c r="AH625" s="79" t="s">
        <v>4270</v>
      </c>
      <c r="AI625" s="79">
        <v>9</v>
      </c>
      <c r="AJ625" s="79">
        <v>0</v>
      </c>
      <c r="AK625" s="79">
        <v>0</v>
      </c>
      <c r="AL625" s="79">
        <v>0</v>
      </c>
      <c r="AM625" s="79" t="s">
        <v>2092</v>
      </c>
      <c r="AN625" s="114" t="str">
        <f>HYPERLINK("https://www.youtube.com/watch?v=2If2rRfmr3Q")</f>
        <v>https://www.youtube.com/watch?v=2If2rRfmr3Q</v>
      </c>
      <c r="AO625" s="78" t="str">
        <f>REPLACE(INDEX(GroupVertices[Group],MATCH(Vertices[[#This Row],[Vertex]],GroupVertices[Vertex],0)),1,1,"")</f>
        <v>earning lessons</v>
      </c>
      <c r="AP625" s="2"/>
      <c r="AQ625" s="3"/>
      <c r="AR625" s="3"/>
      <c r="AS625" s="3"/>
      <c r="AT625" s="3"/>
    </row>
    <row r="626" spans="1:46" ht="15">
      <c r="A626" s="64" t="s">
        <v>2429</v>
      </c>
      <c r="B626" s="65"/>
      <c r="C626" s="65"/>
      <c r="D626" s="66">
        <v>150</v>
      </c>
      <c r="E626" s="102">
        <v>97.85714285714286</v>
      </c>
      <c r="F626" s="98" t="str">
        <f>HYPERLINK("https://i.ytimg.com/vi/lL8E6QvnHIk/default.jpg")</f>
        <v>https://i.ytimg.com/vi/lL8E6QvnHIk/default.jpg</v>
      </c>
      <c r="G626" s="100"/>
      <c r="H626" s="69" t="s">
        <v>2904</v>
      </c>
      <c r="I626" s="70"/>
      <c r="J626" s="104" t="s">
        <v>159</v>
      </c>
      <c r="K626" s="69" t="s">
        <v>2904</v>
      </c>
      <c r="L626" s="105">
        <v>1</v>
      </c>
      <c r="M626" s="74">
        <v>3027.365966796875</v>
      </c>
      <c r="N626" s="74">
        <v>8872.146484375</v>
      </c>
      <c r="O626" s="75"/>
      <c r="P626" s="76"/>
      <c r="Q626" s="76"/>
      <c r="R626" s="106"/>
      <c r="S626" s="48">
        <v>1</v>
      </c>
      <c r="T626" s="48">
        <v>0</v>
      </c>
      <c r="U626" s="49">
        <v>0</v>
      </c>
      <c r="V626" s="49">
        <v>0.141481</v>
      </c>
      <c r="W626" s="107"/>
      <c r="X626" s="50"/>
      <c r="Y626" s="50"/>
      <c r="Z626" s="49">
        <v>0</v>
      </c>
      <c r="AA626" s="71">
        <v>626</v>
      </c>
      <c r="AB626" s="71"/>
      <c r="AC626" s="72"/>
      <c r="AD626" s="79" t="s">
        <v>2904</v>
      </c>
      <c r="AE626" s="79"/>
      <c r="AF626" s="79"/>
      <c r="AG626" s="79" t="s">
        <v>3873</v>
      </c>
      <c r="AH626" s="79" t="s">
        <v>4271</v>
      </c>
      <c r="AI626" s="79">
        <v>2</v>
      </c>
      <c r="AJ626" s="79">
        <v>0</v>
      </c>
      <c r="AK626" s="79">
        <v>0</v>
      </c>
      <c r="AL626" s="79">
        <v>0</v>
      </c>
      <c r="AM626" s="79" t="s">
        <v>2092</v>
      </c>
      <c r="AN626" s="114" t="str">
        <f>HYPERLINK("https://www.youtube.com/watch?v=lL8E6QvnHIk")</f>
        <v>https://www.youtube.com/watch?v=lL8E6QvnHIk</v>
      </c>
      <c r="AO626" s="78" t="str">
        <f>REPLACE(INDEX(GroupVertices[Group],MATCH(Vertices[[#This Row],[Vertex]],GroupVertices[Vertex],0)),1,1,"")</f>
        <v>rianah Jen Matuco</v>
      </c>
      <c r="AP626" s="2"/>
      <c r="AQ626" s="3"/>
      <c r="AR626" s="3"/>
      <c r="AS626" s="3"/>
      <c r="AT626" s="3"/>
    </row>
    <row r="627" spans="1:46" ht="15">
      <c r="A627" s="64" t="s">
        <v>2430</v>
      </c>
      <c r="B627" s="65"/>
      <c r="C627" s="65"/>
      <c r="D627" s="66">
        <v>150</v>
      </c>
      <c r="E627" s="102">
        <v>97.85714285714286</v>
      </c>
      <c r="F627" s="98" t="str">
        <f>HYPERLINK("https://i.ytimg.com/vi/jqCXoP7U_0s/default.jpg")</f>
        <v>https://i.ytimg.com/vi/jqCXoP7U_0s/default.jpg</v>
      </c>
      <c r="G627" s="100"/>
      <c r="H627" s="69" t="s">
        <v>2611</v>
      </c>
      <c r="I627" s="70"/>
      <c r="J627" s="104" t="s">
        <v>159</v>
      </c>
      <c r="K627" s="69" t="s">
        <v>2611</v>
      </c>
      <c r="L627" s="105">
        <v>1</v>
      </c>
      <c r="M627" s="74">
        <v>3953.45458984375</v>
      </c>
      <c r="N627" s="74">
        <v>8004.17236328125</v>
      </c>
      <c r="O627" s="75"/>
      <c r="P627" s="76"/>
      <c r="Q627" s="76"/>
      <c r="R627" s="106"/>
      <c r="S627" s="48">
        <v>1</v>
      </c>
      <c r="T627" s="48">
        <v>0</v>
      </c>
      <c r="U627" s="49">
        <v>0</v>
      </c>
      <c r="V627" s="49">
        <v>0.141481</v>
      </c>
      <c r="W627" s="107"/>
      <c r="X627" s="50"/>
      <c r="Y627" s="50"/>
      <c r="Z627" s="49">
        <v>0</v>
      </c>
      <c r="AA627" s="71">
        <v>627</v>
      </c>
      <c r="AB627" s="71"/>
      <c r="AC627" s="72"/>
      <c r="AD627" s="79" t="s">
        <v>2611</v>
      </c>
      <c r="AE627" s="79" t="s">
        <v>1061</v>
      </c>
      <c r="AF627" s="79" t="s">
        <v>1406</v>
      </c>
      <c r="AG627" s="79" t="s">
        <v>3698</v>
      </c>
      <c r="AH627" s="79" t="s">
        <v>4272</v>
      </c>
      <c r="AI627" s="79">
        <v>0</v>
      </c>
      <c r="AJ627" s="79">
        <v>0</v>
      </c>
      <c r="AK627" s="79">
        <v>0</v>
      </c>
      <c r="AL627" s="79">
        <v>0</v>
      </c>
      <c r="AM627" s="79" t="s">
        <v>2092</v>
      </c>
      <c r="AN627" s="114" t="str">
        <f>HYPERLINK("https://www.youtube.com/watch?v=jqCXoP7U_0s")</f>
        <v>https://www.youtube.com/watch?v=jqCXoP7U_0s</v>
      </c>
      <c r="AO627" s="78" t="str">
        <f>REPLACE(INDEX(GroupVertices[Group],MATCH(Vertices[[#This Row],[Vertex]],GroupVertices[Vertex],0)),1,1,"")</f>
        <v>ilyana guillermo</v>
      </c>
      <c r="AP627" s="2"/>
      <c r="AQ627" s="3"/>
      <c r="AR627" s="3"/>
      <c r="AS627" s="3"/>
      <c r="AT627" s="3"/>
    </row>
    <row r="628" spans="1:46" ht="15">
      <c r="A628" s="64" t="s">
        <v>2431</v>
      </c>
      <c r="B628" s="65"/>
      <c r="C628" s="65"/>
      <c r="D628" s="66">
        <v>150</v>
      </c>
      <c r="E628" s="102">
        <v>97.85714285714286</v>
      </c>
      <c r="F628" s="98" t="str">
        <f>HYPERLINK("https://i.ytimg.com/vi/Seh-xVcm6oo/default.jpg")</f>
        <v>https://i.ytimg.com/vi/Seh-xVcm6oo/default.jpg</v>
      </c>
      <c r="G628" s="100"/>
      <c r="H628" s="69" t="s">
        <v>2905</v>
      </c>
      <c r="I628" s="70"/>
      <c r="J628" s="104" t="s">
        <v>159</v>
      </c>
      <c r="K628" s="69" t="s">
        <v>2905</v>
      </c>
      <c r="L628" s="105">
        <v>1</v>
      </c>
      <c r="M628" s="74">
        <v>2840.0888671875</v>
      </c>
      <c r="N628" s="74">
        <v>8346.7275390625</v>
      </c>
      <c r="O628" s="75"/>
      <c r="P628" s="76"/>
      <c r="Q628" s="76"/>
      <c r="R628" s="106"/>
      <c r="S628" s="48">
        <v>1</v>
      </c>
      <c r="T628" s="48">
        <v>0</v>
      </c>
      <c r="U628" s="49">
        <v>0</v>
      </c>
      <c r="V628" s="49">
        <v>0.141481</v>
      </c>
      <c r="W628" s="107"/>
      <c r="X628" s="50"/>
      <c r="Y628" s="50"/>
      <c r="Z628" s="49">
        <v>0</v>
      </c>
      <c r="AA628" s="71">
        <v>628</v>
      </c>
      <c r="AB628" s="71"/>
      <c r="AC628" s="72"/>
      <c r="AD628" s="79" t="s">
        <v>2905</v>
      </c>
      <c r="AE628" s="79"/>
      <c r="AF628" s="79"/>
      <c r="AG628" s="79" t="s">
        <v>3874</v>
      </c>
      <c r="AH628" s="79" t="s">
        <v>4273</v>
      </c>
      <c r="AI628" s="79">
        <v>6</v>
      </c>
      <c r="AJ628" s="79">
        <v>0</v>
      </c>
      <c r="AK628" s="79">
        <v>1</v>
      </c>
      <c r="AL628" s="79">
        <v>0</v>
      </c>
      <c r="AM628" s="79" t="s">
        <v>2092</v>
      </c>
      <c r="AN628" s="114" t="str">
        <f>HYPERLINK("https://www.youtube.com/watch?v=Seh-xVcm6oo")</f>
        <v>https://www.youtube.com/watch?v=Seh-xVcm6oo</v>
      </c>
      <c r="AO628" s="78" t="str">
        <f>REPLACE(INDEX(GroupVertices[Group],MATCH(Vertices[[#This Row],[Vertex]],GroupVertices[Vertex],0)),1,1,"")</f>
        <v>orensic Science English</v>
      </c>
      <c r="AP628" s="2"/>
      <c r="AQ628" s="3"/>
      <c r="AR628" s="3"/>
      <c r="AS628" s="3"/>
      <c r="AT628" s="3"/>
    </row>
    <row r="629" spans="1:46" ht="15">
      <c r="A629" s="64" t="s">
        <v>277</v>
      </c>
      <c r="B629" s="65"/>
      <c r="C629" s="65"/>
      <c r="D629" s="66">
        <v>150</v>
      </c>
      <c r="E629" s="102">
        <v>97.85714285714286</v>
      </c>
      <c r="F629" s="98" t="str">
        <f>HYPERLINK("https://i.ytimg.com/vi/1QHMNOIjlss/default.jpg")</f>
        <v>https://i.ytimg.com/vi/1QHMNOIjlss/default.jpg</v>
      </c>
      <c r="G629" s="100"/>
      <c r="H629" s="69" t="s">
        <v>669</v>
      </c>
      <c r="I629" s="70"/>
      <c r="J629" s="104" t="s">
        <v>159</v>
      </c>
      <c r="K629" s="69" t="s">
        <v>669</v>
      </c>
      <c r="L629" s="105">
        <v>1</v>
      </c>
      <c r="M629" s="74">
        <v>3755.424072265625</v>
      </c>
      <c r="N629" s="74">
        <v>7695.43408203125</v>
      </c>
      <c r="O629" s="75"/>
      <c r="P629" s="76"/>
      <c r="Q629" s="76"/>
      <c r="R629" s="106"/>
      <c r="S629" s="48">
        <v>1</v>
      </c>
      <c r="T629" s="48">
        <v>0</v>
      </c>
      <c r="U629" s="49">
        <v>0</v>
      </c>
      <c r="V629" s="49">
        <v>0.141481</v>
      </c>
      <c r="W629" s="107"/>
      <c r="X629" s="50"/>
      <c r="Y629" s="50"/>
      <c r="Z629" s="49">
        <v>0</v>
      </c>
      <c r="AA629" s="71">
        <v>629</v>
      </c>
      <c r="AB629" s="71"/>
      <c r="AC629" s="72"/>
      <c r="AD629" s="79" t="s">
        <v>669</v>
      </c>
      <c r="AE629" s="79" t="s">
        <v>1062</v>
      </c>
      <c r="AF629" s="79"/>
      <c r="AG629" s="79" t="s">
        <v>1533</v>
      </c>
      <c r="AH629" s="79" t="s">
        <v>1722</v>
      </c>
      <c r="AI629" s="79">
        <v>3</v>
      </c>
      <c r="AJ629" s="79">
        <v>0</v>
      </c>
      <c r="AK629" s="79">
        <v>1</v>
      </c>
      <c r="AL629" s="79">
        <v>0</v>
      </c>
      <c r="AM629" s="79" t="s">
        <v>2092</v>
      </c>
      <c r="AN629" s="114" t="str">
        <f>HYPERLINK("https://www.youtube.com/watch?v=1QHMNOIjlss")</f>
        <v>https://www.youtube.com/watch?v=1QHMNOIjlss</v>
      </c>
      <c r="AO629" s="78" t="str">
        <f>REPLACE(INDEX(GroupVertices[Group],MATCH(Vertices[[#This Row],[Vertex]],GroupVertices[Vertex],0)),1,1,"")</f>
        <v>earning with Aditya_Goswami0.2</v>
      </c>
      <c r="AP629" s="2"/>
      <c r="AQ629" s="3"/>
      <c r="AR629" s="3"/>
      <c r="AS629" s="3"/>
      <c r="AT629" s="3"/>
    </row>
    <row r="630" spans="1:46" ht="15">
      <c r="A630" s="64" t="s">
        <v>2432</v>
      </c>
      <c r="B630" s="65"/>
      <c r="C630" s="65"/>
      <c r="D630" s="66">
        <v>150</v>
      </c>
      <c r="E630" s="102">
        <v>97.85714285714286</v>
      </c>
      <c r="F630" s="98" t="str">
        <f>HYPERLINK("https://i.ytimg.com/vi/KMEdByQK7RU/default.jpg")</f>
        <v>https://i.ytimg.com/vi/KMEdByQK7RU/default.jpg</v>
      </c>
      <c r="G630" s="100"/>
      <c r="H630" s="69" t="s">
        <v>2906</v>
      </c>
      <c r="I630" s="70"/>
      <c r="J630" s="104" t="s">
        <v>159</v>
      </c>
      <c r="K630" s="69" t="s">
        <v>2906</v>
      </c>
      <c r="L630" s="105">
        <v>1</v>
      </c>
      <c r="M630" s="74">
        <v>3043.540283203125</v>
      </c>
      <c r="N630" s="74">
        <v>8509.8193359375</v>
      </c>
      <c r="O630" s="75"/>
      <c r="P630" s="76"/>
      <c r="Q630" s="76"/>
      <c r="R630" s="106"/>
      <c r="S630" s="48">
        <v>1</v>
      </c>
      <c r="T630" s="48">
        <v>0</v>
      </c>
      <c r="U630" s="49">
        <v>0</v>
      </c>
      <c r="V630" s="49">
        <v>0.141481</v>
      </c>
      <c r="W630" s="107"/>
      <c r="X630" s="50"/>
      <c r="Y630" s="50"/>
      <c r="Z630" s="49">
        <v>0</v>
      </c>
      <c r="AA630" s="71">
        <v>630</v>
      </c>
      <c r="AB630" s="71"/>
      <c r="AC630" s="72"/>
      <c r="AD630" s="79" t="s">
        <v>2906</v>
      </c>
      <c r="AE630" s="79" t="s">
        <v>3333</v>
      </c>
      <c r="AF630" s="79" t="s">
        <v>3623</v>
      </c>
      <c r="AG630" s="79" t="s">
        <v>3875</v>
      </c>
      <c r="AH630" s="79" t="s">
        <v>4274</v>
      </c>
      <c r="AI630" s="79">
        <v>34</v>
      </c>
      <c r="AJ630" s="79">
        <v>3</v>
      </c>
      <c r="AK630" s="79">
        <v>10</v>
      </c>
      <c r="AL630" s="79">
        <v>0</v>
      </c>
      <c r="AM630" s="79" t="s">
        <v>2092</v>
      </c>
      <c r="AN630" s="114" t="str">
        <f>HYPERLINK("https://www.youtube.com/watch?v=KMEdByQK7RU")</f>
        <v>https://www.youtube.com/watch?v=KMEdByQK7RU</v>
      </c>
      <c r="AO630" s="78" t="str">
        <f>REPLACE(INDEX(GroupVertices[Group],MATCH(Vertices[[#This Row],[Vertex]],GroupVertices[Vertex],0)),1,1,"")</f>
        <v>yan पे</v>
      </c>
      <c r="AP630" s="2"/>
      <c r="AQ630" s="3"/>
      <c r="AR630" s="3"/>
      <c r="AS630" s="3"/>
      <c r="AT630" s="3"/>
    </row>
    <row r="631" spans="1:46" ht="15">
      <c r="A631" s="64" t="s">
        <v>2433</v>
      </c>
      <c r="B631" s="65"/>
      <c r="C631" s="65"/>
      <c r="D631" s="66">
        <v>150</v>
      </c>
      <c r="E631" s="102">
        <v>97.85714285714286</v>
      </c>
      <c r="F631" s="98" t="str">
        <f>HYPERLINK("https://i.ytimg.com/vi/jtC_THf1-5s/default.jpg")</f>
        <v>https://i.ytimg.com/vi/jtC_THf1-5s/default.jpg</v>
      </c>
      <c r="G631" s="100"/>
      <c r="H631" s="69" t="s">
        <v>2907</v>
      </c>
      <c r="I631" s="70"/>
      <c r="J631" s="104" t="s">
        <v>159</v>
      </c>
      <c r="K631" s="69" t="s">
        <v>2907</v>
      </c>
      <c r="L631" s="105">
        <v>1</v>
      </c>
      <c r="M631" s="74">
        <v>3570.67333984375</v>
      </c>
      <c r="N631" s="74">
        <v>8063.1962890625</v>
      </c>
      <c r="O631" s="75"/>
      <c r="P631" s="76"/>
      <c r="Q631" s="76"/>
      <c r="R631" s="106"/>
      <c r="S631" s="48">
        <v>1</v>
      </c>
      <c r="T631" s="48">
        <v>0</v>
      </c>
      <c r="U631" s="49">
        <v>0</v>
      </c>
      <c r="V631" s="49">
        <v>0.141481</v>
      </c>
      <c r="W631" s="107"/>
      <c r="X631" s="50"/>
      <c r="Y631" s="50"/>
      <c r="Z631" s="49">
        <v>0</v>
      </c>
      <c r="AA631" s="71">
        <v>631</v>
      </c>
      <c r="AB631" s="71"/>
      <c r="AC631" s="72"/>
      <c r="AD631" s="79" t="s">
        <v>2907</v>
      </c>
      <c r="AE631" s="79" t="s">
        <v>3334</v>
      </c>
      <c r="AF631" s="79"/>
      <c r="AG631" s="79" t="s">
        <v>3876</v>
      </c>
      <c r="AH631" s="79" t="s">
        <v>4275</v>
      </c>
      <c r="AI631" s="79">
        <v>44</v>
      </c>
      <c r="AJ631" s="79">
        <v>2</v>
      </c>
      <c r="AK631" s="79">
        <v>6</v>
      </c>
      <c r="AL631" s="79">
        <v>0</v>
      </c>
      <c r="AM631" s="79" t="s">
        <v>2092</v>
      </c>
      <c r="AN631" s="114" t="str">
        <f>HYPERLINK("https://www.youtube.com/watch?v=jtC_THf1-5s")</f>
        <v>https://www.youtube.com/watch?v=jtC_THf1-5s</v>
      </c>
      <c r="AO631" s="78" t="str">
        <f>REPLACE(INDEX(GroupVertices[Group],MATCH(Vertices[[#This Row],[Vertex]],GroupVertices[Vertex],0)),1,1,"")</f>
        <v>epartment of Education, VCW, KFI, Rajghat, Vns</v>
      </c>
      <c r="AP631" s="2"/>
      <c r="AQ631" s="3"/>
      <c r="AR631" s="3"/>
      <c r="AS631" s="3"/>
      <c r="AT631" s="3"/>
    </row>
    <row r="632" spans="1:46" ht="15">
      <c r="A632" s="64" t="s">
        <v>2434</v>
      </c>
      <c r="B632" s="65"/>
      <c r="C632" s="65"/>
      <c r="D632" s="66">
        <v>150</v>
      </c>
      <c r="E632" s="102">
        <v>97.85714285714286</v>
      </c>
      <c r="F632" s="98" t="str">
        <f>HYPERLINK("https://i.ytimg.com/vi/JmGkxOStmWI/default.jpg")</f>
        <v>https://i.ytimg.com/vi/JmGkxOStmWI/default.jpg</v>
      </c>
      <c r="G632" s="100"/>
      <c r="H632" s="69" t="s">
        <v>2908</v>
      </c>
      <c r="I632" s="70"/>
      <c r="J632" s="104" t="s">
        <v>159</v>
      </c>
      <c r="K632" s="69" t="s">
        <v>2908</v>
      </c>
      <c r="L632" s="105">
        <v>1</v>
      </c>
      <c r="M632" s="74">
        <v>2831.59521484375</v>
      </c>
      <c r="N632" s="74">
        <v>8594.1708984375</v>
      </c>
      <c r="O632" s="75"/>
      <c r="P632" s="76"/>
      <c r="Q632" s="76"/>
      <c r="R632" s="106"/>
      <c r="S632" s="48">
        <v>1</v>
      </c>
      <c r="T632" s="48">
        <v>0</v>
      </c>
      <c r="U632" s="49">
        <v>0</v>
      </c>
      <c r="V632" s="49">
        <v>0.141481</v>
      </c>
      <c r="W632" s="107"/>
      <c r="X632" s="50"/>
      <c r="Y632" s="50"/>
      <c r="Z632" s="49">
        <v>0</v>
      </c>
      <c r="AA632" s="71">
        <v>632</v>
      </c>
      <c r="AB632" s="71"/>
      <c r="AC632" s="72"/>
      <c r="AD632" s="79" t="s">
        <v>2908</v>
      </c>
      <c r="AE632" s="79" t="s">
        <v>3335</v>
      </c>
      <c r="AF632" s="79" t="s">
        <v>3624</v>
      </c>
      <c r="AG632" s="79" t="s">
        <v>3877</v>
      </c>
      <c r="AH632" s="79" t="s">
        <v>4276</v>
      </c>
      <c r="AI632" s="79">
        <v>566</v>
      </c>
      <c r="AJ632" s="79">
        <v>0</v>
      </c>
      <c r="AK632" s="79">
        <v>5</v>
      </c>
      <c r="AL632" s="79">
        <v>0</v>
      </c>
      <c r="AM632" s="79" t="s">
        <v>2092</v>
      </c>
      <c r="AN632" s="114" t="str">
        <f>HYPERLINK("https://www.youtube.com/watch?v=JmGkxOStmWI")</f>
        <v>https://www.youtube.com/watch?v=JmGkxOStmWI</v>
      </c>
      <c r="AO632" s="78" t="str">
        <f>REPLACE(INDEX(GroupVertices[Group],MATCH(Vertices[[#This Row],[Vertex]],GroupVertices[Vertex],0)),1,1,"")</f>
        <v>li Pharmapedia</v>
      </c>
      <c r="AP632" s="2"/>
      <c r="AQ632" s="3"/>
      <c r="AR632" s="3"/>
      <c r="AS632" s="3"/>
      <c r="AT632" s="3"/>
    </row>
    <row r="633" spans="1:46" ht="15">
      <c r="A633" s="64" t="s">
        <v>289</v>
      </c>
      <c r="B633" s="65"/>
      <c r="C633" s="65"/>
      <c r="D633" s="66">
        <v>150</v>
      </c>
      <c r="E633" s="102">
        <v>97.85714285714286</v>
      </c>
      <c r="F633" s="98" t="str">
        <f>HYPERLINK("https://i.ytimg.com/vi/SnJuB08EOnA/default.jpg")</f>
        <v>https://i.ytimg.com/vi/SnJuB08EOnA/default.jpg</v>
      </c>
      <c r="G633" s="100"/>
      <c r="H633" s="69" t="s">
        <v>681</v>
      </c>
      <c r="I633" s="70"/>
      <c r="J633" s="104" t="s">
        <v>159</v>
      </c>
      <c r="K633" s="69" t="s">
        <v>681</v>
      </c>
      <c r="L633" s="105">
        <v>1</v>
      </c>
      <c r="M633" s="74">
        <v>3733.149169921875</v>
      </c>
      <c r="N633" s="74">
        <v>7894.15185546875</v>
      </c>
      <c r="O633" s="75"/>
      <c r="P633" s="76"/>
      <c r="Q633" s="76"/>
      <c r="R633" s="106"/>
      <c r="S633" s="48">
        <v>1</v>
      </c>
      <c r="T633" s="48">
        <v>0</v>
      </c>
      <c r="U633" s="49">
        <v>0</v>
      </c>
      <c r="V633" s="49">
        <v>0.141481</v>
      </c>
      <c r="W633" s="107"/>
      <c r="X633" s="50"/>
      <c r="Y633" s="50"/>
      <c r="Z633" s="49">
        <v>0</v>
      </c>
      <c r="AA633" s="71">
        <v>633</v>
      </c>
      <c r="AB633" s="71"/>
      <c r="AC633" s="72"/>
      <c r="AD633" s="79" t="s">
        <v>681</v>
      </c>
      <c r="AE633" s="79" t="s">
        <v>1070</v>
      </c>
      <c r="AF633" s="79" t="s">
        <v>1336</v>
      </c>
      <c r="AG633" s="79" t="s">
        <v>1543</v>
      </c>
      <c r="AH633" s="79" t="s">
        <v>1736</v>
      </c>
      <c r="AI633" s="79">
        <v>53</v>
      </c>
      <c r="AJ633" s="79">
        <v>0</v>
      </c>
      <c r="AK633" s="79">
        <v>5</v>
      </c>
      <c r="AL633" s="79">
        <v>0</v>
      </c>
      <c r="AM633" s="79" t="s">
        <v>2092</v>
      </c>
      <c r="AN633" s="114" t="str">
        <f>HYPERLINK("https://www.youtube.com/watch?v=SnJuB08EOnA")</f>
        <v>https://www.youtube.com/watch?v=SnJuB08EOnA</v>
      </c>
      <c r="AO633" s="78" t="str">
        <f>REPLACE(INDEX(GroupVertices[Group],MATCH(Vertices[[#This Row],[Vertex]],GroupVertices[Vertex],0)),1,1,"")</f>
        <v>appy Nursing</v>
      </c>
      <c r="AP633" s="2"/>
      <c r="AQ633" s="3"/>
      <c r="AR633" s="3"/>
      <c r="AS633" s="3"/>
      <c r="AT633" s="3"/>
    </row>
    <row r="634" spans="1:46" ht="15">
      <c r="A634" s="64" t="s">
        <v>2435</v>
      </c>
      <c r="B634" s="65"/>
      <c r="C634" s="65"/>
      <c r="D634" s="66">
        <v>150</v>
      </c>
      <c r="E634" s="102">
        <v>97.85714285714286</v>
      </c>
      <c r="F634" s="98" t="str">
        <f>HYPERLINK("https://i.ytimg.com/vi/FaZ4Hc3MCSM/default.jpg")</f>
        <v>https://i.ytimg.com/vi/FaZ4Hc3MCSM/default.jpg</v>
      </c>
      <c r="G634" s="100"/>
      <c r="H634" s="69" t="s">
        <v>2909</v>
      </c>
      <c r="I634" s="70"/>
      <c r="J634" s="104" t="s">
        <v>159</v>
      </c>
      <c r="K634" s="69" t="s">
        <v>2909</v>
      </c>
      <c r="L634" s="105">
        <v>1</v>
      </c>
      <c r="M634" s="74">
        <v>3924.923828125</v>
      </c>
      <c r="N634" s="74">
        <v>7594.90234375</v>
      </c>
      <c r="O634" s="75"/>
      <c r="P634" s="76"/>
      <c r="Q634" s="76"/>
      <c r="R634" s="106"/>
      <c r="S634" s="48">
        <v>1</v>
      </c>
      <c r="T634" s="48">
        <v>0</v>
      </c>
      <c r="U634" s="49">
        <v>0</v>
      </c>
      <c r="V634" s="49">
        <v>0.141481</v>
      </c>
      <c r="W634" s="107"/>
      <c r="X634" s="50"/>
      <c r="Y634" s="50"/>
      <c r="Z634" s="49">
        <v>0</v>
      </c>
      <c r="AA634" s="71">
        <v>634</v>
      </c>
      <c r="AB634" s="71"/>
      <c r="AC634" s="72"/>
      <c r="AD634" s="79" t="s">
        <v>2909</v>
      </c>
      <c r="AE634" s="79"/>
      <c r="AF634" s="79"/>
      <c r="AG634" s="79" t="s">
        <v>3878</v>
      </c>
      <c r="AH634" s="79" t="s">
        <v>4277</v>
      </c>
      <c r="AI634" s="79">
        <v>19</v>
      </c>
      <c r="AJ634" s="79">
        <v>2</v>
      </c>
      <c r="AK634" s="79">
        <v>3</v>
      </c>
      <c r="AL634" s="79">
        <v>0</v>
      </c>
      <c r="AM634" s="79" t="s">
        <v>2092</v>
      </c>
      <c r="AN634" s="114" t="str">
        <f>HYPERLINK("https://www.youtube.com/watch?v=FaZ4Hc3MCSM")</f>
        <v>https://www.youtube.com/watch?v=FaZ4Hc3MCSM</v>
      </c>
      <c r="AO634" s="78" t="str">
        <f>REPLACE(INDEX(GroupVertices[Group],MATCH(Vertices[[#This Row],[Vertex]],GroupVertices[Vertex],0)),1,1,"")</f>
        <v>ovin Riza</v>
      </c>
      <c r="AP634" s="2"/>
      <c r="AQ634" s="3"/>
      <c r="AR634" s="3"/>
      <c r="AS634" s="3"/>
      <c r="AT634" s="3"/>
    </row>
    <row r="635" spans="1:46" ht="15">
      <c r="A635" s="64" t="s">
        <v>2436</v>
      </c>
      <c r="B635" s="65"/>
      <c r="C635" s="65"/>
      <c r="D635" s="66">
        <v>150</v>
      </c>
      <c r="E635" s="102">
        <v>97.85714285714286</v>
      </c>
      <c r="F635" s="98" t="str">
        <f>HYPERLINK("https://i.ytimg.com/vi/ufSLghD59mc/default.jpg")</f>
        <v>https://i.ytimg.com/vi/ufSLghD59mc/default.jpg</v>
      </c>
      <c r="G635" s="100"/>
      <c r="H635" s="69" t="s">
        <v>2910</v>
      </c>
      <c r="I635" s="70"/>
      <c r="J635" s="104" t="s">
        <v>159</v>
      </c>
      <c r="K635" s="69" t="s">
        <v>2910</v>
      </c>
      <c r="L635" s="105">
        <v>1</v>
      </c>
      <c r="M635" s="74">
        <v>2636.951904296875</v>
      </c>
      <c r="N635" s="74">
        <v>8368.6943359375</v>
      </c>
      <c r="O635" s="75"/>
      <c r="P635" s="76"/>
      <c r="Q635" s="76"/>
      <c r="R635" s="106"/>
      <c r="S635" s="48">
        <v>1</v>
      </c>
      <c r="T635" s="48">
        <v>0</v>
      </c>
      <c r="U635" s="49">
        <v>0</v>
      </c>
      <c r="V635" s="49">
        <v>0.141481</v>
      </c>
      <c r="W635" s="107"/>
      <c r="X635" s="50"/>
      <c r="Y635" s="50"/>
      <c r="Z635" s="49">
        <v>0</v>
      </c>
      <c r="AA635" s="71">
        <v>635</v>
      </c>
      <c r="AB635" s="71"/>
      <c r="AC635" s="72"/>
      <c r="AD635" s="79" t="s">
        <v>2910</v>
      </c>
      <c r="AE635" s="79"/>
      <c r="AF635" s="79"/>
      <c r="AG635" s="79" t="s">
        <v>3879</v>
      </c>
      <c r="AH635" s="79" t="s">
        <v>4278</v>
      </c>
      <c r="AI635" s="79">
        <v>25</v>
      </c>
      <c r="AJ635" s="79">
        <v>3</v>
      </c>
      <c r="AK635" s="79">
        <v>2</v>
      </c>
      <c r="AL635" s="79">
        <v>0</v>
      </c>
      <c r="AM635" s="79" t="s">
        <v>2092</v>
      </c>
      <c r="AN635" s="114" t="str">
        <f>HYPERLINK("https://www.youtube.com/watch?v=ufSLghD59mc")</f>
        <v>https://www.youtube.com/watch?v=ufSLghD59mc</v>
      </c>
      <c r="AO635" s="78" t="str">
        <f>REPLACE(INDEX(GroupVertices[Group],MATCH(Vertices[[#This Row],[Vertex]],GroupVertices[Vertex],0)),1,1,"")</f>
        <v>ducation Point14</v>
      </c>
      <c r="AP635" s="2"/>
      <c r="AQ635" s="3"/>
      <c r="AR635" s="3"/>
      <c r="AS635" s="3"/>
      <c r="AT635" s="3"/>
    </row>
    <row r="636" spans="1:46" ht="15">
      <c r="A636" s="64" t="s">
        <v>2437</v>
      </c>
      <c r="B636" s="65"/>
      <c r="C636" s="65"/>
      <c r="D636" s="66">
        <v>150</v>
      </c>
      <c r="E636" s="102">
        <v>97.85714285714286</v>
      </c>
      <c r="F636" s="98" t="str">
        <f>HYPERLINK("https://i.ytimg.com/vi/r0y9WGGy6WY/default.jpg")</f>
        <v>https://i.ytimg.com/vi/r0y9WGGy6WY/default.jpg</v>
      </c>
      <c r="G636" s="100"/>
      <c r="H636" s="69" t="s">
        <v>2911</v>
      </c>
      <c r="I636" s="70"/>
      <c r="J636" s="104" t="s">
        <v>159</v>
      </c>
      <c r="K636" s="69" t="s">
        <v>2911</v>
      </c>
      <c r="L636" s="105">
        <v>1</v>
      </c>
      <c r="M636" s="74">
        <v>3107.711181640625</v>
      </c>
      <c r="N636" s="74">
        <v>8712.42578125</v>
      </c>
      <c r="O636" s="75"/>
      <c r="P636" s="76"/>
      <c r="Q636" s="76"/>
      <c r="R636" s="106"/>
      <c r="S636" s="48">
        <v>1</v>
      </c>
      <c r="T636" s="48">
        <v>0</v>
      </c>
      <c r="U636" s="49">
        <v>0</v>
      </c>
      <c r="V636" s="49">
        <v>0.141481</v>
      </c>
      <c r="W636" s="107"/>
      <c r="X636" s="50"/>
      <c r="Y636" s="50"/>
      <c r="Z636" s="49">
        <v>0</v>
      </c>
      <c r="AA636" s="71">
        <v>636</v>
      </c>
      <c r="AB636" s="71"/>
      <c r="AC636" s="72"/>
      <c r="AD636" s="79" t="s">
        <v>2911</v>
      </c>
      <c r="AE636" s="79" t="s">
        <v>3336</v>
      </c>
      <c r="AF636" s="79" t="s">
        <v>3625</v>
      </c>
      <c r="AG636" s="79" t="s">
        <v>3880</v>
      </c>
      <c r="AH636" s="79" t="s">
        <v>4279</v>
      </c>
      <c r="AI636" s="79">
        <v>6893</v>
      </c>
      <c r="AJ636" s="79">
        <v>154</v>
      </c>
      <c r="AK636" s="79">
        <v>108</v>
      </c>
      <c r="AL636" s="79">
        <v>0</v>
      </c>
      <c r="AM636" s="79" t="s">
        <v>2092</v>
      </c>
      <c r="AN636" s="114" t="str">
        <f>HYPERLINK("https://www.youtube.com/watch?v=r0y9WGGy6WY")</f>
        <v>https://www.youtube.com/watch?v=r0y9WGGy6WY</v>
      </c>
      <c r="AO636" s="78" t="str">
        <f>REPLACE(INDEX(GroupVertices[Group],MATCH(Vertices[[#This Row],[Vertex]],GroupVertices[Vertex],0)),1,1,"")</f>
        <v>nju ka Jahan (a mom's world)</v>
      </c>
      <c r="AP636" s="2"/>
      <c r="AQ636" s="3"/>
      <c r="AR636" s="3"/>
      <c r="AS636" s="3"/>
      <c r="AT636" s="3"/>
    </row>
    <row r="637" spans="1:46" ht="15">
      <c r="A637" s="64" t="s">
        <v>2438</v>
      </c>
      <c r="B637" s="65"/>
      <c r="C637" s="65"/>
      <c r="D637" s="66">
        <v>150</v>
      </c>
      <c r="E637" s="102">
        <v>97.85714285714286</v>
      </c>
      <c r="F637" s="98" t="str">
        <f>HYPERLINK("https://i.ytimg.com/vi/qb5yC1tHtug/default.jpg")</f>
        <v>https://i.ytimg.com/vi/qb5yC1tHtug/default.jpg</v>
      </c>
      <c r="G637" s="100"/>
      <c r="H637" s="69" t="s">
        <v>2912</v>
      </c>
      <c r="I637" s="70"/>
      <c r="J637" s="104" t="s">
        <v>159</v>
      </c>
      <c r="K637" s="69" t="s">
        <v>2912</v>
      </c>
      <c r="L637" s="105">
        <v>1</v>
      </c>
      <c r="M637" s="74">
        <v>2744.608154296875</v>
      </c>
      <c r="N637" s="74">
        <v>8708.6845703125</v>
      </c>
      <c r="O637" s="75"/>
      <c r="P637" s="76"/>
      <c r="Q637" s="76"/>
      <c r="R637" s="106"/>
      <c r="S637" s="48">
        <v>1</v>
      </c>
      <c r="T637" s="48">
        <v>0</v>
      </c>
      <c r="U637" s="49">
        <v>0</v>
      </c>
      <c r="V637" s="49">
        <v>0.141481</v>
      </c>
      <c r="W637" s="107"/>
      <c r="X637" s="50"/>
      <c r="Y637" s="50"/>
      <c r="Z637" s="49">
        <v>0</v>
      </c>
      <c r="AA637" s="71">
        <v>637</v>
      </c>
      <c r="AB637" s="71"/>
      <c r="AC637" s="72"/>
      <c r="AD637" s="79" t="s">
        <v>2912</v>
      </c>
      <c r="AE637" s="79" t="s">
        <v>3337</v>
      </c>
      <c r="AF637" s="79"/>
      <c r="AG637" s="79" t="s">
        <v>3881</v>
      </c>
      <c r="AH637" s="79" t="s">
        <v>4280</v>
      </c>
      <c r="AI637" s="79">
        <v>101</v>
      </c>
      <c r="AJ637" s="79">
        <v>0</v>
      </c>
      <c r="AK637" s="79">
        <v>1</v>
      </c>
      <c r="AL637" s="79">
        <v>0</v>
      </c>
      <c r="AM637" s="79" t="s">
        <v>2092</v>
      </c>
      <c r="AN637" s="114" t="str">
        <f>HYPERLINK("https://www.youtube.com/watch?v=qb5yC1tHtug")</f>
        <v>https://www.youtube.com/watch?v=qb5yC1tHtug</v>
      </c>
      <c r="AO637" s="78" t="str">
        <f>REPLACE(INDEX(GroupVertices[Group],MATCH(Vertices[[#This Row],[Vertex]],GroupVertices[Vertex],0)),1,1,"")</f>
        <v>HE LiVEEYE : VDO</v>
      </c>
      <c r="AP637" s="2"/>
      <c r="AQ637" s="3"/>
      <c r="AR637" s="3"/>
      <c r="AS637" s="3"/>
      <c r="AT637" s="3"/>
    </row>
    <row r="638" spans="1:46" ht="15">
      <c r="A638" s="64" t="s">
        <v>2439</v>
      </c>
      <c r="B638" s="65"/>
      <c r="C638" s="65"/>
      <c r="D638" s="66">
        <v>150</v>
      </c>
      <c r="E638" s="102">
        <v>97.85714285714286</v>
      </c>
      <c r="F638" s="98" t="str">
        <f>HYPERLINK("https://i.ytimg.com/vi/gw86_5zu63Y/default.jpg")</f>
        <v>https://i.ytimg.com/vi/gw86_5zu63Y/default.jpg</v>
      </c>
      <c r="G638" s="100"/>
      <c r="H638" s="69" t="s">
        <v>2913</v>
      </c>
      <c r="I638" s="70"/>
      <c r="J638" s="104" t="s">
        <v>159</v>
      </c>
      <c r="K638" s="69" t="s">
        <v>2913</v>
      </c>
      <c r="L638" s="105">
        <v>1</v>
      </c>
      <c r="M638" s="74">
        <v>4025.65771484375</v>
      </c>
      <c r="N638" s="74">
        <v>7810.2939453125</v>
      </c>
      <c r="O638" s="75"/>
      <c r="P638" s="76"/>
      <c r="Q638" s="76"/>
      <c r="R638" s="106"/>
      <c r="S638" s="48">
        <v>1</v>
      </c>
      <c r="T638" s="48">
        <v>0</v>
      </c>
      <c r="U638" s="49">
        <v>0</v>
      </c>
      <c r="V638" s="49">
        <v>0.141481</v>
      </c>
      <c r="W638" s="107"/>
      <c r="X638" s="50"/>
      <c r="Y638" s="50"/>
      <c r="Z638" s="49">
        <v>0</v>
      </c>
      <c r="AA638" s="71">
        <v>638</v>
      </c>
      <c r="AB638" s="71"/>
      <c r="AC638" s="72"/>
      <c r="AD638" s="79" t="s">
        <v>2913</v>
      </c>
      <c r="AE638" s="79" t="s">
        <v>3338</v>
      </c>
      <c r="AF638" s="79" t="s">
        <v>3626</v>
      </c>
      <c r="AG638" s="79" t="s">
        <v>3882</v>
      </c>
      <c r="AH638" s="79" t="s">
        <v>4281</v>
      </c>
      <c r="AI638" s="79">
        <v>3648</v>
      </c>
      <c r="AJ638" s="79">
        <v>28</v>
      </c>
      <c r="AK638" s="79">
        <v>0</v>
      </c>
      <c r="AL638" s="79">
        <v>0</v>
      </c>
      <c r="AM638" s="79" t="s">
        <v>2092</v>
      </c>
      <c r="AN638" s="114" t="str">
        <f>HYPERLINK("https://www.youtube.com/watch?v=gw86_5zu63Y")</f>
        <v>https://www.youtube.com/watch?v=gw86_5zu63Y</v>
      </c>
      <c r="AO638" s="78" t="str">
        <f>REPLACE(INDEX(GroupVertices[Group],MATCH(Vertices[[#This Row],[Vertex]],GroupVertices[Vertex],0)),1,1,"")</f>
        <v>edical Lovin</v>
      </c>
      <c r="AP638" s="2"/>
      <c r="AQ638" s="3"/>
      <c r="AR638" s="3"/>
      <c r="AS638" s="3"/>
      <c r="AT638" s="3"/>
    </row>
    <row r="639" spans="1:46" ht="15">
      <c r="A639" s="64" t="s">
        <v>2440</v>
      </c>
      <c r="B639" s="65"/>
      <c r="C639" s="65"/>
      <c r="D639" s="66">
        <v>150</v>
      </c>
      <c r="E639" s="102">
        <v>97.85714285714286</v>
      </c>
      <c r="F639" s="98" t="str">
        <f>HYPERLINK("https://i.ytimg.com/vi/Ebyi4KIAuJ0/default.jpg")</f>
        <v>https://i.ytimg.com/vi/Ebyi4KIAuJ0/default.jpg</v>
      </c>
      <c r="G639" s="100"/>
      <c r="H639" s="69" t="s">
        <v>2914</v>
      </c>
      <c r="I639" s="70"/>
      <c r="J639" s="104" t="s">
        <v>159</v>
      </c>
      <c r="K639" s="69" t="s">
        <v>2914</v>
      </c>
      <c r="L639" s="105">
        <v>1</v>
      </c>
      <c r="M639" s="74">
        <v>3320.227783203125</v>
      </c>
      <c r="N639" s="74">
        <v>8514.4716796875</v>
      </c>
      <c r="O639" s="75"/>
      <c r="P639" s="76"/>
      <c r="Q639" s="76"/>
      <c r="R639" s="106"/>
      <c r="S639" s="48">
        <v>1</v>
      </c>
      <c r="T639" s="48">
        <v>0</v>
      </c>
      <c r="U639" s="49">
        <v>0</v>
      </c>
      <c r="V639" s="49">
        <v>0.141481</v>
      </c>
      <c r="W639" s="107"/>
      <c r="X639" s="50"/>
      <c r="Y639" s="50"/>
      <c r="Z639" s="49">
        <v>0</v>
      </c>
      <c r="AA639" s="71">
        <v>639</v>
      </c>
      <c r="AB639" s="71"/>
      <c r="AC639" s="72"/>
      <c r="AD639" s="79" t="s">
        <v>2914</v>
      </c>
      <c r="AE639" s="79" t="s">
        <v>3339</v>
      </c>
      <c r="AF639" s="79"/>
      <c r="AG639" s="79" t="s">
        <v>3883</v>
      </c>
      <c r="AH639" s="79" t="s">
        <v>4282</v>
      </c>
      <c r="AI639" s="79">
        <v>260</v>
      </c>
      <c r="AJ639" s="79">
        <v>9</v>
      </c>
      <c r="AK639" s="79">
        <v>28</v>
      </c>
      <c r="AL639" s="79">
        <v>0</v>
      </c>
      <c r="AM639" s="79" t="s">
        <v>2092</v>
      </c>
      <c r="AN639" s="114" t="str">
        <f>HYPERLINK("https://www.youtube.com/watch?v=Ebyi4KIAuJ0")</f>
        <v>https://www.youtube.com/watch?v=Ebyi4KIAuJ0</v>
      </c>
      <c r="AO639" s="78" t="str">
        <f>REPLACE(INDEX(GroupVertices[Group],MATCH(Vertices[[#This Row],[Vertex]],GroupVertices[Vertex],0)),1,1,"")</f>
        <v>adhuban</v>
      </c>
      <c r="AP639" s="2"/>
      <c r="AQ639" s="3"/>
      <c r="AR639" s="3"/>
      <c r="AS639" s="3"/>
      <c r="AT639" s="3"/>
    </row>
    <row r="640" spans="1:46" ht="15">
      <c r="A640" s="64" t="s">
        <v>2441</v>
      </c>
      <c r="B640" s="65"/>
      <c r="C640" s="65"/>
      <c r="D640" s="66">
        <v>150</v>
      </c>
      <c r="E640" s="102">
        <v>97.85714285714286</v>
      </c>
      <c r="F640" s="98" t="str">
        <f>HYPERLINK("https://i.ytimg.com/vi/xFAp8wwo1Q4/default.jpg")</f>
        <v>https://i.ytimg.com/vi/xFAp8wwo1Q4/default.jpg</v>
      </c>
      <c r="G640" s="100"/>
      <c r="H640" s="69" t="s">
        <v>2915</v>
      </c>
      <c r="I640" s="70"/>
      <c r="J640" s="104" t="s">
        <v>159</v>
      </c>
      <c r="K640" s="69" t="s">
        <v>2915</v>
      </c>
      <c r="L640" s="105">
        <v>1</v>
      </c>
      <c r="M640" s="74">
        <v>3381.144287109375</v>
      </c>
      <c r="N640" s="74">
        <v>7580.3974609375</v>
      </c>
      <c r="O640" s="75"/>
      <c r="P640" s="76"/>
      <c r="Q640" s="76"/>
      <c r="R640" s="106"/>
      <c r="S640" s="48">
        <v>1</v>
      </c>
      <c r="T640" s="48">
        <v>0</v>
      </c>
      <c r="U640" s="49">
        <v>0</v>
      </c>
      <c r="V640" s="49">
        <v>0.141481</v>
      </c>
      <c r="W640" s="107"/>
      <c r="X640" s="50"/>
      <c r="Y640" s="50"/>
      <c r="Z640" s="49">
        <v>0</v>
      </c>
      <c r="AA640" s="71">
        <v>640</v>
      </c>
      <c r="AB640" s="71"/>
      <c r="AC640" s="72"/>
      <c r="AD640" s="79" t="s">
        <v>2915</v>
      </c>
      <c r="AE640" s="79"/>
      <c r="AF640" s="79" t="s">
        <v>3627</v>
      </c>
      <c r="AG640" s="79" t="s">
        <v>3882</v>
      </c>
      <c r="AH640" s="79" t="s">
        <v>4283</v>
      </c>
      <c r="AI640" s="79">
        <v>868</v>
      </c>
      <c r="AJ640" s="79">
        <v>1</v>
      </c>
      <c r="AK640" s="79">
        <v>0</v>
      </c>
      <c r="AL640" s="79">
        <v>0</v>
      </c>
      <c r="AM640" s="79" t="s">
        <v>2092</v>
      </c>
      <c r="AN640" s="114" t="str">
        <f>HYPERLINK("https://www.youtube.com/watch?v=xFAp8wwo1Q4")</f>
        <v>https://www.youtube.com/watch?v=xFAp8wwo1Q4</v>
      </c>
      <c r="AO640" s="78" t="str">
        <f>REPLACE(INDEX(GroupVertices[Group],MATCH(Vertices[[#This Row],[Vertex]],GroupVertices[Vertex],0)),1,1,"")</f>
        <v>edical Lovin</v>
      </c>
      <c r="AP640" s="2"/>
      <c r="AQ640" s="3"/>
      <c r="AR640" s="3"/>
      <c r="AS640" s="3"/>
      <c r="AT640" s="3"/>
    </row>
    <row r="641" spans="1:46" ht="15">
      <c r="A641" s="64" t="s">
        <v>2442</v>
      </c>
      <c r="B641" s="65"/>
      <c r="C641" s="65"/>
      <c r="D641" s="66">
        <v>150</v>
      </c>
      <c r="E641" s="102">
        <v>97.85714285714286</v>
      </c>
      <c r="F641" s="98" t="str">
        <f>HYPERLINK("https://i.ytimg.com/vi/MNTmTZc17jE/default.jpg")</f>
        <v>https://i.ytimg.com/vi/MNTmTZc17jE/default.jpg</v>
      </c>
      <c r="G641" s="100"/>
      <c r="H641" s="69" t="s">
        <v>2916</v>
      </c>
      <c r="I641" s="70"/>
      <c r="J641" s="104" t="s">
        <v>159</v>
      </c>
      <c r="K641" s="69" t="s">
        <v>2916</v>
      </c>
      <c r="L641" s="105">
        <v>1</v>
      </c>
      <c r="M641" s="74">
        <v>3758.20263671875</v>
      </c>
      <c r="N641" s="74">
        <v>8293.1318359375</v>
      </c>
      <c r="O641" s="75"/>
      <c r="P641" s="76"/>
      <c r="Q641" s="76"/>
      <c r="R641" s="106"/>
      <c r="S641" s="48">
        <v>1</v>
      </c>
      <c r="T641" s="48">
        <v>0</v>
      </c>
      <c r="U641" s="49">
        <v>0</v>
      </c>
      <c r="V641" s="49">
        <v>0.141481</v>
      </c>
      <c r="W641" s="107"/>
      <c r="X641" s="50"/>
      <c r="Y641" s="50"/>
      <c r="Z641" s="49">
        <v>0</v>
      </c>
      <c r="AA641" s="71">
        <v>641</v>
      </c>
      <c r="AB641" s="71"/>
      <c r="AC641" s="72"/>
      <c r="AD641" s="79" t="s">
        <v>2916</v>
      </c>
      <c r="AE641" s="79" t="s">
        <v>3340</v>
      </c>
      <c r="AF641" s="79" t="s">
        <v>3628</v>
      </c>
      <c r="AG641" s="79" t="s">
        <v>3884</v>
      </c>
      <c r="AH641" s="79" t="s">
        <v>4284</v>
      </c>
      <c r="AI641" s="79">
        <v>1935</v>
      </c>
      <c r="AJ641" s="79">
        <v>31</v>
      </c>
      <c r="AK641" s="79">
        <v>22</v>
      </c>
      <c r="AL641" s="79">
        <v>0</v>
      </c>
      <c r="AM641" s="79" t="s">
        <v>2092</v>
      </c>
      <c r="AN641" s="114" t="str">
        <f>HYPERLINK("https://www.youtube.com/watch?v=MNTmTZc17jE")</f>
        <v>https://www.youtube.com/watch?v=MNTmTZc17jE</v>
      </c>
      <c r="AO641" s="78" t="str">
        <f>REPLACE(INDEX(GroupVertices[Group],MATCH(Vertices[[#This Row],[Vertex]],GroupVertices[Vertex],0)),1,1,"")</f>
        <v>URSE 2 MOM</v>
      </c>
      <c r="AP641" s="2"/>
      <c r="AQ641" s="3"/>
      <c r="AR641" s="3"/>
      <c r="AS641" s="3"/>
      <c r="AT641" s="3"/>
    </row>
    <row r="642" spans="1:46" ht="15">
      <c r="A642" s="64" t="s">
        <v>2443</v>
      </c>
      <c r="B642" s="65"/>
      <c r="C642" s="65"/>
      <c r="D642" s="66">
        <v>150</v>
      </c>
      <c r="E642" s="102">
        <v>97.85714285714286</v>
      </c>
      <c r="F642" s="98" t="str">
        <f>HYPERLINK("https://i.ytimg.com/vi/yWotzEePWfQ/default.jpg")</f>
        <v>https://i.ytimg.com/vi/yWotzEePWfQ/default.jpg</v>
      </c>
      <c r="G642" s="100"/>
      <c r="H642" s="69" t="s">
        <v>2917</v>
      </c>
      <c r="I642" s="70"/>
      <c r="J642" s="104" t="s">
        <v>159</v>
      </c>
      <c r="K642" s="69" t="s">
        <v>2917</v>
      </c>
      <c r="L642" s="105">
        <v>1</v>
      </c>
      <c r="M642" s="74">
        <v>3240.585205078125</v>
      </c>
      <c r="N642" s="74">
        <v>7814.8798828125</v>
      </c>
      <c r="O642" s="75"/>
      <c r="P642" s="76"/>
      <c r="Q642" s="76"/>
      <c r="R642" s="106"/>
      <c r="S642" s="48">
        <v>1</v>
      </c>
      <c r="T642" s="48">
        <v>0</v>
      </c>
      <c r="U642" s="49">
        <v>0</v>
      </c>
      <c r="V642" s="49">
        <v>0.141481</v>
      </c>
      <c r="W642" s="107"/>
      <c r="X642" s="50"/>
      <c r="Y642" s="50"/>
      <c r="Z642" s="49">
        <v>0</v>
      </c>
      <c r="AA642" s="71">
        <v>642</v>
      </c>
      <c r="AB642" s="71"/>
      <c r="AC642" s="72"/>
      <c r="AD642" s="79" t="s">
        <v>2917</v>
      </c>
      <c r="AE642" s="79" t="s">
        <v>3341</v>
      </c>
      <c r="AF642" s="79"/>
      <c r="AG642" s="79" t="s">
        <v>3885</v>
      </c>
      <c r="AH642" s="79" t="s">
        <v>4285</v>
      </c>
      <c r="AI642" s="79">
        <v>8430</v>
      </c>
      <c r="AJ642" s="79">
        <v>7</v>
      </c>
      <c r="AK642" s="79">
        <v>115</v>
      </c>
      <c r="AL642" s="79">
        <v>0</v>
      </c>
      <c r="AM642" s="79" t="s">
        <v>2092</v>
      </c>
      <c r="AN642" s="114" t="str">
        <f>HYPERLINK("https://www.youtube.com/watch?v=yWotzEePWfQ")</f>
        <v>https://www.youtube.com/watch?v=yWotzEePWfQ</v>
      </c>
      <c r="AO642" s="78" t="str">
        <f>REPLACE(INDEX(GroupVertices[Group],MATCH(Vertices[[#This Row],[Vertex]],GroupVertices[Vertex],0)),1,1,"")</f>
        <v>inul Azli</v>
      </c>
      <c r="AP642" s="2"/>
      <c r="AQ642" s="3"/>
      <c r="AR642" s="3"/>
      <c r="AS642" s="3"/>
      <c r="AT642" s="3"/>
    </row>
    <row r="643" spans="1:46" ht="15">
      <c r="A643" s="64" t="s">
        <v>2444</v>
      </c>
      <c r="B643" s="65"/>
      <c r="C643" s="65"/>
      <c r="D643" s="66">
        <v>150</v>
      </c>
      <c r="E643" s="102">
        <v>97.85714285714286</v>
      </c>
      <c r="F643" s="98" t="str">
        <f>HYPERLINK("https://i.ytimg.com/vi/GQhNGC4UCXw/default.jpg")</f>
        <v>https://i.ytimg.com/vi/GQhNGC4UCXw/default.jpg</v>
      </c>
      <c r="G643" s="100"/>
      <c r="H643" s="69" t="s">
        <v>2918</v>
      </c>
      <c r="I643" s="70"/>
      <c r="J643" s="104" t="s">
        <v>159</v>
      </c>
      <c r="K643" s="69" t="s">
        <v>2918</v>
      </c>
      <c r="L643" s="105">
        <v>1</v>
      </c>
      <c r="M643" s="74">
        <v>4236.30859375</v>
      </c>
      <c r="N643" s="74">
        <v>7931.84765625</v>
      </c>
      <c r="O643" s="75"/>
      <c r="P643" s="76"/>
      <c r="Q643" s="76"/>
      <c r="R643" s="106"/>
      <c r="S643" s="48">
        <v>1</v>
      </c>
      <c r="T643" s="48">
        <v>0</v>
      </c>
      <c r="U643" s="49">
        <v>0</v>
      </c>
      <c r="V643" s="49">
        <v>0.141481</v>
      </c>
      <c r="W643" s="107"/>
      <c r="X643" s="50"/>
      <c r="Y643" s="50"/>
      <c r="Z643" s="49">
        <v>0</v>
      </c>
      <c r="AA643" s="71">
        <v>643</v>
      </c>
      <c r="AB643" s="71"/>
      <c r="AC643" s="72"/>
      <c r="AD643" s="79" t="s">
        <v>2918</v>
      </c>
      <c r="AE643" s="79" t="s">
        <v>3342</v>
      </c>
      <c r="AF643" s="79" t="s">
        <v>1458</v>
      </c>
      <c r="AG643" s="79" t="s">
        <v>1671</v>
      </c>
      <c r="AH643" s="79" t="s">
        <v>4286</v>
      </c>
      <c r="AI643" s="79">
        <v>60</v>
      </c>
      <c r="AJ643" s="79">
        <v>0</v>
      </c>
      <c r="AK643" s="79">
        <v>1</v>
      </c>
      <c r="AL643" s="79">
        <v>0</v>
      </c>
      <c r="AM643" s="79" t="s">
        <v>2092</v>
      </c>
      <c r="AN643" s="114" t="str">
        <f>HYPERLINK("https://www.youtube.com/watch?v=GQhNGC4UCXw")</f>
        <v>https://www.youtube.com/watch?v=GQhNGC4UCXw</v>
      </c>
      <c r="AO643" s="78" t="str">
        <f>REPLACE(INDEX(GroupVertices[Group],MATCH(Vertices[[#This Row],[Vertex]],GroupVertices[Vertex],0)),1,1,"")</f>
        <v>edical Knowledge Online</v>
      </c>
      <c r="AP643" s="2"/>
      <c r="AQ643" s="3"/>
      <c r="AR643" s="3"/>
      <c r="AS643" s="3"/>
      <c r="AT643" s="3"/>
    </row>
    <row r="644" spans="1:46" ht="15">
      <c r="A644" s="64" t="s">
        <v>2445</v>
      </c>
      <c r="B644" s="65"/>
      <c r="C644" s="65"/>
      <c r="D644" s="66">
        <v>150</v>
      </c>
      <c r="E644" s="102">
        <v>97.85714285714286</v>
      </c>
      <c r="F644" s="98" t="str">
        <f>HYPERLINK("https://i.ytimg.com/vi/uapH86EuJQk/default.jpg")</f>
        <v>https://i.ytimg.com/vi/uapH86EuJQk/default.jpg</v>
      </c>
      <c r="G644" s="100"/>
      <c r="H644" s="69" t="s">
        <v>2919</v>
      </c>
      <c r="I644" s="70"/>
      <c r="J644" s="104" t="s">
        <v>159</v>
      </c>
      <c r="K644" s="69" t="s">
        <v>2919</v>
      </c>
      <c r="L644" s="105">
        <v>1</v>
      </c>
      <c r="M644" s="74">
        <v>2797.3896484375</v>
      </c>
      <c r="N644" s="74">
        <v>7927.53369140625</v>
      </c>
      <c r="O644" s="75"/>
      <c r="P644" s="76"/>
      <c r="Q644" s="76"/>
      <c r="R644" s="106"/>
      <c r="S644" s="48">
        <v>1</v>
      </c>
      <c r="T644" s="48">
        <v>0</v>
      </c>
      <c r="U644" s="49">
        <v>0</v>
      </c>
      <c r="V644" s="49">
        <v>0.141481</v>
      </c>
      <c r="W644" s="107"/>
      <c r="X644" s="50"/>
      <c r="Y644" s="50"/>
      <c r="Z644" s="49">
        <v>0</v>
      </c>
      <c r="AA644" s="71">
        <v>644</v>
      </c>
      <c r="AB644" s="71"/>
      <c r="AC644" s="72"/>
      <c r="AD644" s="79" t="s">
        <v>2919</v>
      </c>
      <c r="AE644" s="79" t="s">
        <v>3343</v>
      </c>
      <c r="AF644" s="79" t="s">
        <v>1458</v>
      </c>
      <c r="AG644" s="79" t="s">
        <v>1671</v>
      </c>
      <c r="AH644" s="79" t="s">
        <v>4287</v>
      </c>
      <c r="AI644" s="79">
        <v>31</v>
      </c>
      <c r="AJ644" s="79">
        <v>0</v>
      </c>
      <c r="AK644" s="79">
        <v>1</v>
      </c>
      <c r="AL644" s="79">
        <v>0</v>
      </c>
      <c r="AM644" s="79" t="s">
        <v>2092</v>
      </c>
      <c r="AN644" s="114" t="str">
        <f>HYPERLINK("https://www.youtube.com/watch?v=uapH86EuJQk")</f>
        <v>https://www.youtube.com/watch?v=uapH86EuJQk</v>
      </c>
      <c r="AO644" s="78" t="str">
        <f>REPLACE(INDEX(GroupVertices[Group],MATCH(Vertices[[#This Row],[Vertex]],GroupVertices[Vertex],0)),1,1,"")</f>
        <v>edical Knowledge Online</v>
      </c>
      <c r="AP644" s="2"/>
      <c r="AQ644" s="3"/>
      <c r="AR644" s="3"/>
      <c r="AS644" s="3"/>
      <c r="AT644" s="3"/>
    </row>
    <row r="645" spans="1:46" ht="15">
      <c r="A645" s="64" t="s">
        <v>2446</v>
      </c>
      <c r="B645" s="65"/>
      <c r="C645" s="65"/>
      <c r="D645" s="66">
        <v>150</v>
      </c>
      <c r="E645" s="102">
        <v>97.85714285714286</v>
      </c>
      <c r="F645" s="98" t="str">
        <f>HYPERLINK("https://i.ytimg.com/vi/yunFFVVSpb4/default.jpg")</f>
        <v>https://i.ytimg.com/vi/yunFFVVSpb4/default.jpg</v>
      </c>
      <c r="G645" s="100"/>
      <c r="H645" s="69" t="s">
        <v>2920</v>
      </c>
      <c r="I645" s="70"/>
      <c r="J645" s="104" t="s">
        <v>159</v>
      </c>
      <c r="K645" s="69" t="s">
        <v>2920</v>
      </c>
      <c r="L645" s="105">
        <v>1</v>
      </c>
      <c r="M645" s="74">
        <v>2915.484375</v>
      </c>
      <c r="N645" s="74">
        <v>8141.79931640625</v>
      </c>
      <c r="O645" s="75"/>
      <c r="P645" s="76"/>
      <c r="Q645" s="76"/>
      <c r="R645" s="106"/>
      <c r="S645" s="48">
        <v>1</v>
      </c>
      <c r="T645" s="48">
        <v>0</v>
      </c>
      <c r="U645" s="49">
        <v>0</v>
      </c>
      <c r="V645" s="49">
        <v>0.141481</v>
      </c>
      <c r="W645" s="107"/>
      <c r="X645" s="50"/>
      <c r="Y645" s="50"/>
      <c r="Z645" s="49">
        <v>0</v>
      </c>
      <c r="AA645" s="71">
        <v>645</v>
      </c>
      <c r="AB645" s="71"/>
      <c r="AC645" s="72"/>
      <c r="AD645" s="79" t="s">
        <v>2920</v>
      </c>
      <c r="AE645" s="79" t="s">
        <v>3344</v>
      </c>
      <c r="AF645" s="79" t="s">
        <v>1458</v>
      </c>
      <c r="AG645" s="79" t="s">
        <v>1671</v>
      </c>
      <c r="AH645" s="79" t="s">
        <v>4288</v>
      </c>
      <c r="AI645" s="79">
        <v>40</v>
      </c>
      <c r="AJ645" s="79">
        <v>0</v>
      </c>
      <c r="AK645" s="79">
        <v>2</v>
      </c>
      <c r="AL645" s="79">
        <v>0</v>
      </c>
      <c r="AM645" s="79" t="s">
        <v>2092</v>
      </c>
      <c r="AN645" s="114" t="str">
        <f>HYPERLINK("https://www.youtube.com/watch?v=yunFFVVSpb4")</f>
        <v>https://www.youtube.com/watch?v=yunFFVVSpb4</v>
      </c>
      <c r="AO645" s="78" t="str">
        <f>REPLACE(INDEX(GroupVertices[Group],MATCH(Vertices[[#This Row],[Vertex]],GroupVertices[Vertex],0)),1,1,"")</f>
        <v>edical Knowledge Online</v>
      </c>
      <c r="AP645" s="2"/>
      <c r="AQ645" s="3"/>
      <c r="AR645" s="3"/>
      <c r="AS645" s="3"/>
      <c r="AT645" s="3"/>
    </row>
    <row r="646" spans="1:46" ht="15">
      <c r="A646" s="64" t="s">
        <v>2447</v>
      </c>
      <c r="B646" s="65"/>
      <c r="C646" s="65"/>
      <c r="D646" s="66">
        <v>150</v>
      </c>
      <c r="E646" s="102">
        <v>97.85714285714286</v>
      </c>
      <c r="F646" s="98" t="str">
        <f>HYPERLINK("https://i.ytimg.com/vi/qPeHzWmgPUE/default.jpg")</f>
        <v>https://i.ytimg.com/vi/qPeHzWmgPUE/default.jpg</v>
      </c>
      <c r="G646" s="100"/>
      <c r="H646" s="69" t="s">
        <v>2921</v>
      </c>
      <c r="I646" s="70"/>
      <c r="J646" s="104" t="s">
        <v>159</v>
      </c>
      <c r="K646" s="69" t="s">
        <v>2921</v>
      </c>
      <c r="L646" s="105">
        <v>1</v>
      </c>
      <c r="M646" s="74">
        <v>3545.36181640625</v>
      </c>
      <c r="N646" s="74">
        <v>7564.8291015625</v>
      </c>
      <c r="O646" s="75"/>
      <c r="P646" s="76"/>
      <c r="Q646" s="76"/>
      <c r="R646" s="106"/>
      <c r="S646" s="48">
        <v>1</v>
      </c>
      <c r="T646" s="48">
        <v>0</v>
      </c>
      <c r="U646" s="49">
        <v>0</v>
      </c>
      <c r="V646" s="49">
        <v>0.141481</v>
      </c>
      <c r="W646" s="107"/>
      <c r="X646" s="50"/>
      <c r="Y646" s="50"/>
      <c r="Z646" s="49">
        <v>0</v>
      </c>
      <c r="AA646" s="71">
        <v>646</v>
      </c>
      <c r="AB646" s="71"/>
      <c r="AC646" s="72"/>
      <c r="AD646" s="79" t="s">
        <v>2921</v>
      </c>
      <c r="AE646" s="79" t="s">
        <v>3345</v>
      </c>
      <c r="AF646" s="79" t="s">
        <v>1458</v>
      </c>
      <c r="AG646" s="79" t="s">
        <v>1671</v>
      </c>
      <c r="AH646" s="79" t="s">
        <v>4289</v>
      </c>
      <c r="AI646" s="79">
        <v>22</v>
      </c>
      <c r="AJ646" s="79">
        <v>0</v>
      </c>
      <c r="AK646" s="79">
        <v>3</v>
      </c>
      <c r="AL646" s="79">
        <v>0</v>
      </c>
      <c r="AM646" s="79" t="s">
        <v>2092</v>
      </c>
      <c r="AN646" s="114" t="str">
        <f>HYPERLINK("https://www.youtube.com/watch?v=qPeHzWmgPUE")</f>
        <v>https://www.youtube.com/watch?v=qPeHzWmgPUE</v>
      </c>
      <c r="AO646" s="78" t="str">
        <f>REPLACE(INDEX(GroupVertices[Group],MATCH(Vertices[[#This Row],[Vertex]],GroupVertices[Vertex],0)),1,1,"")</f>
        <v>edical Knowledge Online</v>
      </c>
      <c r="AP646" s="2"/>
      <c r="AQ646" s="3"/>
      <c r="AR646" s="3"/>
      <c r="AS646" s="3"/>
      <c r="AT646" s="3"/>
    </row>
    <row r="647" spans="1:46" ht="15">
      <c r="A647" s="64" t="s">
        <v>2448</v>
      </c>
      <c r="B647" s="65"/>
      <c r="C647" s="65"/>
      <c r="D647" s="66">
        <v>150</v>
      </c>
      <c r="E647" s="102">
        <v>97.85714285714286</v>
      </c>
      <c r="F647" s="98" t="str">
        <f>HYPERLINK("https://i.ytimg.com/vi/6JsQRLhsPGw/default.jpg")</f>
        <v>https://i.ytimg.com/vi/6JsQRLhsPGw/default.jpg</v>
      </c>
      <c r="G647" s="100"/>
      <c r="H647" s="69" t="s">
        <v>2922</v>
      </c>
      <c r="I647" s="70"/>
      <c r="J647" s="104" t="s">
        <v>159</v>
      </c>
      <c r="K647" s="69" t="s">
        <v>2922</v>
      </c>
      <c r="L647" s="105">
        <v>1</v>
      </c>
      <c r="M647" s="74">
        <v>3049.52685546875</v>
      </c>
      <c r="N647" s="74">
        <v>7701.9736328125</v>
      </c>
      <c r="O647" s="75"/>
      <c r="P647" s="76"/>
      <c r="Q647" s="76"/>
      <c r="R647" s="106"/>
      <c r="S647" s="48">
        <v>1</v>
      </c>
      <c r="T647" s="48">
        <v>0</v>
      </c>
      <c r="U647" s="49">
        <v>0</v>
      </c>
      <c r="V647" s="49">
        <v>0.141481</v>
      </c>
      <c r="W647" s="107"/>
      <c r="X647" s="50"/>
      <c r="Y647" s="50"/>
      <c r="Z647" s="49">
        <v>0</v>
      </c>
      <c r="AA647" s="71">
        <v>647</v>
      </c>
      <c r="AB647" s="71"/>
      <c r="AC647" s="72"/>
      <c r="AD647" s="79" t="s">
        <v>2922</v>
      </c>
      <c r="AE647" s="79" t="s">
        <v>3346</v>
      </c>
      <c r="AF647" s="79" t="s">
        <v>1458</v>
      </c>
      <c r="AG647" s="79" t="s">
        <v>1671</v>
      </c>
      <c r="AH647" s="79" t="s">
        <v>4290</v>
      </c>
      <c r="AI647" s="79">
        <v>27</v>
      </c>
      <c r="AJ647" s="79">
        <v>0</v>
      </c>
      <c r="AK647" s="79">
        <v>1</v>
      </c>
      <c r="AL647" s="79">
        <v>0</v>
      </c>
      <c r="AM647" s="79" t="s">
        <v>2092</v>
      </c>
      <c r="AN647" s="114" t="str">
        <f>HYPERLINK("https://www.youtube.com/watch?v=6JsQRLhsPGw")</f>
        <v>https://www.youtube.com/watch?v=6JsQRLhsPGw</v>
      </c>
      <c r="AO647" s="78" t="str">
        <f>REPLACE(INDEX(GroupVertices[Group],MATCH(Vertices[[#This Row],[Vertex]],GroupVertices[Vertex],0)),1,1,"")</f>
        <v>edical Knowledge Online</v>
      </c>
      <c r="AP647" s="2"/>
      <c r="AQ647" s="3"/>
      <c r="AR647" s="3"/>
      <c r="AS647" s="3"/>
      <c r="AT647" s="3"/>
    </row>
    <row r="648" spans="1:46" ht="15">
      <c r="A648" s="64" t="s">
        <v>2449</v>
      </c>
      <c r="B648" s="65"/>
      <c r="C648" s="65"/>
      <c r="D648" s="66">
        <v>150</v>
      </c>
      <c r="E648" s="102">
        <v>97.85714285714286</v>
      </c>
      <c r="F648" s="98" t="str">
        <f>HYPERLINK("https://i.ytimg.com/vi/355YE1-1YC0/default.jpg")</f>
        <v>https://i.ytimg.com/vi/355YE1-1YC0/default.jpg</v>
      </c>
      <c r="G648" s="100"/>
      <c r="H648" s="69" t="s">
        <v>2923</v>
      </c>
      <c r="I648" s="70"/>
      <c r="J648" s="104" t="s">
        <v>159</v>
      </c>
      <c r="K648" s="69" t="s">
        <v>2923</v>
      </c>
      <c r="L648" s="105">
        <v>1</v>
      </c>
      <c r="M648" s="74">
        <v>2707.406494140625</v>
      </c>
      <c r="N648" s="74">
        <v>8061.0927734375</v>
      </c>
      <c r="O648" s="75"/>
      <c r="P648" s="76"/>
      <c r="Q648" s="76"/>
      <c r="R648" s="106"/>
      <c r="S648" s="48">
        <v>1</v>
      </c>
      <c r="T648" s="48">
        <v>0</v>
      </c>
      <c r="U648" s="49">
        <v>0</v>
      </c>
      <c r="V648" s="49">
        <v>0.141481</v>
      </c>
      <c r="W648" s="107"/>
      <c r="X648" s="50"/>
      <c r="Y648" s="50"/>
      <c r="Z648" s="49">
        <v>0</v>
      </c>
      <c r="AA648" s="71">
        <v>648</v>
      </c>
      <c r="AB648" s="71"/>
      <c r="AC648" s="72"/>
      <c r="AD648" s="79" t="s">
        <v>2923</v>
      </c>
      <c r="AE648" s="79" t="s">
        <v>3347</v>
      </c>
      <c r="AF648" s="79"/>
      <c r="AG648" s="79" t="s">
        <v>1671</v>
      </c>
      <c r="AH648" s="79" t="s">
        <v>4291</v>
      </c>
      <c r="AI648" s="79">
        <v>58</v>
      </c>
      <c r="AJ648" s="79">
        <v>0</v>
      </c>
      <c r="AK648" s="79">
        <v>4</v>
      </c>
      <c r="AL648" s="79">
        <v>0</v>
      </c>
      <c r="AM648" s="79" t="s">
        <v>2092</v>
      </c>
      <c r="AN648" s="114" t="str">
        <f>HYPERLINK("https://www.youtube.com/watch?v=355YE1-1YC0")</f>
        <v>https://www.youtube.com/watch?v=355YE1-1YC0</v>
      </c>
      <c r="AO648" s="78" t="str">
        <f>REPLACE(INDEX(GroupVertices[Group],MATCH(Vertices[[#This Row],[Vertex]],GroupVertices[Vertex],0)),1,1,"")</f>
        <v>edical Knowledge Online</v>
      </c>
      <c r="AP648" s="2"/>
      <c r="AQ648" s="3"/>
      <c r="AR648" s="3"/>
      <c r="AS648" s="3"/>
      <c r="AT648" s="3"/>
    </row>
    <row r="649" spans="1:46" ht="15">
      <c r="A649" s="64" t="s">
        <v>2450</v>
      </c>
      <c r="B649" s="65"/>
      <c r="C649" s="65"/>
      <c r="D649" s="66">
        <v>150</v>
      </c>
      <c r="E649" s="102">
        <v>97.85714285714286</v>
      </c>
      <c r="F649" s="98" t="str">
        <f>HYPERLINK("https://i.ytimg.com/vi/fe8uPbC4kwY/default.jpg")</f>
        <v>https://i.ytimg.com/vi/fe8uPbC4kwY/default.jpg</v>
      </c>
      <c r="G649" s="100"/>
      <c r="H649" s="69" t="s">
        <v>2924</v>
      </c>
      <c r="I649" s="70"/>
      <c r="J649" s="104" t="s">
        <v>159</v>
      </c>
      <c r="K649" s="69" t="s">
        <v>2924</v>
      </c>
      <c r="L649" s="105">
        <v>1</v>
      </c>
      <c r="M649" s="74">
        <v>2660.367431640625</v>
      </c>
      <c r="N649" s="74">
        <v>8210.4189453125</v>
      </c>
      <c r="O649" s="75"/>
      <c r="P649" s="76"/>
      <c r="Q649" s="76"/>
      <c r="R649" s="106"/>
      <c r="S649" s="48">
        <v>1</v>
      </c>
      <c r="T649" s="48">
        <v>0</v>
      </c>
      <c r="U649" s="49">
        <v>0</v>
      </c>
      <c r="V649" s="49">
        <v>0.141481</v>
      </c>
      <c r="W649" s="107"/>
      <c r="X649" s="50"/>
      <c r="Y649" s="50"/>
      <c r="Z649" s="49">
        <v>0</v>
      </c>
      <c r="AA649" s="71">
        <v>649</v>
      </c>
      <c r="AB649" s="71"/>
      <c r="AC649" s="72"/>
      <c r="AD649" s="79" t="s">
        <v>2924</v>
      </c>
      <c r="AE649" s="79" t="s">
        <v>3348</v>
      </c>
      <c r="AF649" s="79" t="s">
        <v>1458</v>
      </c>
      <c r="AG649" s="79" t="s">
        <v>1671</v>
      </c>
      <c r="AH649" s="79" t="s">
        <v>4292</v>
      </c>
      <c r="AI649" s="79">
        <v>23</v>
      </c>
      <c r="AJ649" s="79">
        <v>0</v>
      </c>
      <c r="AK649" s="79">
        <v>1</v>
      </c>
      <c r="AL649" s="79">
        <v>0</v>
      </c>
      <c r="AM649" s="79" t="s">
        <v>2092</v>
      </c>
      <c r="AN649" s="114" t="str">
        <f>HYPERLINK("https://www.youtube.com/watch?v=fe8uPbC4kwY")</f>
        <v>https://www.youtube.com/watch?v=fe8uPbC4kwY</v>
      </c>
      <c r="AO649" s="78" t="str">
        <f>REPLACE(INDEX(GroupVertices[Group],MATCH(Vertices[[#This Row],[Vertex]],GroupVertices[Vertex],0)),1,1,"")</f>
        <v>edical Knowledge Online</v>
      </c>
      <c r="AP649" s="2"/>
      <c r="AQ649" s="3"/>
      <c r="AR649" s="3"/>
      <c r="AS649" s="3"/>
      <c r="AT649" s="3"/>
    </row>
    <row r="650" spans="1:46" ht="15">
      <c r="A650" s="64" t="s">
        <v>2451</v>
      </c>
      <c r="B650" s="65"/>
      <c r="C650" s="65"/>
      <c r="D650" s="66">
        <v>150</v>
      </c>
      <c r="E650" s="102">
        <v>97.85714285714286</v>
      </c>
      <c r="F650" s="98" t="str">
        <f>HYPERLINK("https://i.ytimg.com/vi/5_KWN7aeIU0/default.jpg")</f>
        <v>https://i.ytimg.com/vi/5_KWN7aeIU0/default.jpg</v>
      </c>
      <c r="G650" s="100"/>
      <c r="H650" s="69" t="s">
        <v>2925</v>
      </c>
      <c r="I650" s="70"/>
      <c r="J650" s="104" t="s">
        <v>159</v>
      </c>
      <c r="K650" s="69" t="s">
        <v>2925</v>
      </c>
      <c r="L650" s="105">
        <v>1</v>
      </c>
      <c r="M650" s="74">
        <v>3368.8291015625</v>
      </c>
      <c r="N650" s="74">
        <v>8706.744140625</v>
      </c>
      <c r="O650" s="75"/>
      <c r="P650" s="76"/>
      <c r="Q650" s="76"/>
      <c r="R650" s="106"/>
      <c r="S650" s="48">
        <v>1</v>
      </c>
      <c r="T650" s="48">
        <v>0</v>
      </c>
      <c r="U650" s="49">
        <v>0</v>
      </c>
      <c r="V650" s="49">
        <v>0.141481</v>
      </c>
      <c r="W650" s="107"/>
      <c r="X650" s="50"/>
      <c r="Y650" s="50"/>
      <c r="Z650" s="49">
        <v>0</v>
      </c>
      <c r="AA650" s="71">
        <v>650</v>
      </c>
      <c r="AB650" s="71"/>
      <c r="AC650" s="72"/>
      <c r="AD650" s="79" t="s">
        <v>2925</v>
      </c>
      <c r="AE650" s="79" t="s">
        <v>3349</v>
      </c>
      <c r="AF650" s="79" t="s">
        <v>1458</v>
      </c>
      <c r="AG650" s="79" t="s">
        <v>1671</v>
      </c>
      <c r="AH650" s="79" t="s">
        <v>4293</v>
      </c>
      <c r="AI650" s="79">
        <v>36</v>
      </c>
      <c r="AJ650" s="79">
        <v>0</v>
      </c>
      <c r="AK650" s="79">
        <v>2</v>
      </c>
      <c r="AL650" s="79">
        <v>0</v>
      </c>
      <c r="AM650" s="79" t="s">
        <v>2092</v>
      </c>
      <c r="AN650" s="114" t="str">
        <f>HYPERLINK("https://www.youtube.com/watch?v=5_KWN7aeIU0")</f>
        <v>https://www.youtube.com/watch?v=5_KWN7aeIU0</v>
      </c>
      <c r="AO650" s="78" t="str">
        <f>REPLACE(INDEX(GroupVertices[Group],MATCH(Vertices[[#This Row],[Vertex]],GroupVertices[Vertex],0)),1,1,"")</f>
        <v>edical Knowledge Online</v>
      </c>
      <c r="AP650" s="2"/>
      <c r="AQ650" s="3"/>
      <c r="AR650" s="3"/>
      <c r="AS650" s="3"/>
      <c r="AT650" s="3"/>
    </row>
    <row r="651" spans="1:46" ht="15">
      <c r="A651" s="64" t="s">
        <v>2452</v>
      </c>
      <c r="B651" s="65"/>
      <c r="C651" s="65"/>
      <c r="D651" s="66">
        <v>150</v>
      </c>
      <c r="E651" s="102">
        <v>97.85714285714286</v>
      </c>
      <c r="F651" s="98" t="str">
        <f>HYPERLINK("https://i.ytimg.com/vi/Ydxz7Ap7-2g/default.jpg")</f>
        <v>https://i.ytimg.com/vi/Ydxz7Ap7-2g/default.jpg</v>
      </c>
      <c r="G651" s="100"/>
      <c r="H651" s="69" t="s">
        <v>2926</v>
      </c>
      <c r="I651" s="70"/>
      <c r="J651" s="104" t="s">
        <v>159</v>
      </c>
      <c r="K651" s="69" t="s">
        <v>2926</v>
      </c>
      <c r="L651" s="105">
        <v>1</v>
      </c>
      <c r="M651" s="74">
        <v>3218.125732421875</v>
      </c>
      <c r="N651" s="74">
        <v>8843.5185546875</v>
      </c>
      <c r="O651" s="75"/>
      <c r="P651" s="76"/>
      <c r="Q651" s="76"/>
      <c r="R651" s="106"/>
      <c r="S651" s="48">
        <v>1</v>
      </c>
      <c r="T651" s="48">
        <v>0</v>
      </c>
      <c r="U651" s="49">
        <v>0</v>
      </c>
      <c r="V651" s="49">
        <v>0.141481</v>
      </c>
      <c r="W651" s="107"/>
      <c r="X651" s="50"/>
      <c r="Y651" s="50"/>
      <c r="Z651" s="49">
        <v>0</v>
      </c>
      <c r="AA651" s="71">
        <v>651</v>
      </c>
      <c r="AB651" s="71"/>
      <c r="AC651" s="72"/>
      <c r="AD651" s="79" t="s">
        <v>2926</v>
      </c>
      <c r="AE651" s="79" t="s">
        <v>3350</v>
      </c>
      <c r="AF651" s="79" t="s">
        <v>1458</v>
      </c>
      <c r="AG651" s="79" t="s">
        <v>1671</v>
      </c>
      <c r="AH651" s="79" t="s">
        <v>4294</v>
      </c>
      <c r="AI651" s="79">
        <v>12</v>
      </c>
      <c r="AJ651" s="79">
        <v>0</v>
      </c>
      <c r="AK651" s="79">
        <v>1</v>
      </c>
      <c r="AL651" s="79">
        <v>0</v>
      </c>
      <c r="AM651" s="79" t="s">
        <v>2092</v>
      </c>
      <c r="AN651" s="114" t="str">
        <f>HYPERLINK("https://www.youtube.com/watch?v=Ydxz7Ap7-2g")</f>
        <v>https://www.youtube.com/watch?v=Ydxz7Ap7-2g</v>
      </c>
      <c r="AO651" s="78" t="str">
        <f>REPLACE(INDEX(GroupVertices[Group],MATCH(Vertices[[#This Row],[Vertex]],GroupVertices[Vertex],0)),1,1,"")</f>
        <v>edical Knowledge Online</v>
      </c>
      <c r="AP651" s="2"/>
      <c r="AQ651" s="3"/>
      <c r="AR651" s="3"/>
      <c r="AS651" s="3"/>
      <c r="AT651" s="3"/>
    </row>
    <row r="652" spans="1:46" ht="15">
      <c r="A652" s="64" t="s">
        <v>561</v>
      </c>
      <c r="B652" s="65"/>
      <c r="C652" s="65"/>
      <c r="D652" s="66">
        <v>150</v>
      </c>
      <c r="E652" s="102">
        <v>97.85714285714286</v>
      </c>
      <c r="F652" s="98" t="str">
        <f>HYPERLINK("https://i.ytimg.com/vi/c4dGMLuEtAE/default.jpg")</f>
        <v>https://i.ytimg.com/vi/c4dGMLuEtAE/default.jpg</v>
      </c>
      <c r="G652" s="100"/>
      <c r="H652" s="69" t="s">
        <v>985</v>
      </c>
      <c r="I652" s="70"/>
      <c r="J652" s="104" t="s">
        <v>159</v>
      </c>
      <c r="K652" s="69" t="s">
        <v>985</v>
      </c>
      <c r="L652" s="105">
        <v>1</v>
      </c>
      <c r="M652" s="74">
        <v>3475.990234375</v>
      </c>
      <c r="N652" s="74">
        <v>7790.00439453125</v>
      </c>
      <c r="O652" s="75"/>
      <c r="P652" s="76"/>
      <c r="Q652" s="76"/>
      <c r="R652" s="106"/>
      <c r="S652" s="48">
        <v>1</v>
      </c>
      <c r="T652" s="48">
        <v>0</v>
      </c>
      <c r="U652" s="49">
        <v>0</v>
      </c>
      <c r="V652" s="49">
        <v>0.141481</v>
      </c>
      <c r="W652" s="107"/>
      <c r="X652" s="50"/>
      <c r="Y652" s="50"/>
      <c r="Z652" s="49">
        <v>0</v>
      </c>
      <c r="AA652" s="71">
        <v>652</v>
      </c>
      <c r="AB652" s="71"/>
      <c r="AC652" s="72"/>
      <c r="AD652" s="79" t="s">
        <v>985</v>
      </c>
      <c r="AE652" s="79" t="s">
        <v>3351</v>
      </c>
      <c r="AF652" s="79" t="s">
        <v>1458</v>
      </c>
      <c r="AG652" s="79" t="s">
        <v>1671</v>
      </c>
      <c r="AH652" s="79" t="s">
        <v>2041</v>
      </c>
      <c r="AI652" s="79">
        <v>28</v>
      </c>
      <c r="AJ652" s="79">
        <v>0</v>
      </c>
      <c r="AK652" s="79">
        <v>3</v>
      </c>
      <c r="AL652" s="79">
        <v>0</v>
      </c>
      <c r="AM652" s="79" t="s">
        <v>2092</v>
      </c>
      <c r="AN652" s="114" t="str">
        <f>HYPERLINK("https://www.youtube.com/watch?v=c4dGMLuEtAE")</f>
        <v>https://www.youtube.com/watch?v=c4dGMLuEtAE</v>
      </c>
      <c r="AO652" s="78" t="str">
        <f>REPLACE(INDEX(GroupVertices[Group],MATCH(Vertices[[#This Row],[Vertex]],GroupVertices[Vertex],0)),1,1,"")</f>
        <v>edical Knowledge Online</v>
      </c>
      <c r="AP652" s="2"/>
      <c r="AQ652" s="3"/>
      <c r="AR652" s="3"/>
      <c r="AS652" s="3"/>
      <c r="AT652" s="3"/>
    </row>
    <row r="653" spans="1:46" ht="15">
      <c r="A653" s="64" t="s">
        <v>2453</v>
      </c>
      <c r="B653" s="65"/>
      <c r="C653" s="65"/>
      <c r="D653" s="66">
        <v>150</v>
      </c>
      <c r="E653" s="102">
        <v>97.85714285714286</v>
      </c>
      <c r="F653" s="98" t="str">
        <f>HYPERLINK("https://i.ytimg.com/vi/BnCkuogIFJU/default.jpg")</f>
        <v>https://i.ytimg.com/vi/BnCkuogIFJU/default.jpg</v>
      </c>
      <c r="G653" s="100"/>
      <c r="H653" s="69" t="s">
        <v>2927</v>
      </c>
      <c r="I653" s="70"/>
      <c r="J653" s="104" t="s">
        <v>159</v>
      </c>
      <c r="K653" s="69" t="s">
        <v>2927</v>
      </c>
      <c r="L653" s="105">
        <v>1</v>
      </c>
      <c r="M653" s="74">
        <v>3275.450439453125</v>
      </c>
      <c r="N653" s="74">
        <v>8080.77978515625</v>
      </c>
      <c r="O653" s="75"/>
      <c r="P653" s="76"/>
      <c r="Q653" s="76"/>
      <c r="R653" s="106"/>
      <c r="S653" s="48">
        <v>1</v>
      </c>
      <c r="T653" s="48">
        <v>0</v>
      </c>
      <c r="U653" s="49">
        <v>0</v>
      </c>
      <c r="V653" s="49">
        <v>0.141481</v>
      </c>
      <c r="W653" s="107"/>
      <c r="X653" s="50"/>
      <c r="Y653" s="50"/>
      <c r="Z653" s="49">
        <v>0</v>
      </c>
      <c r="AA653" s="71">
        <v>653</v>
      </c>
      <c r="AB653" s="71"/>
      <c r="AC653" s="72"/>
      <c r="AD653" s="79" t="s">
        <v>2927</v>
      </c>
      <c r="AE653" s="79" t="s">
        <v>3352</v>
      </c>
      <c r="AF653" s="79" t="s">
        <v>1458</v>
      </c>
      <c r="AG653" s="79" t="s">
        <v>1671</v>
      </c>
      <c r="AH653" s="79" t="s">
        <v>4295</v>
      </c>
      <c r="AI653" s="79">
        <v>65</v>
      </c>
      <c r="AJ653" s="79">
        <v>0</v>
      </c>
      <c r="AK653" s="79">
        <v>2</v>
      </c>
      <c r="AL653" s="79">
        <v>0</v>
      </c>
      <c r="AM653" s="79" t="s">
        <v>2092</v>
      </c>
      <c r="AN653" s="114" t="str">
        <f>HYPERLINK("https://www.youtube.com/watch?v=BnCkuogIFJU")</f>
        <v>https://www.youtube.com/watch?v=BnCkuogIFJU</v>
      </c>
      <c r="AO653" s="78" t="str">
        <f>REPLACE(INDEX(GroupVertices[Group],MATCH(Vertices[[#This Row],[Vertex]],GroupVertices[Vertex],0)),1,1,"")</f>
        <v>edical Knowledge Online</v>
      </c>
      <c r="AP653" s="2"/>
      <c r="AQ653" s="3"/>
      <c r="AR653" s="3"/>
      <c r="AS653" s="3"/>
      <c r="AT653" s="3"/>
    </row>
    <row r="654" spans="1:46" ht="15">
      <c r="A654" s="64" t="s">
        <v>560</v>
      </c>
      <c r="B654" s="65"/>
      <c r="C654" s="65"/>
      <c r="D654" s="66">
        <v>150</v>
      </c>
      <c r="E654" s="102">
        <v>97.85714285714286</v>
      </c>
      <c r="F654" s="98" t="str">
        <f>HYPERLINK("https://i.ytimg.com/vi/wbCNjOTUNr8/default.jpg")</f>
        <v>https://i.ytimg.com/vi/wbCNjOTUNr8/default.jpg</v>
      </c>
      <c r="G654" s="100"/>
      <c r="H654" s="69" t="s">
        <v>984</v>
      </c>
      <c r="I654" s="70"/>
      <c r="J654" s="104" t="s">
        <v>159</v>
      </c>
      <c r="K654" s="69" t="s">
        <v>984</v>
      </c>
      <c r="L654" s="105">
        <v>1</v>
      </c>
      <c r="M654" s="74">
        <v>3211.572998046875</v>
      </c>
      <c r="N654" s="74">
        <v>7621.7080078125</v>
      </c>
      <c r="O654" s="75"/>
      <c r="P654" s="76"/>
      <c r="Q654" s="76"/>
      <c r="R654" s="106"/>
      <c r="S654" s="48">
        <v>1</v>
      </c>
      <c r="T654" s="48">
        <v>0</v>
      </c>
      <c r="U654" s="49">
        <v>0</v>
      </c>
      <c r="V654" s="49">
        <v>0.141481</v>
      </c>
      <c r="W654" s="107"/>
      <c r="X654" s="50"/>
      <c r="Y654" s="50"/>
      <c r="Z654" s="49">
        <v>0</v>
      </c>
      <c r="AA654" s="71">
        <v>654</v>
      </c>
      <c r="AB654" s="71"/>
      <c r="AC654" s="72"/>
      <c r="AD654" s="79" t="s">
        <v>984</v>
      </c>
      <c r="AE654" s="79" t="s">
        <v>3353</v>
      </c>
      <c r="AF654" s="79" t="s">
        <v>1458</v>
      </c>
      <c r="AG654" s="79" t="s">
        <v>1671</v>
      </c>
      <c r="AH654" s="79" t="s">
        <v>2040</v>
      </c>
      <c r="AI654" s="79">
        <v>33</v>
      </c>
      <c r="AJ654" s="79">
        <v>0</v>
      </c>
      <c r="AK654" s="79">
        <v>2</v>
      </c>
      <c r="AL654" s="79">
        <v>0</v>
      </c>
      <c r="AM654" s="79" t="s">
        <v>2092</v>
      </c>
      <c r="AN654" s="114" t="str">
        <f>HYPERLINK("https://www.youtube.com/watch?v=wbCNjOTUNr8")</f>
        <v>https://www.youtube.com/watch?v=wbCNjOTUNr8</v>
      </c>
      <c r="AO654" s="78" t="str">
        <f>REPLACE(INDEX(GroupVertices[Group],MATCH(Vertices[[#This Row],[Vertex]],GroupVertices[Vertex],0)),1,1,"")</f>
        <v>edical Knowledge Online</v>
      </c>
      <c r="AP654" s="2"/>
      <c r="AQ654" s="3"/>
      <c r="AR654" s="3"/>
      <c r="AS654" s="3"/>
      <c r="AT654" s="3"/>
    </row>
    <row r="655" spans="1:46" ht="15">
      <c r="A655" s="64" t="s">
        <v>566</v>
      </c>
      <c r="B655" s="65"/>
      <c r="C655" s="65"/>
      <c r="D655" s="66">
        <v>150</v>
      </c>
      <c r="E655" s="102">
        <v>97.85714285714286</v>
      </c>
      <c r="F655" s="98" t="str">
        <f>HYPERLINK("https://i.ytimg.com/vi/W5nH0F_LFNI/default.jpg")</f>
        <v>https://i.ytimg.com/vi/W5nH0F_LFNI/default.jpg</v>
      </c>
      <c r="G655" s="100"/>
      <c r="H655" s="69" t="s">
        <v>990</v>
      </c>
      <c r="I655" s="70"/>
      <c r="J655" s="104" t="s">
        <v>159</v>
      </c>
      <c r="K655" s="69" t="s">
        <v>990</v>
      </c>
      <c r="L655" s="105">
        <v>1</v>
      </c>
      <c r="M655" s="74">
        <v>3947.174560546875</v>
      </c>
      <c r="N655" s="74">
        <v>8181.59619140625</v>
      </c>
      <c r="O655" s="75"/>
      <c r="P655" s="76"/>
      <c r="Q655" s="76"/>
      <c r="R655" s="106"/>
      <c r="S655" s="48">
        <v>1</v>
      </c>
      <c r="T655" s="48">
        <v>0</v>
      </c>
      <c r="U655" s="49">
        <v>0</v>
      </c>
      <c r="V655" s="49">
        <v>0.141481</v>
      </c>
      <c r="W655" s="107"/>
      <c r="X655" s="50"/>
      <c r="Y655" s="50"/>
      <c r="Z655" s="49">
        <v>0</v>
      </c>
      <c r="AA655" s="71">
        <v>655</v>
      </c>
      <c r="AB655" s="71"/>
      <c r="AC655" s="72"/>
      <c r="AD655" s="79" t="s">
        <v>990</v>
      </c>
      <c r="AE655" s="79" t="s">
        <v>3354</v>
      </c>
      <c r="AF655" s="79" t="s">
        <v>1459</v>
      </c>
      <c r="AG655" s="79" t="s">
        <v>1671</v>
      </c>
      <c r="AH655" s="79" t="s">
        <v>2046</v>
      </c>
      <c r="AI655" s="79">
        <v>73</v>
      </c>
      <c r="AJ655" s="79">
        <v>0</v>
      </c>
      <c r="AK655" s="79">
        <v>2</v>
      </c>
      <c r="AL655" s="79">
        <v>0</v>
      </c>
      <c r="AM655" s="79" t="s">
        <v>2092</v>
      </c>
      <c r="AN655" s="114" t="str">
        <f>HYPERLINK("https://www.youtube.com/watch?v=W5nH0F_LFNI")</f>
        <v>https://www.youtube.com/watch?v=W5nH0F_LFNI</v>
      </c>
      <c r="AO655" s="78" t="str">
        <f>REPLACE(INDEX(GroupVertices[Group],MATCH(Vertices[[#This Row],[Vertex]],GroupVertices[Vertex],0)),1,1,"")</f>
        <v>edical Knowledge Online</v>
      </c>
      <c r="AP655" s="2"/>
      <c r="AQ655" s="3"/>
      <c r="AR655" s="3"/>
      <c r="AS655" s="3"/>
      <c r="AT655" s="3"/>
    </row>
    <row r="656" spans="1:46" ht="15">
      <c r="A656" s="64" t="s">
        <v>565</v>
      </c>
      <c r="B656" s="65"/>
      <c r="C656" s="65"/>
      <c r="D656" s="66">
        <v>150</v>
      </c>
      <c r="E656" s="102">
        <v>97.85714285714286</v>
      </c>
      <c r="F656" s="98" t="str">
        <f>HYPERLINK("https://i.ytimg.com/vi/WJiVJueiuog/default.jpg")</f>
        <v>https://i.ytimg.com/vi/WJiVJueiuog/default.jpg</v>
      </c>
      <c r="G656" s="100"/>
      <c r="H656" s="69" t="s">
        <v>989</v>
      </c>
      <c r="I656" s="70"/>
      <c r="J656" s="104" t="s">
        <v>159</v>
      </c>
      <c r="K656" s="69" t="s">
        <v>989</v>
      </c>
      <c r="L656" s="105">
        <v>1</v>
      </c>
      <c r="M656" s="74">
        <v>2881.925537109375</v>
      </c>
      <c r="N656" s="74">
        <v>8803.0537109375</v>
      </c>
      <c r="O656" s="75"/>
      <c r="P656" s="76"/>
      <c r="Q656" s="76"/>
      <c r="R656" s="106"/>
      <c r="S656" s="48">
        <v>1</v>
      </c>
      <c r="T656" s="48">
        <v>0</v>
      </c>
      <c r="U656" s="49">
        <v>0</v>
      </c>
      <c r="V656" s="49">
        <v>0.141481</v>
      </c>
      <c r="W656" s="107"/>
      <c r="X656" s="50"/>
      <c r="Y656" s="50"/>
      <c r="Z656" s="49">
        <v>0</v>
      </c>
      <c r="AA656" s="71">
        <v>656</v>
      </c>
      <c r="AB656" s="71"/>
      <c r="AC656" s="72"/>
      <c r="AD656" s="79" t="s">
        <v>989</v>
      </c>
      <c r="AE656" s="79" t="s">
        <v>3355</v>
      </c>
      <c r="AF656" s="79"/>
      <c r="AG656" s="79" t="s">
        <v>1671</v>
      </c>
      <c r="AH656" s="79" t="s">
        <v>2045</v>
      </c>
      <c r="AI656" s="79">
        <v>25</v>
      </c>
      <c r="AJ656" s="79">
        <v>0</v>
      </c>
      <c r="AK656" s="79">
        <v>1</v>
      </c>
      <c r="AL656" s="79">
        <v>0</v>
      </c>
      <c r="AM656" s="79" t="s">
        <v>2092</v>
      </c>
      <c r="AN656" s="114" t="str">
        <f>HYPERLINK("https://www.youtube.com/watch?v=WJiVJueiuog")</f>
        <v>https://www.youtube.com/watch?v=WJiVJueiuog</v>
      </c>
      <c r="AO656" s="78" t="str">
        <f>REPLACE(INDEX(GroupVertices[Group],MATCH(Vertices[[#This Row],[Vertex]],GroupVertices[Vertex],0)),1,1,"")</f>
        <v>edical Knowledge Online</v>
      </c>
      <c r="AP656" s="2"/>
      <c r="AQ656" s="3"/>
      <c r="AR656" s="3"/>
      <c r="AS656" s="3"/>
      <c r="AT656" s="3"/>
    </row>
    <row r="657" spans="1:46" ht="15">
      <c r="A657" s="64" t="s">
        <v>2454</v>
      </c>
      <c r="B657" s="65"/>
      <c r="C657" s="65"/>
      <c r="D657" s="66">
        <v>150</v>
      </c>
      <c r="E657" s="102">
        <v>97.85714285714286</v>
      </c>
      <c r="F657" s="98" t="str">
        <f>HYPERLINK("https://i.ytimg.com/vi/LXIDVOtYdqk/default.jpg")</f>
        <v>https://i.ytimg.com/vi/LXIDVOtYdqk/default.jpg</v>
      </c>
      <c r="G657" s="100"/>
      <c r="H657" s="69" t="s">
        <v>2928</v>
      </c>
      <c r="I657" s="70"/>
      <c r="J657" s="104" t="s">
        <v>159</v>
      </c>
      <c r="K657" s="69" t="s">
        <v>2928</v>
      </c>
      <c r="L657" s="105">
        <v>1</v>
      </c>
      <c r="M657" s="74">
        <v>2908.89306640625</v>
      </c>
      <c r="N657" s="74">
        <v>7803.83251953125</v>
      </c>
      <c r="O657" s="75"/>
      <c r="P657" s="76"/>
      <c r="Q657" s="76"/>
      <c r="R657" s="106"/>
      <c r="S657" s="48">
        <v>1</v>
      </c>
      <c r="T657" s="48">
        <v>0</v>
      </c>
      <c r="U657" s="49">
        <v>0</v>
      </c>
      <c r="V657" s="49">
        <v>0.141481</v>
      </c>
      <c r="W657" s="107"/>
      <c r="X657" s="50"/>
      <c r="Y657" s="50"/>
      <c r="Z657" s="49">
        <v>0</v>
      </c>
      <c r="AA657" s="71">
        <v>657</v>
      </c>
      <c r="AB657" s="71"/>
      <c r="AC657" s="72"/>
      <c r="AD657" s="79" t="s">
        <v>2928</v>
      </c>
      <c r="AE657" s="79" t="s">
        <v>3356</v>
      </c>
      <c r="AF657" s="79" t="s">
        <v>1458</v>
      </c>
      <c r="AG657" s="79" t="s">
        <v>1671</v>
      </c>
      <c r="AH657" s="79" t="s">
        <v>4296</v>
      </c>
      <c r="AI657" s="79">
        <v>136</v>
      </c>
      <c r="AJ657" s="79">
        <v>0</v>
      </c>
      <c r="AK657" s="79">
        <v>3</v>
      </c>
      <c r="AL657" s="79">
        <v>0</v>
      </c>
      <c r="AM657" s="79" t="s">
        <v>2092</v>
      </c>
      <c r="AN657" s="114" t="str">
        <f>HYPERLINK("https://www.youtube.com/watch?v=LXIDVOtYdqk")</f>
        <v>https://www.youtube.com/watch?v=LXIDVOtYdqk</v>
      </c>
      <c r="AO657" s="78" t="str">
        <f>REPLACE(INDEX(GroupVertices[Group],MATCH(Vertices[[#This Row],[Vertex]],GroupVertices[Vertex],0)),1,1,"")</f>
        <v>edical Knowledge Online</v>
      </c>
      <c r="AP657" s="2"/>
      <c r="AQ657" s="3"/>
      <c r="AR657" s="3"/>
      <c r="AS657" s="3"/>
      <c r="AT657" s="3"/>
    </row>
    <row r="658" spans="1:46" ht="15">
      <c r="A658" s="64" t="s">
        <v>2455</v>
      </c>
      <c r="B658" s="65"/>
      <c r="C658" s="65"/>
      <c r="D658" s="66">
        <v>150</v>
      </c>
      <c r="E658" s="102">
        <v>97.85714285714286</v>
      </c>
      <c r="F658" s="98" t="str">
        <f>HYPERLINK("https://i.ytimg.com/vi/zWZRBh2NIz8/default.jpg")</f>
        <v>https://i.ytimg.com/vi/zWZRBh2NIz8/default.jpg</v>
      </c>
      <c r="G658" s="100"/>
      <c r="H658" s="69" t="s">
        <v>2929</v>
      </c>
      <c r="I658" s="70"/>
      <c r="J658" s="104" t="s">
        <v>159</v>
      </c>
      <c r="K658" s="69" t="s">
        <v>2929</v>
      </c>
      <c r="L658" s="105">
        <v>1</v>
      </c>
      <c r="M658" s="74">
        <v>3724.40283203125</v>
      </c>
      <c r="N658" s="74">
        <v>7542.34912109375</v>
      </c>
      <c r="O658" s="75"/>
      <c r="P658" s="76"/>
      <c r="Q658" s="76"/>
      <c r="R658" s="106"/>
      <c r="S658" s="48">
        <v>1</v>
      </c>
      <c r="T658" s="48">
        <v>0</v>
      </c>
      <c r="U658" s="49">
        <v>0</v>
      </c>
      <c r="V658" s="49">
        <v>0.141481</v>
      </c>
      <c r="W658" s="107"/>
      <c r="X658" s="50"/>
      <c r="Y658" s="50"/>
      <c r="Z658" s="49">
        <v>0</v>
      </c>
      <c r="AA658" s="71">
        <v>658</v>
      </c>
      <c r="AB658" s="71"/>
      <c r="AC658" s="72"/>
      <c r="AD658" s="79" t="s">
        <v>2929</v>
      </c>
      <c r="AE658" s="79" t="s">
        <v>3357</v>
      </c>
      <c r="AF658" s="79" t="s">
        <v>1458</v>
      </c>
      <c r="AG658" s="79" t="s">
        <v>1671</v>
      </c>
      <c r="AH658" s="79" t="s">
        <v>4297</v>
      </c>
      <c r="AI658" s="79">
        <v>18</v>
      </c>
      <c r="AJ658" s="79">
        <v>0</v>
      </c>
      <c r="AK658" s="79">
        <v>1</v>
      </c>
      <c r="AL658" s="79">
        <v>0</v>
      </c>
      <c r="AM658" s="79" t="s">
        <v>2092</v>
      </c>
      <c r="AN658" s="114" t="str">
        <f>HYPERLINK("https://www.youtube.com/watch?v=zWZRBh2NIz8")</f>
        <v>https://www.youtube.com/watch?v=zWZRBh2NIz8</v>
      </c>
      <c r="AO658" s="78" t="str">
        <f>REPLACE(INDEX(GroupVertices[Group],MATCH(Vertices[[#This Row],[Vertex]],GroupVertices[Vertex],0)),1,1,"")</f>
        <v>edical Knowledge Online</v>
      </c>
      <c r="AP658" s="2"/>
      <c r="AQ658" s="3"/>
      <c r="AR658" s="3"/>
      <c r="AS658" s="3"/>
      <c r="AT658" s="3"/>
    </row>
    <row r="659" spans="1:46" ht="15">
      <c r="A659" s="64" t="s">
        <v>568</v>
      </c>
      <c r="B659" s="65"/>
      <c r="C659" s="65"/>
      <c r="D659" s="66">
        <v>150</v>
      </c>
      <c r="E659" s="102">
        <v>97.85714285714286</v>
      </c>
      <c r="F659" s="98" t="str">
        <f>HYPERLINK("https://i.ytimg.com/vi/QsS1YiTSiEo/default.jpg")</f>
        <v>https://i.ytimg.com/vi/QsS1YiTSiEo/default.jpg</v>
      </c>
      <c r="G659" s="100"/>
      <c r="H659" s="69" t="s">
        <v>992</v>
      </c>
      <c r="I659" s="70"/>
      <c r="J659" s="104" t="s">
        <v>159</v>
      </c>
      <c r="K659" s="69" t="s">
        <v>992</v>
      </c>
      <c r="L659" s="105">
        <v>1</v>
      </c>
      <c r="M659" s="74">
        <v>4084.741943359375</v>
      </c>
      <c r="N659" s="74">
        <v>7663.3671875</v>
      </c>
      <c r="O659" s="75"/>
      <c r="P659" s="76"/>
      <c r="Q659" s="76"/>
      <c r="R659" s="106"/>
      <c r="S659" s="48">
        <v>1</v>
      </c>
      <c r="T659" s="48">
        <v>0</v>
      </c>
      <c r="U659" s="49">
        <v>0</v>
      </c>
      <c r="V659" s="49">
        <v>0.141481</v>
      </c>
      <c r="W659" s="107"/>
      <c r="X659" s="50"/>
      <c r="Y659" s="50"/>
      <c r="Z659" s="49">
        <v>0</v>
      </c>
      <c r="AA659" s="71">
        <v>659</v>
      </c>
      <c r="AB659" s="71"/>
      <c r="AC659" s="72"/>
      <c r="AD659" s="79" t="s">
        <v>992</v>
      </c>
      <c r="AE659" s="79" t="s">
        <v>3358</v>
      </c>
      <c r="AF659" s="79" t="s">
        <v>1458</v>
      </c>
      <c r="AG659" s="79" t="s">
        <v>1671</v>
      </c>
      <c r="AH659" s="79" t="s">
        <v>2048</v>
      </c>
      <c r="AI659" s="79">
        <v>123</v>
      </c>
      <c r="AJ659" s="79">
        <v>0</v>
      </c>
      <c r="AK659" s="79">
        <v>4</v>
      </c>
      <c r="AL659" s="79">
        <v>0</v>
      </c>
      <c r="AM659" s="79" t="s">
        <v>2092</v>
      </c>
      <c r="AN659" s="114" t="str">
        <f>HYPERLINK("https://www.youtube.com/watch?v=QsS1YiTSiEo")</f>
        <v>https://www.youtube.com/watch?v=QsS1YiTSiEo</v>
      </c>
      <c r="AO659" s="78" t="str">
        <f>REPLACE(INDEX(GroupVertices[Group],MATCH(Vertices[[#This Row],[Vertex]],GroupVertices[Vertex],0)),1,1,"")</f>
        <v>edical Knowledge Online</v>
      </c>
      <c r="AP659" s="2"/>
      <c r="AQ659" s="3"/>
      <c r="AR659" s="3"/>
      <c r="AS659" s="3"/>
      <c r="AT659" s="3"/>
    </row>
    <row r="660" spans="1:46" ht="15">
      <c r="A660" s="64" t="s">
        <v>567</v>
      </c>
      <c r="B660" s="65"/>
      <c r="C660" s="65"/>
      <c r="D660" s="66">
        <v>150</v>
      </c>
      <c r="E660" s="102">
        <v>97.85714285714286</v>
      </c>
      <c r="F660" s="98" t="str">
        <f>HYPERLINK("https://i.ytimg.com/vi/ZjM6wXLfiQM/default.jpg")</f>
        <v>https://i.ytimg.com/vi/ZjM6wXLfiQM/default.jpg</v>
      </c>
      <c r="G660" s="100"/>
      <c r="H660" s="69" t="s">
        <v>991</v>
      </c>
      <c r="I660" s="70"/>
      <c r="J660" s="104" t="s">
        <v>159</v>
      </c>
      <c r="K660" s="69" t="s">
        <v>991</v>
      </c>
      <c r="L660" s="105">
        <v>1</v>
      </c>
      <c r="M660" s="74">
        <v>2662.509765625</v>
      </c>
      <c r="N660" s="74">
        <v>8523.34765625</v>
      </c>
      <c r="O660" s="75"/>
      <c r="P660" s="76"/>
      <c r="Q660" s="76"/>
      <c r="R660" s="106"/>
      <c r="S660" s="48">
        <v>1</v>
      </c>
      <c r="T660" s="48">
        <v>0</v>
      </c>
      <c r="U660" s="49">
        <v>0</v>
      </c>
      <c r="V660" s="49">
        <v>0.141481</v>
      </c>
      <c r="W660" s="107"/>
      <c r="X660" s="50"/>
      <c r="Y660" s="50"/>
      <c r="Z660" s="49">
        <v>0</v>
      </c>
      <c r="AA660" s="71">
        <v>660</v>
      </c>
      <c r="AB660" s="71"/>
      <c r="AC660" s="72"/>
      <c r="AD660" s="79" t="s">
        <v>991</v>
      </c>
      <c r="AE660" s="79" t="s">
        <v>3359</v>
      </c>
      <c r="AF660" s="79" t="s">
        <v>1458</v>
      </c>
      <c r="AG660" s="79" t="s">
        <v>1671</v>
      </c>
      <c r="AH660" s="79" t="s">
        <v>2047</v>
      </c>
      <c r="AI660" s="79">
        <v>4</v>
      </c>
      <c r="AJ660" s="79">
        <v>0</v>
      </c>
      <c r="AK660" s="79">
        <v>1</v>
      </c>
      <c r="AL660" s="79">
        <v>0</v>
      </c>
      <c r="AM660" s="79" t="s">
        <v>2092</v>
      </c>
      <c r="AN660" s="114" t="str">
        <f>HYPERLINK("https://www.youtube.com/watch?v=ZjM6wXLfiQM")</f>
        <v>https://www.youtube.com/watch?v=ZjM6wXLfiQM</v>
      </c>
      <c r="AO660" s="78" t="str">
        <f>REPLACE(INDEX(GroupVertices[Group],MATCH(Vertices[[#This Row],[Vertex]],GroupVertices[Vertex],0)),1,1,"")</f>
        <v>edical Knowledge Online</v>
      </c>
      <c r="AP660" s="2"/>
      <c r="AQ660" s="3"/>
      <c r="AR660" s="3"/>
      <c r="AS660" s="3"/>
      <c r="AT660" s="3"/>
    </row>
    <row r="661" spans="1:46" ht="15">
      <c r="A661" s="64" t="s">
        <v>569</v>
      </c>
      <c r="B661" s="65"/>
      <c r="C661" s="65"/>
      <c r="D661" s="66">
        <v>150</v>
      </c>
      <c r="E661" s="102">
        <v>97.85714285714286</v>
      </c>
      <c r="F661" s="98" t="str">
        <f>HYPERLINK("https://i.ytimg.com/vi/x0XrskV86HU/default.jpg")</f>
        <v>https://i.ytimg.com/vi/x0XrskV86HU/default.jpg</v>
      </c>
      <c r="G661" s="100"/>
      <c r="H661" s="69" t="s">
        <v>993</v>
      </c>
      <c r="I661" s="70"/>
      <c r="J661" s="104" t="s">
        <v>159</v>
      </c>
      <c r="K661" s="69" t="s">
        <v>993</v>
      </c>
      <c r="L661" s="105">
        <v>1</v>
      </c>
      <c r="M661" s="74">
        <v>3039.33935546875</v>
      </c>
      <c r="N661" s="74">
        <v>7956.8125</v>
      </c>
      <c r="O661" s="75"/>
      <c r="P661" s="76"/>
      <c r="Q661" s="76"/>
      <c r="R661" s="106"/>
      <c r="S661" s="48">
        <v>1</v>
      </c>
      <c r="T661" s="48">
        <v>0</v>
      </c>
      <c r="U661" s="49">
        <v>0</v>
      </c>
      <c r="V661" s="49">
        <v>0.141481</v>
      </c>
      <c r="W661" s="107"/>
      <c r="X661" s="50"/>
      <c r="Y661" s="50"/>
      <c r="Z661" s="49">
        <v>0</v>
      </c>
      <c r="AA661" s="71">
        <v>661</v>
      </c>
      <c r="AB661" s="71"/>
      <c r="AC661" s="72"/>
      <c r="AD661" s="79" t="s">
        <v>993</v>
      </c>
      <c r="AE661" s="79" t="s">
        <v>3360</v>
      </c>
      <c r="AF661" s="79" t="s">
        <v>1460</v>
      </c>
      <c r="AG661" s="79" t="s">
        <v>1671</v>
      </c>
      <c r="AH661" s="79" t="s">
        <v>2049</v>
      </c>
      <c r="AI661" s="79">
        <v>13</v>
      </c>
      <c r="AJ661" s="79">
        <v>0</v>
      </c>
      <c r="AK661" s="79">
        <v>2</v>
      </c>
      <c r="AL661" s="79">
        <v>0</v>
      </c>
      <c r="AM661" s="79" t="s">
        <v>2092</v>
      </c>
      <c r="AN661" s="114" t="str">
        <f>HYPERLINK("https://www.youtube.com/watch?v=x0XrskV86HU")</f>
        <v>https://www.youtube.com/watch?v=x0XrskV86HU</v>
      </c>
      <c r="AO661" s="78" t="str">
        <f>REPLACE(INDEX(GroupVertices[Group],MATCH(Vertices[[#This Row],[Vertex]],GroupVertices[Vertex],0)),1,1,"")</f>
        <v>edical Knowledge Online</v>
      </c>
      <c r="AP661" s="2"/>
      <c r="AQ661" s="3"/>
      <c r="AR661" s="3"/>
      <c r="AS661" s="3"/>
      <c r="AT661" s="3"/>
    </row>
    <row r="662" spans="1:46" ht="15">
      <c r="A662" s="64" t="s">
        <v>2456</v>
      </c>
      <c r="B662" s="65"/>
      <c r="C662" s="65"/>
      <c r="D662" s="66">
        <v>150</v>
      </c>
      <c r="E662" s="102">
        <v>97.85714285714286</v>
      </c>
      <c r="F662" s="98" t="str">
        <f>HYPERLINK("https://i.ytimg.com/vi/dkkJhGifbHo/default.jpg")</f>
        <v>https://i.ytimg.com/vi/dkkJhGifbHo/default.jpg</v>
      </c>
      <c r="G662" s="100"/>
      <c r="H662" s="69" t="s">
        <v>2930</v>
      </c>
      <c r="I662" s="70"/>
      <c r="J662" s="104" t="s">
        <v>159</v>
      </c>
      <c r="K662" s="69" t="s">
        <v>2930</v>
      </c>
      <c r="L662" s="105">
        <v>1</v>
      </c>
      <c r="M662" s="74">
        <v>9865.14453125</v>
      </c>
      <c r="N662" s="74">
        <v>9220.880859375</v>
      </c>
      <c r="O662" s="75"/>
      <c r="P662" s="76"/>
      <c r="Q662" s="76"/>
      <c r="R662" s="106"/>
      <c r="S662" s="48">
        <v>1</v>
      </c>
      <c r="T662" s="48">
        <v>0</v>
      </c>
      <c r="U662" s="49">
        <v>0</v>
      </c>
      <c r="V662" s="49">
        <v>0.138653</v>
      </c>
      <c r="W662" s="107"/>
      <c r="X662" s="50"/>
      <c r="Y662" s="50"/>
      <c r="Z662" s="49">
        <v>0</v>
      </c>
      <c r="AA662" s="71">
        <v>662</v>
      </c>
      <c r="AB662" s="71"/>
      <c r="AC662" s="72"/>
      <c r="AD662" s="79" t="s">
        <v>2930</v>
      </c>
      <c r="AE662" s="79" t="s">
        <v>3361</v>
      </c>
      <c r="AF662" s="79" t="s">
        <v>3629</v>
      </c>
      <c r="AG662" s="79" t="s">
        <v>3886</v>
      </c>
      <c r="AH662" s="79" t="s">
        <v>4298</v>
      </c>
      <c r="AI662" s="79">
        <v>113311</v>
      </c>
      <c r="AJ662" s="79">
        <v>0</v>
      </c>
      <c r="AK662" s="79">
        <v>580</v>
      </c>
      <c r="AL662" s="79">
        <v>0</v>
      </c>
      <c r="AM662" s="79" t="s">
        <v>2092</v>
      </c>
      <c r="AN662" s="114" t="str">
        <f>HYPERLINK("https://www.youtube.com/watch?v=dkkJhGifbHo")</f>
        <v>https://www.youtube.com/watch?v=dkkJhGifbHo</v>
      </c>
      <c r="AO662" s="78" t="str">
        <f>REPLACE(INDEX(GroupVertices[Group],MATCH(Vertices[[#This Row],[Vertex]],GroupVertices[Vertex],0)),1,1,"")</f>
        <v>mile and Learn - English</v>
      </c>
      <c r="AP662" s="2"/>
      <c r="AQ662" s="3"/>
      <c r="AR662" s="3"/>
      <c r="AS662" s="3"/>
      <c r="AT662" s="3"/>
    </row>
    <row r="663" spans="1:46" ht="15">
      <c r="A663" s="64" t="s">
        <v>2457</v>
      </c>
      <c r="B663" s="65"/>
      <c r="C663" s="65"/>
      <c r="D663" s="66">
        <v>150</v>
      </c>
      <c r="E663" s="102">
        <v>95.71428571428571</v>
      </c>
      <c r="F663" s="98" t="str">
        <f>HYPERLINK("https://i.ytimg.com/vi/DgDR_gYk_a8/default.jpg")</f>
        <v>https://i.ytimg.com/vi/DgDR_gYk_a8/default.jpg</v>
      </c>
      <c r="G663" s="100"/>
      <c r="H663" s="69" t="s">
        <v>2931</v>
      </c>
      <c r="I663" s="70"/>
      <c r="J663" s="104" t="s">
        <v>75</v>
      </c>
      <c r="K663" s="69" t="s">
        <v>2931</v>
      </c>
      <c r="L663" s="105">
        <v>1788.71668207398</v>
      </c>
      <c r="M663" s="74">
        <v>9005.9423828125</v>
      </c>
      <c r="N663" s="74">
        <v>8774.244140625</v>
      </c>
      <c r="O663" s="75"/>
      <c r="P663" s="76"/>
      <c r="Q663" s="76"/>
      <c r="R663" s="106"/>
      <c r="S663" s="48">
        <v>2</v>
      </c>
      <c r="T663" s="48">
        <v>0</v>
      </c>
      <c r="U663" s="49">
        <v>24971.965645</v>
      </c>
      <c r="V663" s="49">
        <v>0.190015</v>
      </c>
      <c r="W663" s="107"/>
      <c r="X663" s="50"/>
      <c r="Y663" s="50"/>
      <c r="Z663" s="49">
        <v>0</v>
      </c>
      <c r="AA663" s="71">
        <v>663</v>
      </c>
      <c r="AB663" s="71"/>
      <c r="AC663" s="72"/>
      <c r="AD663" s="79" t="s">
        <v>2931</v>
      </c>
      <c r="AE663" s="79" t="s">
        <v>3362</v>
      </c>
      <c r="AF663" s="79" t="s">
        <v>3630</v>
      </c>
      <c r="AG663" s="79" t="s">
        <v>3887</v>
      </c>
      <c r="AH663" s="79" t="s">
        <v>4299</v>
      </c>
      <c r="AI663" s="79">
        <v>1324789</v>
      </c>
      <c r="AJ663" s="79">
        <v>1511</v>
      </c>
      <c r="AK663" s="79">
        <v>11541</v>
      </c>
      <c r="AL663" s="79">
        <v>0</v>
      </c>
      <c r="AM663" s="79" t="s">
        <v>2092</v>
      </c>
      <c r="AN663" s="114" t="str">
        <f>HYPERLINK("https://www.youtube.com/watch?v=DgDR_gYk_a8")</f>
        <v>https://www.youtube.com/watch?v=DgDR_gYk_a8</v>
      </c>
      <c r="AO663" s="78" t="str">
        <f>REPLACE(INDEX(GroupVertices[Group],MATCH(Vertices[[#This Row],[Vertex]],GroupVertices[Vertex],0)),1,1,"")</f>
        <v>ational Autistic Society</v>
      </c>
      <c r="AP663" s="2"/>
      <c r="AQ663" s="3"/>
      <c r="AR663" s="3"/>
      <c r="AS663" s="3"/>
      <c r="AT663" s="3"/>
    </row>
    <row r="664" spans="1:46" ht="15">
      <c r="A664" s="64" t="s">
        <v>2458</v>
      </c>
      <c r="B664" s="65"/>
      <c r="C664" s="65"/>
      <c r="D664" s="66">
        <v>150</v>
      </c>
      <c r="E664" s="102">
        <v>95.71428571428571</v>
      </c>
      <c r="F664" s="98" t="str">
        <f>HYPERLINK("https://i.ytimg.com/vi/2arNKLWYu40/default.jpg")</f>
        <v>https://i.ytimg.com/vi/2arNKLWYu40/default.jpg</v>
      </c>
      <c r="G664" s="100"/>
      <c r="H664" s="69" t="s">
        <v>2932</v>
      </c>
      <c r="I664" s="70"/>
      <c r="J664" s="104" t="s">
        <v>75</v>
      </c>
      <c r="K664" s="69" t="s">
        <v>2932</v>
      </c>
      <c r="L664" s="105">
        <v>1788.71668207398</v>
      </c>
      <c r="M664" s="74">
        <v>8980.68359375</v>
      </c>
      <c r="N664" s="74">
        <v>9051.96484375</v>
      </c>
      <c r="O664" s="75"/>
      <c r="P664" s="76"/>
      <c r="Q664" s="76"/>
      <c r="R664" s="106"/>
      <c r="S664" s="48">
        <v>2</v>
      </c>
      <c r="T664" s="48">
        <v>0</v>
      </c>
      <c r="U664" s="49">
        <v>24971.965645</v>
      </c>
      <c r="V664" s="49">
        <v>0.190015</v>
      </c>
      <c r="W664" s="107"/>
      <c r="X664" s="50"/>
      <c r="Y664" s="50"/>
      <c r="Z664" s="49">
        <v>0</v>
      </c>
      <c r="AA664" s="71">
        <v>664</v>
      </c>
      <c r="AB664" s="71"/>
      <c r="AC664" s="72"/>
      <c r="AD664" s="79" t="s">
        <v>2932</v>
      </c>
      <c r="AE664" s="79" t="s">
        <v>3363</v>
      </c>
      <c r="AF664" s="79" t="s">
        <v>3631</v>
      </c>
      <c r="AG664" s="79" t="s">
        <v>3888</v>
      </c>
      <c r="AH664" s="79" t="s">
        <v>4300</v>
      </c>
      <c r="AI664" s="79">
        <v>235253</v>
      </c>
      <c r="AJ664" s="79">
        <v>861</v>
      </c>
      <c r="AK664" s="79">
        <v>4261</v>
      </c>
      <c r="AL664" s="79">
        <v>0</v>
      </c>
      <c r="AM664" s="79" t="s">
        <v>2092</v>
      </c>
      <c r="AN664" s="114" t="str">
        <f>HYPERLINK("https://www.youtube.com/watch?v=2arNKLWYu40")</f>
        <v>https://www.youtube.com/watch?v=2arNKLWYu40</v>
      </c>
      <c r="AO664" s="78" t="str">
        <f>REPLACE(INDEX(GroupVertices[Group],MATCH(Vertices[[#This Row],[Vertex]],GroupVertices[Vertex],0)),1,1,"")</f>
        <v>lex Kladny</v>
      </c>
      <c r="AP664" s="2"/>
      <c r="AQ664" s="3"/>
      <c r="AR664" s="3"/>
      <c r="AS664" s="3"/>
      <c r="AT664" s="3"/>
    </row>
    <row r="665" spans="1:46" ht="15">
      <c r="A665" s="64" t="s">
        <v>573</v>
      </c>
      <c r="B665" s="65"/>
      <c r="C665" s="65"/>
      <c r="D665" s="66">
        <v>150</v>
      </c>
      <c r="E665" s="102">
        <v>97.85714285714286</v>
      </c>
      <c r="F665" s="98" t="str">
        <f>HYPERLINK("https://i.ytimg.com/vi/T9-VtJ_GmzM/default.jpg")</f>
        <v>https://i.ytimg.com/vi/T9-VtJ_GmzM/default.jpg</v>
      </c>
      <c r="G665" s="100"/>
      <c r="H665" s="69" t="s">
        <v>997</v>
      </c>
      <c r="I665" s="70"/>
      <c r="J665" s="104" t="s">
        <v>159</v>
      </c>
      <c r="K665" s="69" t="s">
        <v>997</v>
      </c>
      <c r="L665" s="105">
        <v>1</v>
      </c>
      <c r="M665" s="74">
        <v>2503.096435546875</v>
      </c>
      <c r="N665" s="74">
        <v>4605.13330078125</v>
      </c>
      <c r="O665" s="75"/>
      <c r="P665" s="76"/>
      <c r="Q665" s="76"/>
      <c r="R665" s="106"/>
      <c r="S665" s="48">
        <v>1</v>
      </c>
      <c r="T665" s="48">
        <v>0</v>
      </c>
      <c r="U665" s="49">
        <v>0</v>
      </c>
      <c r="V665" s="49">
        <v>0.144233</v>
      </c>
      <c r="W665" s="107"/>
      <c r="X665" s="50"/>
      <c r="Y665" s="50"/>
      <c r="Z665" s="49">
        <v>0</v>
      </c>
      <c r="AA665" s="71">
        <v>665</v>
      </c>
      <c r="AB665" s="71"/>
      <c r="AC665" s="72"/>
      <c r="AD665" s="79" t="s">
        <v>997</v>
      </c>
      <c r="AE665" s="79"/>
      <c r="AF665" s="79"/>
      <c r="AG665" s="79" t="s">
        <v>1673</v>
      </c>
      <c r="AH665" s="79" t="s">
        <v>2054</v>
      </c>
      <c r="AI665" s="79">
        <v>2</v>
      </c>
      <c r="AJ665" s="79">
        <v>0</v>
      </c>
      <c r="AK665" s="79">
        <v>0</v>
      </c>
      <c r="AL665" s="79">
        <v>0</v>
      </c>
      <c r="AM665" s="79" t="s">
        <v>2092</v>
      </c>
      <c r="AN665" s="114" t="str">
        <f>HYPERLINK("https://www.youtube.com/watch?v=T9-VtJ_GmzM")</f>
        <v>https://www.youtube.com/watch?v=T9-VtJ_GmzM</v>
      </c>
      <c r="AO665" s="78" t="str">
        <f>REPLACE(INDEX(GroupVertices[Group],MATCH(Vertices[[#This Row],[Vertex]],GroupVertices[Vertex],0)),1,1,"")</f>
        <v>iayi Yu</v>
      </c>
      <c r="AP665" s="2"/>
      <c r="AQ665" s="3"/>
      <c r="AR665" s="3"/>
      <c r="AS665" s="3"/>
      <c r="AT665" s="3"/>
    </row>
    <row r="666" spans="1:46" ht="15">
      <c r="A666" s="64" t="s">
        <v>574</v>
      </c>
      <c r="B666" s="65"/>
      <c r="C666" s="65"/>
      <c r="D666" s="66">
        <v>150</v>
      </c>
      <c r="E666" s="102">
        <v>97.85714285714286</v>
      </c>
      <c r="F666" s="98" t="str">
        <f>HYPERLINK("https://i.ytimg.com/vi/qe4c5UuYtZo/default.jpg")</f>
        <v>https://i.ytimg.com/vi/qe4c5UuYtZo/default.jpg</v>
      </c>
      <c r="G666" s="100"/>
      <c r="H666" s="69" t="s">
        <v>999</v>
      </c>
      <c r="I666" s="70"/>
      <c r="J666" s="104" t="s">
        <v>159</v>
      </c>
      <c r="K666" s="69" t="s">
        <v>999</v>
      </c>
      <c r="L666" s="105">
        <v>1</v>
      </c>
      <c r="M666" s="74">
        <v>2442.013427734375</v>
      </c>
      <c r="N666" s="74">
        <v>4356.98779296875</v>
      </c>
      <c r="O666" s="75"/>
      <c r="P666" s="76"/>
      <c r="Q666" s="76"/>
      <c r="R666" s="106"/>
      <c r="S666" s="48">
        <v>1</v>
      </c>
      <c r="T666" s="48">
        <v>0</v>
      </c>
      <c r="U666" s="49">
        <v>0</v>
      </c>
      <c r="V666" s="49">
        <v>0.144233</v>
      </c>
      <c r="W666" s="107"/>
      <c r="X666" s="50"/>
      <c r="Y666" s="50"/>
      <c r="Z666" s="49">
        <v>0</v>
      </c>
      <c r="AA666" s="71">
        <v>666</v>
      </c>
      <c r="AB666" s="71"/>
      <c r="AC666" s="72"/>
      <c r="AD666" s="79" t="s">
        <v>999</v>
      </c>
      <c r="AE666" s="79"/>
      <c r="AF666" s="79"/>
      <c r="AG666" s="79" t="s">
        <v>1674</v>
      </c>
      <c r="AH666" s="79" t="s">
        <v>2055</v>
      </c>
      <c r="AI666" s="79">
        <v>3</v>
      </c>
      <c r="AJ666" s="79">
        <v>0</v>
      </c>
      <c r="AK666" s="79">
        <v>0</v>
      </c>
      <c r="AL666" s="79">
        <v>0</v>
      </c>
      <c r="AM666" s="79" t="s">
        <v>2092</v>
      </c>
      <c r="AN666" s="114" t="str">
        <f>HYPERLINK("https://www.youtube.com/watch?v=qe4c5UuYtZo")</f>
        <v>https://www.youtube.com/watch?v=qe4c5UuYtZo</v>
      </c>
      <c r="AO666" s="78" t="str">
        <f>REPLACE(INDEX(GroupVertices[Group],MATCH(Vertices[[#This Row],[Vertex]],GroupVertices[Vertex],0)),1,1,"")</f>
        <v>ebecca Reed</v>
      </c>
      <c r="AP666" s="2"/>
      <c r="AQ666" s="3"/>
      <c r="AR666" s="3"/>
      <c r="AS666" s="3"/>
      <c r="AT666" s="3"/>
    </row>
    <row r="667" spans="1:46" ht="15">
      <c r="A667" s="64" t="s">
        <v>571</v>
      </c>
      <c r="B667" s="65"/>
      <c r="C667" s="65"/>
      <c r="D667" s="66">
        <v>150</v>
      </c>
      <c r="E667" s="102">
        <v>97.85714285714286</v>
      </c>
      <c r="F667" s="98" t="str">
        <f>HYPERLINK("https://i.ytimg.com/vi/jtECx0JX9iM/default.jpg")</f>
        <v>https://i.ytimg.com/vi/jtECx0JX9iM/default.jpg</v>
      </c>
      <c r="G667" s="100"/>
      <c r="H667" s="69" t="s">
        <v>995</v>
      </c>
      <c r="I667" s="70"/>
      <c r="J667" s="104" t="s">
        <v>159</v>
      </c>
      <c r="K667" s="69" t="s">
        <v>995</v>
      </c>
      <c r="L667" s="105">
        <v>1</v>
      </c>
      <c r="M667" s="74">
        <v>2376.04638671875</v>
      </c>
      <c r="N667" s="74">
        <v>4921.7373046875</v>
      </c>
      <c r="O667" s="75"/>
      <c r="P667" s="76"/>
      <c r="Q667" s="76"/>
      <c r="R667" s="106"/>
      <c r="S667" s="48">
        <v>1</v>
      </c>
      <c r="T667" s="48">
        <v>0</v>
      </c>
      <c r="U667" s="49">
        <v>0</v>
      </c>
      <c r="V667" s="49">
        <v>0.144233</v>
      </c>
      <c r="W667" s="107"/>
      <c r="X667" s="50"/>
      <c r="Y667" s="50"/>
      <c r="Z667" s="49">
        <v>0</v>
      </c>
      <c r="AA667" s="71">
        <v>667</v>
      </c>
      <c r="AB667" s="71"/>
      <c r="AC667" s="72"/>
      <c r="AD667" s="79" t="s">
        <v>995</v>
      </c>
      <c r="AE667" s="79" t="s">
        <v>1267</v>
      </c>
      <c r="AF667" s="79"/>
      <c r="AG667" s="79" t="s">
        <v>1672</v>
      </c>
      <c r="AH667" s="79" t="s">
        <v>2052</v>
      </c>
      <c r="AI667" s="79">
        <v>1</v>
      </c>
      <c r="AJ667" s="79">
        <v>0</v>
      </c>
      <c r="AK667" s="79">
        <v>0</v>
      </c>
      <c r="AL667" s="79">
        <v>0</v>
      </c>
      <c r="AM667" s="79" t="s">
        <v>2092</v>
      </c>
      <c r="AN667" s="114" t="str">
        <f>HYPERLINK("https://www.youtube.com/watch?v=jtECx0JX9iM")</f>
        <v>https://www.youtube.com/watch?v=jtECx0JX9iM</v>
      </c>
      <c r="AO667" s="78" t="str">
        <f>REPLACE(INDEX(GroupVertices[Group],MATCH(Vertices[[#This Row],[Vertex]],GroupVertices[Vertex],0)),1,1,"")</f>
        <v>llison Reid</v>
      </c>
      <c r="AP667" s="2"/>
      <c r="AQ667" s="3"/>
      <c r="AR667" s="3"/>
      <c r="AS667" s="3"/>
      <c r="AT667" s="3"/>
    </row>
    <row r="668" spans="1:46" ht="15">
      <c r="A668" s="64" t="s">
        <v>575</v>
      </c>
      <c r="B668" s="65"/>
      <c r="C668" s="65"/>
      <c r="D668" s="66">
        <v>150</v>
      </c>
      <c r="E668" s="102">
        <v>97.85714285714286</v>
      </c>
      <c r="F668" s="98" t="str">
        <f>HYPERLINK("https://i.ytimg.com/vi/6yeT2qHptiY/default.jpg")</f>
        <v>https://i.ytimg.com/vi/6yeT2qHptiY/default.jpg</v>
      </c>
      <c r="G668" s="100"/>
      <c r="H668" s="69" t="s">
        <v>1000</v>
      </c>
      <c r="I668" s="70"/>
      <c r="J668" s="104" t="s">
        <v>159</v>
      </c>
      <c r="K668" s="69" t="s">
        <v>1000</v>
      </c>
      <c r="L668" s="105">
        <v>1</v>
      </c>
      <c r="M668" s="74">
        <v>2376.38623046875</v>
      </c>
      <c r="N668" s="74">
        <v>5201.00634765625</v>
      </c>
      <c r="O668" s="75"/>
      <c r="P668" s="76"/>
      <c r="Q668" s="76"/>
      <c r="R668" s="106"/>
      <c r="S668" s="48">
        <v>1</v>
      </c>
      <c r="T668" s="48">
        <v>0</v>
      </c>
      <c r="U668" s="49">
        <v>0</v>
      </c>
      <c r="V668" s="49">
        <v>0.144233</v>
      </c>
      <c r="W668" s="107"/>
      <c r="X668" s="50"/>
      <c r="Y668" s="50"/>
      <c r="Z668" s="49">
        <v>0</v>
      </c>
      <c r="AA668" s="71">
        <v>668</v>
      </c>
      <c r="AB668" s="71"/>
      <c r="AC668" s="72"/>
      <c r="AD668" s="79" t="s">
        <v>1000</v>
      </c>
      <c r="AE668" s="79" t="s">
        <v>1269</v>
      </c>
      <c r="AF668" s="79"/>
      <c r="AG668" s="79" t="s">
        <v>1670</v>
      </c>
      <c r="AH668" s="79" t="s">
        <v>2056</v>
      </c>
      <c r="AI668" s="79">
        <v>11</v>
      </c>
      <c r="AJ668" s="79">
        <v>0</v>
      </c>
      <c r="AK668" s="79">
        <v>0</v>
      </c>
      <c r="AL668" s="79">
        <v>0</v>
      </c>
      <c r="AM668" s="79" t="s">
        <v>2092</v>
      </c>
      <c r="AN668" s="114" t="str">
        <f>HYPERLINK("https://www.youtube.com/watch?v=6yeT2qHptiY")</f>
        <v>https://www.youtube.com/watch?v=6yeT2qHptiY</v>
      </c>
      <c r="AO668" s="78" t="str">
        <f>REPLACE(INDEX(GroupVertices[Group],MATCH(Vertices[[#This Row],[Vertex]],GroupVertices[Vertex],0)),1,1,"")</f>
        <v>rofessor Capron</v>
      </c>
      <c r="AP668" s="2"/>
      <c r="AQ668" s="3"/>
      <c r="AR668" s="3"/>
      <c r="AS668" s="3"/>
      <c r="AT668" s="3"/>
    </row>
    <row r="669" spans="1:46" ht="15">
      <c r="A669" s="64" t="s">
        <v>576</v>
      </c>
      <c r="B669" s="65"/>
      <c r="C669" s="65"/>
      <c r="D669" s="66">
        <v>150</v>
      </c>
      <c r="E669" s="102">
        <v>97.85714285714286</v>
      </c>
      <c r="F669" s="98" t="str">
        <f>HYPERLINK("https://i.ytimg.com/vi/CbCrhiltfpo/default.jpg")</f>
        <v>https://i.ytimg.com/vi/CbCrhiltfpo/default.jpg</v>
      </c>
      <c r="G669" s="100"/>
      <c r="H669" s="69" t="s">
        <v>1001</v>
      </c>
      <c r="I669" s="70"/>
      <c r="J669" s="104" t="s">
        <v>159</v>
      </c>
      <c r="K669" s="69" t="s">
        <v>1001</v>
      </c>
      <c r="L669" s="105">
        <v>1</v>
      </c>
      <c r="M669" s="74">
        <v>2491.74462890625</v>
      </c>
      <c r="N669" s="74">
        <v>4810.36865234375</v>
      </c>
      <c r="O669" s="75"/>
      <c r="P669" s="76"/>
      <c r="Q669" s="76"/>
      <c r="R669" s="106"/>
      <c r="S669" s="48">
        <v>1</v>
      </c>
      <c r="T669" s="48">
        <v>0</v>
      </c>
      <c r="U669" s="49">
        <v>0</v>
      </c>
      <c r="V669" s="49">
        <v>0.144233</v>
      </c>
      <c r="W669" s="107"/>
      <c r="X669" s="50"/>
      <c r="Y669" s="50"/>
      <c r="Z669" s="49">
        <v>0</v>
      </c>
      <c r="AA669" s="71">
        <v>669</v>
      </c>
      <c r="AB669" s="71"/>
      <c r="AC669" s="72"/>
      <c r="AD669" s="79" t="s">
        <v>1001</v>
      </c>
      <c r="AE669" s="79" t="s">
        <v>1270</v>
      </c>
      <c r="AF669" s="79" t="s">
        <v>1462</v>
      </c>
      <c r="AG669" s="79" t="s">
        <v>1528</v>
      </c>
      <c r="AH669" s="79" t="s">
        <v>2057</v>
      </c>
      <c r="AI669" s="79">
        <v>3</v>
      </c>
      <c r="AJ669" s="79">
        <v>0</v>
      </c>
      <c r="AK669" s="79">
        <v>0</v>
      </c>
      <c r="AL669" s="79">
        <v>0</v>
      </c>
      <c r="AM669" s="79" t="s">
        <v>2092</v>
      </c>
      <c r="AN669" s="114" t="str">
        <f>HYPERLINK("https://www.youtube.com/watch?v=CbCrhiltfpo")</f>
        <v>https://www.youtube.com/watch?v=CbCrhiltfpo</v>
      </c>
      <c r="AO669" s="78" t="str">
        <f>REPLACE(INDEX(GroupVertices[Group],MATCH(Vertices[[#This Row],[Vertex]],GroupVertices[Vertex],0)),1,1,"")</f>
        <v>en Joyce Ackerson</v>
      </c>
      <c r="AP669" s="2"/>
      <c r="AQ669" s="3"/>
      <c r="AR669" s="3"/>
      <c r="AS669" s="3"/>
      <c r="AT669" s="3"/>
    </row>
    <row r="670" spans="1:46" ht="15">
      <c r="A670" s="64" t="s">
        <v>578</v>
      </c>
      <c r="B670" s="65"/>
      <c r="C670" s="65"/>
      <c r="D670" s="66">
        <v>150</v>
      </c>
      <c r="E670" s="102">
        <v>97.85714285714286</v>
      </c>
      <c r="F670" s="98" t="str">
        <f>HYPERLINK("https://i.ytimg.com/vi/VuipiqDd7d8/default.jpg")</f>
        <v>https://i.ytimg.com/vi/VuipiqDd7d8/default.jpg</v>
      </c>
      <c r="G670" s="100"/>
      <c r="H670" s="69" t="s">
        <v>664</v>
      </c>
      <c r="I670" s="70"/>
      <c r="J670" s="104" t="s">
        <v>159</v>
      </c>
      <c r="K670" s="69" t="s">
        <v>664</v>
      </c>
      <c r="L670" s="105">
        <v>1</v>
      </c>
      <c r="M670" s="74">
        <v>2470.55078125</v>
      </c>
      <c r="N670" s="74">
        <v>5073.04443359375</v>
      </c>
      <c r="O670" s="75"/>
      <c r="P670" s="76"/>
      <c r="Q670" s="76"/>
      <c r="R670" s="106"/>
      <c r="S670" s="48">
        <v>1</v>
      </c>
      <c r="T670" s="48">
        <v>0</v>
      </c>
      <c r="U670" s="49">
        <v>0</v>
      </c>
      <c r="V670" s="49">
        <v>0.144233</v>
      </c>
      <c r="W670" s="107"/>
      <c r="X670" s="50"/>
      <c r="Y670" s="50"/>
      <c r="Z670" s="49">
        <v>0</v>
      </c>
      <c r="AA670" s="71">
        <v>670</v>
      </c>
      <c r="AB670" s="71"/>
      <c r="AC670" s="72"/>
      <c r="AD670" s="79" t="s">
        <v>664</v>
      </c>
      <c r="AE670" s="79" t="s">
        <v>1272</v>
      </c>
      <c r="AF670" s="79" t="s">
        <v>1464</v>
      </c>
      <c r="AG670" s="79" t="s">
        <v>1528</v>
      </c>
      <c r="AH670" s="79" t="s">
        <v>2059</v>
      </c>
      <c r="AI670" s="79">
        <v>8</v>
      </c>
      <c r="AJ670" s="79">
        <v>0</v>
      </c>
      <c r="AK670" s="79">
        <v>1</v>
      </c>
      <c r="AL670" s="79">
        <v>0</v>
      </c>
      <c r="AM670" s="79" t="s">
        <v>2092</v>
      </c>
      <c r="AN670" s="114" t="str">
        <f>HYPERLINK("https://www.youtube.com/watch?v=VuipiqDd7d8")</f>
        <v>https://www.youtube.com/watch?v=VuipiqDd7d8</v>
      </c>
      <c r="AO670" s="78" t="str">
        <f>REPLACE(INDEX(GroupVertices[Group],MATCH(Vertices[[#This Row],[Vertex]],GroupVertices[Vertex],0)),1,1,"")</f>
        <v>en Joyce Ackerson</v>
      </c>
      <c r="AP670" s="2"/>
      <c r="AQ670" s="3"/>
      <c r="AR670" s="3"/>
      <c r="AS670" s="3"/>
      <c r="AT670" s="3"/>
    </row>
    <row r="671" spans="1:46" ht="15">
      <c r="A671" s="64" t="s">
        <v>273</v>
      </c>
      <c r="B671" s="65"/>
      <c r="C671" s="65"/>
      <c r="D671" s="66">
        <v>150</v>
      </c>
      <c r="E671" s="102">
        <v>97.85714285714286</v>
      </c>
      <c r="F671" s="98" t="str">
        <f>HYPERLINK("https://i.ytimg.com/vi/ZDwyDPl6Nmc/default.jpg")</f>
        <v>https://i.ytimg.com/vi/ZDwyDPl6Nmc/default.jpg</v>
      </c>
      <c r="G671" s="100"/>
      <c r="H671" s="69" t="s">
        <v>661</v>
      </c>
      <c r="I671" s="70"/>
      <c r="J671" s="104" t="s">
        <v>159</v>
      </c>
      <c r="K671" s="69" t="s">
        <v>661</v>
      </c>
      <c r="L671" s="105">
        <v>1</v>
      </c>
      <c r="M671" s="74">
        <v>2394.801025390625</v>
      </c>
      <c r="N671" s="74">
        <v>4535.30078125</v>
      </c>
      <c r="O671" s="75"/>
      <c r="P671" s="76"/>
      <c r="Q671" s="76"/>
      <c r="R671" s="106"/>
      <c r="S671" s="48">
        <v>1</v>
      </c>
      <c r="T671" s="48">
        <v>0</v>
      </c>
      <c r="U671" s="49">
        <v>0</v>
      </c>
      <c r="V671" s="49">
        <v>0.144233</v>
      </c>
      <c r="W671" s="107"/>
      <c r="X671" s="50"/>
      <c r="Y671" s="50"/>
      <c r="Z671" s="49">
        <v>0</v>
      </c>
      <c r="AA671" s="71">
        <v>671</v>
      </c>
      <c r="AB671" s="71"/>
      <c r="AC671" s="72"/>
      <c r="AD671" s="79" t="s">
        <v>661</v>
      </c>
      <c r="AE671" s="79" t="s">
        <v>1057</v>
      </c>
      <c r="AF671" s="79" t="s">
        <v>1321</v>
      </c>
      <c r="AG671" s="79" t="s">
        <v>1528</v>
      </c>
      <c r="AH671" s="79" t="s">
        <v>1717</v>
      </c>
      <c r="AI671" s="79">
        <v>1</v>
      </c>
      <c r="AJ671" s="79">
        <v>0</v>
      </c>
      <c r="AK671" s="79">
        <v>0</v>
      </c>
      <c r="AL671" s="79">
        <v>0</v>
      </c>
      <c r="AM671" s="79" t="s">
        <v>2092</v>
      </c>
      <c r="AN671" s="114" t="str">
        <f>HYPERLINK("https://www.youtube.com/watch?v=ZDwyDPl6Nmc")</f>
        <v>https://www.youtube.com/watch?v=ZDwyDPl6Nmc</v>
      </c>
      <c r="AO671" s="78" t="str">
        <f>REPLACE(INDEX(GroupVertices[Group],MATCH(Vertices[[#This Row],[Vertex]],GroupVertices[Vertex],0)),1,1,"")</f>
        <v>en Joyce Ackerson</v>
      </c>
      <c r="AP671" s="2"/>
      <c r="AQ671" s="3"/>
      <c r="AR671" s="3"/>
      <c r="AS671" s="3"/>
      <c r="AT671" s="3"/>
    </row>
    <row r="672" spans="1:46" ht="15">
      <c r="A672" s="64" t="s">
        <v>579</v>
      </c>
      <c r="B672" s="65"/>
      <c r="C672" s="65"/>
      <c r="D672" s="66">
        <v>150</v>
      </c>
      <c r="E672" s="102">
        <v>97.85714285714286</v>
      </c>
      <c r="F672" s="98" t="str">
        <f>HYPERLINK("https://i.ytimg.com/vi/i-pHi_hU_WI/default.jpg")</f>
        <v>https://i.ytimg.com/vi/i-pHi_hU_WI/default.jpg</v>
      </c>
      <c r="G672" s="100"/>
      <c r="H672" s="69" t="s">
        <v>1003</v>
      </c>
      <c r="I672" s="70"/>
      <c r="J672" s="104" t="s">
        <v>159</v>
      </c>
      <c r="K672" s="69" t="s">
        <v>1003</v>
      </c>
      <c r="L672" s="105">
        <v>1</v>
      </c>
      <c r="M672" s="74">
        <v>2337.41650390625</v>
      </c>
      <c r="N672" s="74">
        <v>5345.06982421875</v>
      </c>
      <c r="O672" s="75"/>
      <c r="P672" s="76"/>
      <c r="Q672" s="76"/>
      <c r="R672" s="106"/>
      <c r="S672" s="48">
        <v>1</v>
      </c>
      <c r="T672" s="48">
        <v>0</v>
      </c>
      <c r="U672" s="49">
        <v>0</v>
      </c>
      <c r="V672" s="49">
        <v>0.144233</v>
      </c>
      <c r="W672" s="107"/>
      <c r="X672" s="50"/>
      <c r="Y672" s="50"/>
      <c r="Z672" s="49">
        <v>0</v>
      </c>
      <c r="AA672" s="71">
        <v>672</v>
      </c>
      <c r="AB672" s="71"/>
      <c r="AC672" s="72"/>
      <c r="AD672" s="79" t="s">
        <v>1003</v>
      </c>
      <c r="AE672" s="79" t="s">
        <v>1273</v>
      </c>
      <c r="AF672" s="79" t="s">
        <v>1465</v>
      </c>
      <c r="AG672" s="79" t="s">
        <v>1528</v>
      </c>
      <c r="AH672" s="79" t="s">
        <v>2060</v>
      </c>
      <c r="AI672" s="79">
        <v>0</v>
      </c>
      <c r="AJ672" s="79">
        <v>0</v>
      </c>
      <c r="AK672" s="79">
        <v>0</v>
      </c>
      <c r="AL672" s="79">
        <v>0</v>
      </c>
      <c r="AM672" s="79" t="s">
        <v>2092</v>
      </c>
      <c r="AN672" s="114" t="str">
        <f>HYPERLINK("https://www.youtube.com/watch?v=i-pHi_hU_WI")</f>
        <v>https://www.youtube.com/watch?v=i-pHi_hU_WI</v>
      </c>
      <c r="AO672" s="78" t="str">
        <f>REPLACE(INDEX(GroupVertices[Group],MATCH(Vertices[[#This Row],[Vertex]],GroupVertices[Vertex],0)),1,1,"")</f>
        <v>en Joyce Ackerson</v>
      </c>
      <c r="AP672" s="2"/>
      <c r="AQ672" s="3"/>
      <c r="AR672" s="3"/>
      <c r="AS672" s="3"/>
      <c r="AT672" s="3"/>
    </row>
    <row r="673" spans="1:46" ht="15">
      <c r="A673" s="64" t="s">
        <v>2459</v>
      </c>
      <c r="B673" s="65"/>
      <c r="C673" s="65"/>
      <c r="D673" s="66">
        <v>150</v>
      </c>
      <c r="E673" s="102">
        <v>97.85714285714286</v>
      </c>
      <c r="F673" s="98" t="str">
        <f>HYPERLINK("https://i.ytimg.com/vi/K8L-zvTjp1k/default.jpg")</f>
        <v>https://i.ytimg.com/vi/K8L-zvTjp1k/default.jpg</v>
      </c>
      <c r="G673" s="100"/>
      <c r="H673" s="69" t="s">
        <v>2933</v>
      </c>
      <c r="I673" s="70"/>
      <c r="J673" s="104" t="s">
        <v>159</v>
      </c>
      <c r="K673" s="69" t="s">
        <v>2933</v>
      </c>
      <c r="L673" s="105">
        <v>1</v>
      </c>
      <c r="M673" s="74">
        <v>1674.303955078125</v>
      </c>
      <c r="N673" s="74">
        <v>1397.8011474609375</v>
      </c>
      <c r="O673" s="75"/>
      <c r="P673" s="76"/>
      <c r="Q673" s="76"/>
      <c r="R673" s="106"/>
      <c r="S673" s="48">
        <v>1</v>
      </c>
      <c r="T673" s="48">
        <v>0</v>
      </c>
      <c r="U673" s="49">
        <v>0</v>
      </c>
      <c r="V673" s="49">
        <v>0.183632</v>
      </c>
      <c r="W673" s="107"/>
      <c r="X673" s="50"/>
      <c r="Y673" s="50"/>
      <c r="Z673" s="49">
        <v>0</v>
      </c>
      <c r="AA673" s="71">
        <v>673</v>
      </c>
      <c r="AB673" s="71"/>
      <c r="AC673" s="72"/>
      <c r="AD673" s="79" t="s">
        <v>2933</v>
      </c>
      <c r="AE673" s="79"/>
      <c r="AF673" s="79"/>
      <c r="AG673" s="79" t="s">
        <v>3889</v>
      </c>
      <c r="AH673" s="79" t="s">
        <v>4301</v>
      </c>
      <c r="AI673" s="79">
        <v>4</v>
      </c>
      <c r="AJ673" s="79">
        <v>0</v>
      </c>
      <c r="AK673" s="79">
        <v>0</v>
      </c>
      <c r="AL673" s="79">
        <v>0</v>
      </c>
      <c r="AM673" s="79" t="s">
        <v>2092</v>
      </c>
      <c r="AN673" s="114" t="str">
        <f>HYPERLINK("https://www.youtube.com/watch?v=K8L-zvTjp1k")</f>
        <v>https://www.youtube.com/watch?v=K8L-zvTjp1k</v>
      </c>
      <c r="AO673" s="78" t="str">
        <f>REPLACE(INDEX(GroupVertices[Group],MATCH(Vertices[[#This Row],[Vertex]],GroupVertices[Vertex],0)),1,1,"")</f>
        <v>avid Kosloski</v>
      </c>
      <c r="AP673" s="2"/>
      <c r="AQ673" s="3"/>
      <c r="AR673" s="3"/>
      <c r="AS673" s="3"/>
      <c r="AT673" s="3"/>
    </row>
    <row r="674" spans="1:46" ht="15">
      <c r="A674" s="64" t="s">
        <v>2460</v>
      </c>
      <c r="B674" s="65"/>
      <c r="C674" s="65"/>
      <c r="D674" s="66">
        <v>150</v>
      </c>
      <c r="E674" s="102">
        <v>97.85714285714286</v>
      </c>
      <c r="F674" s="98" t="str">
        <f>HYPERLINK("https://i.ytimg.com/vi/CtZsFRIT-ww/default.jpg")</f>
        <v>https://i.ytimg.com/vi/CtZsFRIT-ww/default.jpg</v>
      </c>
      <c r="G674" s="100"/>
      <c r="H674" s="69" t="s">
        <v>998</v>
      </c>
      <c r="I674" s="70"/>
      <c r="J674" s="104" t="s">
        <v>159</v>
      </c>
      <c r="K674" s="69" t="s">
        <v>998</v>
      </c>
      <c r="L674" s="105">
        <v>1</v>
      </c>
      <c r="M674" s="74">
        <v>2180.55615234375</v>
      </c>
      <c r="N674" s="74">
        <v>2703.705810546875</v>
      </c>
      <c r="O674" s="75"/>
      <c r="P674" s="76"/>
      <c r="Q674" s="76"/>
      <c r="R674" s="106"/>
      <c r="S674" s="48">
        <v>1</v>
      </c>
      <c r="T674" s="48">
        <v>0</v>
      </c>
      <c r="U674" s="49">
        <v>0</v>
      </c>
      <c r="V674" s="49">
        <v>0.183632</v>
      </c>
      <c r="W674" s="107"/>
      <c r="X674" s="50"/>
      <c r="Y674" s="50"/>
      <c r="Z674" s="49">
        <v>0</v>
      </c>
      <c r="AA674" s="71">
        <v>674</v>
      </c>
      <c r="AB674" s="71"/>
      <c r="AC674" s="72"/>
      <c r="AD674" s="79" t="s">
        <v>998</v>
      </c>
      <c r="AE674" s="79"/>
      <c r="AF674" s="79"/>
      <c r="AG674" s="79" t="s">
        <v>3890</v>
      </c>
      <c r="AH674" s="79" t="s">
        <v>4302</v>
      </c>
      <c r="AI674" s="79">
        <v>13</v>
      </c>
      <c r="AJ674" s="79">
        <v>0</v>
      </c>
      <c r="AK674" s="79">
        <v>2</v>
      </c>
      <c r="AL674" s="79">
        <v>0</v>
      </c>
      <c r="AM674" s="79" t="s">
        <v>2092</v>
      </c>
      <c r="AN674" s="114" t="str">
        <f>HYPERLINK("https://www.youtube.com/watch?v=CtZsFRIT-ww")</f>
        <v>https://www.youtube.com/watch?v=CtZsFRIT-ww</v>
      </c>
      <c r="AO674" s="78" t="str">
        <f>REPLACE(INDEX(GroupVertices[Group],MATCH(Vertices[[#This Row],[Vertex]],GroupVertices[Vertex],0)),1,1,"")</f>
        <v>lash with Blue38</v>
      </c>
      <c r="AP674" s="2"/>
      <c r="AQ674" s="3"/>
      <c r="AR674" s="3"/>
      <c r="AS674" s="3"/>
      <c r="AT674" s="3"/>
    </row>
    <row r="675" spans="1:46" ht="15">
      <c r="A675" s="64" t="s">
        <v>2461</v>
      </c>
      <c r="B675" s="65"/>
      <c r="C675" s="65"/>
      <c r="D675" s="66">
        <v>150</v>
      </c>
      <c r="E675" s="102">
        <v>97.85714285714286</v>
      </c>
      <c r="F675" s="98" t="str">
        <f>HYPERLINK("https://i.ytimg.com/vi/K3d9i9Dxduk/default.jpg")</f>
        <v>https://i.ytimg.com/vi/K3d9i9Dxduk/default.jpg</v>
      </c>
      <c r="G675" s="100"/>
      <c r="H675" s="69" t="s">
        <v>2934</v>
      </c>
      <c r="I675" s="70"/>
      <c r="J675" s="104" t="s">
        <v>159</v>
      </c>
      <c r="K675" s="69" t="s">
        <v>2934</v>
      </c>
      <c r="L675" s="105">
        <v>1</v>
      </c>
      <c r="M675" s="74">
        <v>1997.8575439453125</v>
      </c>
      <c r="N675" s="74">
        <v>859.9931640625</v>
      </c>
      <c r="O675" s="75"/>
      <c r="P675" s="76"/>
      <c r="Q675" s="76"/>
      <c r="R675" s="106"/>
      <c r="S675" s="48">
        <v>1</v>
      </c>
      <c r="T675" s="48">
        <v>0</v>
      </c>
      <c r="U675" s="49">
        <v>0</v>
      </c>
      <c r="V675" s="49">
        <v>0.183632</v>
      </c>
      <c r="W675" s="107"/>
      <c r="X675" s="50"/>
      <c r="Y675" s="50"/>
      <c r="Z675" s="49">
        <v>0</v>
      </c>
      <c r="AA675" s="71">
        <v>675</v>
      </c>
      <c r="AB675" s="71"/>
      <c r="AC675" s="72"/>
      <c r="AD675" s="79" t="s">
        <v>2934</v>
      </c>
      <c r="AE675" s="79" t="s">
        <v>3364</v>
      </c>
      <c r="AF675" s="79"/>
      <c r="AG675" s="79" t="s">
        <v>3891</v>
      </c>
      <c r="AH675" s="79" t="s">
        <v>4303</v>
      </c>
      <c r="AI675" s="79">
        <v>25</v>
      </c>
      <c r="AJ675" s="79">
        <v>0</v>
      </c>
      <c r="AK675" s="79">
        <v>1</v>
      </c>
      <c r="AL675" s="79">
        <v>0</v>
      </c>
      <c r="AM675" s="79" t="s">
        <v>2092</v>
      </c>
      <c r="AN675" s="114" t="str">
        <f>HYPERLINK("https://www.youtube.com/watch?v=K3d9i9Dxduk")</f>
        <v>https://www.youtube.com/watch?v=K3d9i9Dxduk</v>
      </c>
      <c r="AO675" s="78" t="str">
        <f>REPLACE(INDEX(GroupVertices[Group],MATCH(Vertices[[#This Row],[Vertex]],GroupVertices[Vertex],0)),1,1,"")</f>
        <v>yan Rupprecht</v>
      </c>
      <c r="AP675" s="2"/>
      <c r="AQ675" s="3"/>
      <c r="AR675" s="3"/>
      <c r="AS675" s="3"/>
      <c r="AT675" s="3"/>
    </row>
    <row r="676" spans="1:46" ht="15">
      <c r="A676" s="64" t="s">
        <v>2462</v>
      </c>
      <c r="B676" s="65"/>
      <c r="C676" s="65"/>
      <c r="D676" s="66">
        <v>150</v>
      </c>
      <c r="E676" s="102">
        <v>97.85714285714286</v>
      </c>
      <c r="F676" s="98" t="str">
        <f>HYPERLINK("https://i.ytimg.com/vi/yMjtjcn0waE/default.jpg")</f>
        <v>https://i.ytimg.com/vi/yMjtjcn0waE/default.jpg</v>
      </c>
      <c r="G676" s="100"/>
      <c r="H676" s="69" t="s">
        <v>2935</v>
      </c>
      <c r="I676" s="70"/>
      <c r="J676" s="104" t="s">
        <v>159</v>
      </c>
      <c r="K676" s="69" t="s">
        <v>2935</v>
      </c>
      <c r="L676" s="105">
        <v>1</v>
      </c>
      <c r="M676" s="74">
        <v>1409.1739501953125</v>
      </c>
      <c r="N676" s="74">
        <v>2474.129150390625</v>
      </c>
      <c r="O676" s="75"/>
      <c r="P676" s="76"/>
      <c r="Q676" s="76"/>
      <c r="R676" s="106"/>
      <c r="S676" s="48">
        <v>1</v>
      </c>
      <c r="T676" s="48">
        <v>0</v>
      </c>
      <c r="U676" s="49">
        <v>0</v>
      </c>
      <c r="V676" s="49">
        <v>0.183632</v>
      </c>
      <c r="W676" s="107"/>
      <c r="X676" s="50"/>
      <c r="Y676" s="50"/>
      <c r="Z676" s="49">
        <v>0</v>
      </c>
      <c r="AA676" s="71">
        <v>676</v>
      </c>
      <c r="AB676" s="71"/>
      <c r="AC676" s="72"/>
      <c r="AD676" s="79" t="s">
        <v>2935</v>
      </c>
      <c r="AE676" s="79" t="s">
        <v>3365</v>
      </c>
      <c r="AF676" s="79"/>
      <c r="AG676" s="79" t="s">
        <v>3892</v>
      </c>
      <c r="AH676" s="79" t="s">
        <v>4304</v>
      </c>
      <c r="AI676" s="79">
        <v>15</v>
      </c>
      <c r="AJ676" s="79">
        <v>0</v>
      </c>
      <c r="AK676" s="79">
        <v>0</v>
      </c>
      <c r="AL676" s="79">
        <v>0</v>
      </c>
      <c r="AM676" s="79" t="s">
        <v>2092</v>
      </c>
      <c r="AN676" s="114" t="str">
        <f>HYPERLINK("https://www.youtube.com/watch?v=yMjtjcn0waE")</f>
        <v>https://www.youtube.com/watch?v=yMjtjcn0waE</v>
      </c>
      <c r="AO676" s="78" t="str">
        <f>REPLACE(INDEX(GroupVertices[Group],MATCH(Vertices[[#This Row],[Vertex]],GroupVertices[Vertex],0)),1,1,"")</f>
        <v>earn Psychology</v>
      </c>
      <c r="AP676" s="2"/>
      <c r="AQ676" s="3"/>
      <c r="AR676" s="3"/>
      <c r="AS676" s="3"/>
      <c r="AT676" s="3"/>
    </row>
    <row r="677" spans="1:46" ht="15">
      <c r="A677" s="64" t="s">
        <v>2463</v>
      </c>
      <c r="B677" s="65"/>
      <c r="C677" s="65"/>
      <c r="D677" s="66">
        <v>150</v>
      </c>
      <c r="E677" s="102">
        <v>97.85714285714286</v>
      </c>
      <c r="F677" s="98" t="str">
        <f>HYPERLINK("https://i.ytimg.com/vi/-SIZ8CnVSF8/default.jpg")</f>
        <v>https://i.ytimg.com/vi/-SIZ8CnVSF8/default.jpg</v>
      </c>
      <c r="G677" s="100"/>
      <c r="H677" s="69" t="s">
        <v>2936</v>
      </c>
      <c r="I677" s="70"/>
      <c r="J677" s="104" t="s">
        <v>159</v>
      </c>
      <c r="K677" s="69" t="s">
        <v>2936</v>
      </c>
      <c r="L677" s="105">
        <v>1</v>
      </c>
      <c r="M677" s="74">
        <v>2440.841552734375</v>
      </c>
      <c r="N677" s="74">
        <v>2240.02392578125</v>
      </c>
      <c r="O677" s="75"/>
      <c r="P677" s="76"/>
      <c r="Q677" s="76"/>
      <c r="R677" s="106"/>
      <c r="S677" s="48">
        <v>1</v>
      </c>
      <c r="T677" s="48">
        <v>0</v>
      </c>
      <c r="U677" s="49">
        <v>0</v>
      </c>
      <c r="V677" s="49">
        <v>0.183632</v>
      </c>
      <c r="W677" s="107"/>
      <c r="X677" s="50"/>
      <c r="Y677" s="50"/>
      <c r="Z677" s="49">
        <v>0</v>
      </c>
      <c r="AA677" s="71">
        <v>677</v>
      </c>
      <c r="AB677" s="71"/>
      <c r="AC677" s="72"/>
      <c r="AD677" s="79" t="s">
        <v>2936</v>
      </c>
      <c r="AE677" s="79" t="s">
        <v>3366</v>
      </c>
      <c r="AF677" s="79"/>
      <c r="AG677" s="79" t="s">
        <v>3893</v>
      </c>
      <c r="AH677" s="79" t="s">
        <v>4305</v>
      </c>
      <c r="AI677" s="79">
        <v>31</v>
      </c>
      <c r="AJ677" s="79">
        <v>0</v>
      </c>
      <c r="AK677" s="79">
        <v>1</v>
      </c>
      <c r="AL677" s="79">
        <v>0</v>
      </c>
      <c r="AM677" s="79" t="s">
        <v>2092</v>
      </c>
      <c r="AN677" s="114" t="str">
        <f>HYPERLINK("https://www.youtube.com/watch?v=-SIZ8CnVSF8")</f>
        <v>https://www.youtube.com/watch?v=-SIZ8CnVSF8</v>
      </c>
      <c r="AO677" s="78" t="str">
        <f>REPLACE(INDEX(GroupVertices[Group],MATCH(Vertices[[#This Row],[Vertex]],GroupVertices[Vertex],0)),1,1,"")</f>
        <v>my DeFe</v>
      </c>
      <c r="AP677" s="2"/>
      <c r="AQ677" s="3"/>
      <c r="AR677" s="3"/>
      <c r="AS677" s="3"/>
      <c r="AT677" s="3"/>
    </row>
    <row r="678" spans="1:46" ht="15">
      <c r="A678" s="64" t="s">
        <v>2464</v>
      </c>
      <c r="B678" s="65"/>
      <c r="C678" s="65"/>
      <c r="D678" s="66">
        <v>150</v>
      </c>
      <c r="E678" s="102">
        <v>97.85714285714286</v>
      </c>
      <c r="F678" s="98" t="str">
        <f>HYPERLINK("https://i.ytimg.com/vi/VGQ87baO4ho/default.jpg")</f>
        <v>https://i.ytimg.com/vi/VGQ87baO4ho/default.jpg</v>
      </c>
      <c r="G678" s="100"/>
      <c r="H678" s="69" t="s">
        <v>2937</v>
      </c>
      <c r="I678" s="70"/>
      <c r="J678" s="104" t="s">
        <v>159</v>
      </c>
      <c r="K678" s="69" t="s">
        <v>2937</v>
      </c>
      <c r="L678" s="105">
        <v>1</v>
      </c>
      <c r="M678" s="74">
        <v>1682.5697021484375</v>
      </c>
      <c r="N678" s="74">
        <v>2905.61767578125</v>
      </c>
      <c r="O678" s="75"/>
      <c r="P678" s="76"/>
      <c r="Q678" s="76"/>
      <c r="R678" s="106"/>
      <c r="S678" s="48">
        <v>1</v>
      </c>
      <c r="T678" s="48">
        <v>0</v>
      </c>
      <c r="U678" s="49">
        <v>0</v>
      </c>
      <c r="V678" s="49">
        <v>0.183632</v>
      </c>
      <c r="W678" s="107"/>
      <c r="X678" s="50"/>
      <c r="Y678" s="50"/>
      <c r="Z678" s="49">
        <v>0</v>
      </c>
      <c r="AA678" s="71">
        <v>678</v>
      </c>
      <c r="AB678" s="71"/>
      <c r="AC678" s="72"/>
      <c r="AD678" s="79" t="s">
        <v>2937</v>
      </c>
      <c r="AE678" s="79"/>
      <c r="AF678" s="79"/>
      <c r="AG678" s="79" t="s">
        <v>3894</v>
      </c>
      <c r="AH678" s="79" t="s">
        <v>4306</v>
      </c>
      <c r="AI678" s="79">
        <v>3</v>
      </c>
      <c r="AJ678" s="79">
        <v>0</v>
      </c>
      <c r="AK678" s="79">
        <v>0</v>
      </c>
      <c r="AL678" s="79">
        <v>0</v>
      </c>
      <c r="AM678" s="79" t="s">
        <v>2092</v>
      </c>
      <c r="AN678" s="114" t="str">
        <f>HYPERLINK("https://www.youtube.com/watch?v=VGQ87baO4ho")</f>
        <v>https://www.youtube.com/watch?v=VGQ87baO4ho</v>
      </c>
      <c r="AO678" s="78" t="str">
        <f>REPLACE(INDEX(GroupVertices[Group],MATCH(Vertices[[#This Row],[Vertex]],GroupVertices[Vertex],0)),1,1,"")</f>
        <v>rofessor Q</v>
      </c>
      <c r="AP678" s="2"/>
      <c r="AQ678" s="3"/>
      <c r="AR678" s="3"/>
      <c r="AS678" s="3"/>
      <c r="AT678" s="3"/>
    </row>
    <row r="679" spans="1:46" ht="15">
      <c r="A679" s="64" t="s">
        <v>2465</v>
      </c>
      <c r="B679" s="65"/>
      <c r="C679" s="65"/>
      <c r="D679" s="66">
        <v>150</v>
      </c>
      <c r="E679" s="102">
        <v>97.85714285714286</v>
      </c>
      <c r="F679" s="98" t="str">
        <f>HYPERLINK("https://i.ytimg.com/vi/vbdlo1_ewGM/default.jpg")</f>
        <v>https://i.ytimg.com/vi/vbdlo1_ewGM/default.jpg</v>
      </c>
      <c r="G679" s="100"/>
      <c r="H679" s="69" t="s">
        <v>2938</v>
      </c>
      <c r="I679" s="70"/>
      <c r="J679" s="104" t="s">
        <v>159</v>
      </c>
      <c r="K679" s="69" t="s">
        <v>2938</v>
      </c>
      <c r="L679" s="105">
        <v>1</v>
      </c>
      <c r="M679" s="74">
        <v>1725.5782470703125</v>
      </c>
      <c r="N679" s="74">
        <v>1616.8314208984375</v>
      </c>
      <c r="O679" s="75"/>
      <c r="P679" s="76"/>
      <c r="Q679" s="76"/>
      <c r="R679" s="106"/>
      <c r="S679" s="48">
        <v>1</v>
      </c>
      <c r="T679" s="48">
        <v>0</v>
      </c>
      <c r="U679" s="49">
        <v>0</v>
      </c>
      <c r="V679" s="49">
        <v>0.183632</v>
      </c>
      <c r="W679" s="107"/>
      <c r="X679" s="50"/>
      <c r="Y679" s="50"/>
      <c r="Z679" s="49">
        <v>0</v>
      </c>
      <c r="AA679" s="71">
        <v>679</v>
      </c>
      <c r="AB679" s="71"/>
      <c r="AC679" s="72"/>
      <c r="AD679" s="79" t="s">
        <v>2938</v>
      </c>
      <c r="AE679" s="79"/>
      <c r="AF679" s="79"/>
      <c r="AG679" s="79" t="s">
        <v>3894</v>
      </c>
      <c r="AH679" s="79" t="s">
        <v>4307</v>
      </c>
      <c r="AI679" s="79">
        <v>6</v>
      </c>
      <c r="AJ679" s="79">
        <v>0</v>
      </c>
      <c r="AK679" s="79">
        <v>0</v>
      </c>
      <c r="AL679" s="79">
        <v>0</v>
      </c>
      <c r="AM679" s="79" t="s">
        <v>2092</v>
      </c>
      <c r="AN679" s="114" t="str">
        <f>HYPERLINK("https://www.youtube.com/watch?v=vbdlo1_ewGM")</f>
        <v>https://www.youtube.com/watch?v=vbdlo1_ewGM</v>
      </c>
      <c r="AO679" s="78" t="str">
        <f>REPLACE(INDEX(GroupVertices[Group],MATCH(Vertices[[#This Row],[Vertex]],GroupVertices[Vertex],0)),1,1,"")</f>
        <v>rofessor Q</v>
      </c>
      <c r="AP679" s="2"/>
      <c r="AQ679" s="3"/>
      <c r="AR679" s="3"/>
      <c r="AS679" s="3"/>
      <c r="AT679" s="3"/>
    </row>
    <row r="680" spans="1:46" ht="15">
      <c r="A680" s="64" t="s">
        <v>2466</v>
      </c>
      <c r="B680" s="65"/>
      <c r="C680" s="65"/>
      <c r="D680" s="66">
        <v>150</v>
      </c>
      <c r="E680" s="102">
        <v>97.85714285714286</v>
      </c>
      <c r="F680" s="98" t="str">
        <f>HYPERLINK("https://i.ytimg.com/vi/2vnATcE98Mc/default.jpg")</f>
        <v>https://i.ytimg.com/vi/2vnATcE98Mc/default.jpg</v>
      </c>
      <c r="G680" s="100"/>
      <c r="H680" s="69" t="s">
        <v>2939</v>
      </c>
      <c r="I680" s="70"/>
      <c r="J680" s="104" t="s">
        <v>159</v>
      </c>
      <c r="K680" s="69" t="s">
        <v>2939</v>
      </c>
      <c r="L680" s="105">
        <v>1</v>
      </c>
      <c r="M680" s="74">
        <v>2360.9189453125</v>
      </c>
      <c r="N680" s="74">
        <v>1171.01953125</v>
      </c>
      <c r="O680" s="75"/>
      <c r="P680" s="76"/>
      <c r="Q680" s="76"/>
      <c r="R680" s="106"/>
      <c r="S680" s="48">
        <v>1</v>
      </c>
      <c r="T680" s="48">
        <v>0</v>
      </c>
      <c r="U680" s="49">
        <v>0</v>
      </c>
      <c r="V680" s="49">
        <v>0.183632</v>
      </c>
      <c r="W680" s="107"/>
      <c r="X680" s="50"/>
      <c r="Y680" s="50"/>
      <c r="Z680" s="49">
        <v>0</v>
      </c>
      <c r="AA680" s="71">
        <v>680</v>
      </c>
      <c r="AB680" s="71"/>
      <c r="AC680" s="72"/>
      <c r="AD680" s="79" t="s">
        <v>2939</v>
      </c>
      <c r="AE680" s="79" t="s">
        <v>3367</v>
      </c>
      <c r="AF680" s="79" t="s">
        <v>3632</v>
      </c>
      <c r="AG680" s="79" t="s">
        <v>3895</v>
      </c>
      <c r="AH680" s="79" t="s">
        <v>4308</v>
      </c>
      <c r="AI680" s="79">
        <v>381</v>
      </c>
      <c r="AJ680" s="79">
        <v>3</v>
      </c>
      <c r="AK680" s="79">
        <v>12</v>
      </c>
      <c r="AL680" s="79">
        <v>0</v>
      </c>
      <c r="AM680" s="79" t="s">
        <v>2092</v>
      </c>
      <c r="AN680" s="114" t="str">
        <f>HYPERLINK("https://www.youtube.com/watch?v=2vnATcE98Mc")</f>
        <v>https://www.youtube.com/watch?v=2vnATcE98Mc</v>
      </c>
      <c r="AO680" s="78" t="str">
        <f>REPLACE(INDEX(GroupVertices[Group],MATCH(Vertices[[#This Row],[Vertex]],GroupVertices[Vertex],0)),1,1,"")</f>
        <v>edical lectures and tricks</v>
      </c>
      <c r="AP680" s="2"/>
      <c r="AQ680" s="3"/>
      <c r="AR680" s="3"/>
      <c r="AS680" s="3"/>
      <c r="AT680" s="3"/>
    </row>
    <row r="681" spans="1:46" ht="15">
      <c r="A681" s="64" t="s">
        <v>2467</v>
      </c>
      <c r="B681" s="65"/>
      <c r="C681" s="65"/>
      <c r="D681" s="66">
        <v>150</v>
      </c>
      <c r="E681" s="102">
        <v>97.85714285714286</v>
      </c>
      <c r="F681" s="98" t="str">
        <f>HYPERLINK("https://i.ytimg.com/vi/9pvpZru6qCA/default.jpg")</f>
        <v>https://i.ytimg.com/vi/9pvpZru6qCA/default.jpg</v>
      </c>
      <c r="G681" s="100"/>
      <c r="H681" s="69" t="s">
        <v>2940</v>
      </c>
      <c r="I681" s="70"/>
      <c r="J681" s="104" t="s">
        <v>159</v>
      </c>
      <c r="K681" s="69" t="s">
        <v>2940</v>
      </c>
      <c r="L681" s="105">
        <v>1</v>
      </c>
      <c r="M681" s="74">
        <v>1734.1029052734375</v>
      </c>
      <c r="N681" s="74">
        <v>1200.193359375</v>
      </c>
      <c r="O681" s="75"/>
      <c r="P681" s="76"/>
      <c r="Q681" s="76"/>
      <c r="R681" s="106"/>
      <c r="S681" s="48">
        <v>1</v>
      </c>
      <c r="T681" s="48">
        <v>0</v>
      </c>
      <c r="U681" s="49">
        <v>0</v>
      </c>
      <c r="V681" s="49">
        <v>0.183632</v>
      </c>
      <c r="W681" s="107"/>
      <c r="X681" s="50"/>
      <c r="Y681" s="50"/>
      <c r="Z681" s="49">
        <v>0</v>
      </c>
      <c r="AA681" s="71">
        <v>681</v>
      </c>
      <c r="AB681" s="71"/>
      <c r="AC681" s="72"/>
      <c r="AD681" s="79" t="s">
        <v>2940</v>
      </c>
      <c r="AE681" s="79"/>
      <c r="AF681" s="79"/>
      <c r="AG681" s="79" t="s">
        <v>3894</v>
      </c>
      <c r="AH681" s="79" t="s">
        <v>4309</v>
      </c>
      <c r="AI681" s="79">
        <v>15</v>
      </c>
      <c r="AJ681" s="79">
        <v>0</v>
      </c>
      <c r="AK681" s="79">
        <v>0</v>
      </c>
      <c r="AL681" s="79">
        <v>0</v>
      </c>
      <c r="AM681" s="79" t="s">
        <v>2092</v>
      </c>
      <c r="AN681" s="114" t="str">
        <f>HYPERLINK("https://www.youtube.com/watch?v=9pvpZru6qCA")</f>
        <v>https://www.youtube.com/watch?v=9pvpZru6qCA</v>
      </c>
      <c r="AO681" s="78" t="str">
        <f>REPLACE(INDEX(GroupVertices[Group],MATCH(Vertices[[#This Row],[Vertex]],GroupVertices[Vertex],0)),1,1,"")</f>
        <v>rofessor Q</v>
      </c>
      <c r="AP681" s="2"/>
      <c r="AQ681" s="3"/>
      <c r="AR681" s="3"/>
      <c r="AS681" s="3"/>
      <c r="AT681" s="3"/>
    </row>
    <row r="682" spans="1:46" ht="15">
      <c r="A682" s="64" t="s">
        <v>2468</v>
      </c>
      <c r="B682" s="65"/>
      <c r="C682" s="65"/>
      <c r="D682" s="66">
        <v>150</v>
      </c>
      <c r="E682" s="102">
        <v>97.85714285714286</v>
      </c>
      <c r="F682" s="98" t="str">
        <f>HYPERLINK("https://i.ytimg.com/vi/k_dcugPFDdY/default.jpg")</f>
        <v>https://i.ytimg.com/vi/k_dcugPFDdY/default.jpg</v>
      </c>
      <c r="G682" s="100"/>
      <c r="H682" s="69" t="s">
        <v>2941</v>
      </c>
      <c r="I682" s="70"/>
      <c r="J682" s="104" t="s">
        <v>159</v>
      </c>
      <c r="K682" s="69" t="s">
        <v>2941</v>
      </c>
      <c r="L682" s="105">
        <v>1</v>
      </c>
      <c r="M682" s="74">
        <v>2297.624755859375</v>
      </c>
      <c r="N682" s="74">
        <v>1709.4219970703125</v>
      </c>
      <c r="O682" s="75"/>
      <c r="P682" s="76"/>
      <c r="Q682" s="76"/>
      <c r="R682" s="106"/>
      <c r="S682" s="48">
        <v>1</v>
      </c>
      <c r="T682" s="48">
        <v>0</v>
      </c>
      <c r="U682" s="49">
        <v>0</v>
      </c>
      <c r="V682" s="49">
        <v>0.183632</v>
      </c>
      <c r="W682" s="107"/>
      <c r="X682" s="50"/>
      <c r="Y682" s="50"/>
      <c r="Z682" s="49">
        <v>0</v>
      </c>
      <c r="AA682" s="71">
        <v>682</v>
      </c>
      <c r="AB682" s="71"/>
      <c r="AC682" s="72"/>
      <c r="AD682" s="79" t="s">
        <v>2941</v>
      </c>
      <c r="AE682" s="79" t="s">
        <v>3368</v>
      </c>
      <c r="AF682" s="79" t="s">
        <v>3633</v>
      </c>
      <c r="AG682" s="79" t="s">
        <v>3896</v>
      </c>
      <c r="AH682" s="79" t="s">
        <v>4310</v>
      </c>
      <c r="AI682" s="79">
        <v>13</v>
      </c>
      <c r="AJ682" s="79">
        <v>1</v>
      </c>
      <c r="AK682" s="79">
        <v>1</v>
      </c>
      <c r="AL682" s="79">
        <v>0</v>
      </c>
      <c r="AM682" s="79" t="s">
        <v>2092</v>
      </c>
      <c r="AN682" s="114" t="str">
        <f>HYPERLINK("https://www.youtube.com/watch?v=k_dcugPFDdY")</f>
        <v>https://www.youtube.com/watch?v=k_dcugPFDdY</v>
      </c>
      <c r="AO682" s="78" t="str">
        <f>REPLACE(INDEX(GroupVertices[Group],MATCH(Vertices[[#This Row],[Vertex]],GroupVertices[Vertex],0)),1,1,"")</f>
        <v>he Financial Vault</v>
      </c>
      <c r="AP682" s="2"/>
      <c r="AQ682" s="3"/>
      <c r="AR682" s="3"/>
      <c r="AS682" s="3"/>
      <c r="AT682" s="3"/>
    </row>
    <row r="683" spans="1:46" ht="15">
      <c r="A683" s="64" t="s">
        <v>2469</v>
      </c>
      <c r="B683" s="65"/>
      <c r="C683" s="65"/>
      <c r="D683" s="66">
        <v>150</v>
      </c>
      <c r="E683" s="102">
        <v>97.85714285714286</v>
      </c>
      <c r="F683" s="98" t="str">
        <f>HYPERLINK("https://i.ytimg.com/vi/sKpGI2sfWlQ/default.jpg")</f>
        <v>https://i.ytimg.com/vi/sKpGI2sfWlQ/default.jpg</v>
      </c>
      <c r="G683" s="100"/>
      <c r="H683" s="69" t="s">
        <v>2942</v>
      </c>
      <c r="I683" s="70"/>
      <c r="J683" s="104" t="s">
        <v>159</v>
      </c>
      <c r="K683" s="69" t="s">
        <v>2942</v>
      </c>
      <c r="L683" s="105">
        <v>1</v>
      </c>
      <c r="M683" s="74">
        <v>2281.0517578125</v>
      </c>
      <c r="N683" s="74">
        <v>2584.6591796875</v>
      </c>
      <c r="O683" s="75"/>
      <c r="P683" s="76"/>
      <c r="Q683" s="76"/>
      <c r="R683" s="106"/>
      <c r="S683" s="48">
        <v>1</v>
      </c>
      <c r="T683" s="48">
        <v>0</v>
      </c>
      <c r="U683" s="49">
        <v>0</v>
      </c>
      <c r="V683" s="49">
        <v>0.183632</v>
      </c>
      <c r="W683" s="107"/>
      <c r="X683" s="50"/>
      <c r="Y683" s="50"/>
      <c r="Z683" s="49">
        <v>0</v>
      </c>
      <c r="AA683" s="71">
        <v>683</v>
      </c>
      <c r="AB683" s="71"/>
      <c r="AC683" s="72"/>
      <c r="AD683" s="79" t="s">
        <v>2942</v>
      </c>
      <c r="AE683" s="79" t="s">
        <v>3369</v>
      </c>
      <c r="AF683" s="79" t="s">
        <v>3634</v>
      </c>
      <c r="AG683" s="79" t="s">
        <v>3897</v>
      </c>
      <c r="AH683" s="79" t="s">
        <v>4311</v>
      </c>
      <c r="AI683" s="79">
        <v>23</v>
      </c>
      <c r="AJ683" s="79">
        <v>0</v>
      </c>
      <c r="AK683" s="79">
        <v>2</v>
      </c>
      <c r="AL683" s="79">
        <v>0</v>
      </c>
      <c r="AM683" s="79" t="s">
        <v>2092</v>
      </c>
      <c r="AN683" s="114" t="str">
        <f>HYPERLINK("https://www.youtube.com/watch?v=sKpGI2sfWlQ")</f>
        <v>https://www.youtube.com/watch?v=sKpGI2sfWlQ</v>
      </c>
      <c r="AO683" s="78" t="str">
        <f>REPLACE(INDEX(GroupVertices[Group],MATCH(Vertices[[#This Row],[Vertex]],GroupVertices[Vertex],0)),1,1,"")</f>
        <v>r Varudhini Kankipati</v>
      </c>
      <c r="AP683" s="2"/>
      <c r="AQ683" s="3"/>
      <c r="AR683" s="3"/>
      <c r="AS683" s="3"/>
      <c r="AT683" s="3"/>
    </row>
    <row r="684" spans="1:46" ht="15">
      <c r="A684" s="64" t="s">
        <v>2470</v>
      </c>
      <c r="B684" s="65"/>
      <c r="C684" s="65"/>
      <c r="D684" s="66">
        <v>150</v>
      </c>
      <c r="E684" s="102">
        <v>97.85714285714286</v>
      </c>
      <c r="F684" s="98" t="str">
        <f>HYPERLINK("https://i.ytimg.com/vi/s8YVsJqBKe0/default.jpg")</f>
        <v>https://i.ytimg.com/vi/s8YVsJqBKe0/default.jpg</v>
      </c>
      <c r="G684" s="100"/>
      <c r="H684" s="69" t="s">
        <v>2943</v>
      </c>
      <c r="I684" s="70"/>
      <c r="J684" s="104" t="s">
        <v>159</v>
      </c>
      <c r="K684" s="69" t="s">
        <v>2943</v>
      </c>
      <c r="L684" s="105">
        <v>1</v>
      </c>
      <c r="M684" s="74">
        <v>2495.76123046875</v>
      </c>
      <c r="N684" s="74">
        <v>1790.8204345703125</v>
      </c>
      <c r="O684" s="75"/>
      <c r="P684" s="76"/>
      <c r="Q684" s="76"/>
      <c r="R684" s="106"/>
      <c r="S684" s="48">
        <v>1</v>
      </c>
      <c r="T684" s="48">
        <v>0</v>
      </c>
      <c r="U684" s="49">
        <v>0</v>
      </c>
      <c r="V684" s="49">
        <v>0.183632</v>
      </c>
      <c r="W684" s="107"/>
      <c r="X684" s="50"/>
      <c r="Y684" s="50"/>
      <c r="Z684" s="49">
        <v>0</v>
      </c>
      <c r="AA684" s="71">
        <v>684</v>
      </c>
      <c r="AB684" s="71"/>
      <c r="AC684" s="72"/>
      <c r="AD684" s="79" t="s">
        <v>2943</v>
      </c>
      <c r="AE684" s="79" t="s">
        <v>3370</v>
      </c>
      <c r="AF684" s="79" t="s">
        <v>3635</v>
      </c>
      <c r="AG684" s="79" t="s">
        <v>3898</v>
      </c>
      <c r="AH684" s="79" t="s">
        <v>4312</v>
      </c>
      <c r="AI684" s="79">
        <v>2577</v>
      </c>
      <c r="AJ684" s="79">
        <v>9</v>
      </c>
      <c r="AK684" s="79">
        <v>122</v>
      </c>
      <c r="AL684" s="79">
        <v>0</v>
      </c>
      <c r="AM684" s="79" t="s">
        <v>2092</v>
      </c>
      <c r="AN684" s="114" t="str">
        <f>HYPERLINK("https://www.youtube.com/watch?v=s8YVsJqBKe0")</f>
        <v>https://www.youtube.com/watch?v=s8YVsJqBKe0</v>
      </c>
      <c r="AO684" s="78" t="str">
        <f>REPLACE(INDEX(GroupVertices[Group],MATCH(Vertices[[#This Row],[Vertex]],GroupVertices[Vertex],0)),1,1,"")</f>
        <v>nfomania</v>
      </c>
      <c r="AP684" s="2"/>
      <c r="AQ684" s="3"/>
      <c r="AR684" s="3"/>
      <c r="AS684" s="3"/>
      <c r="AT684" s="3"/>
    </row>
    <row r="685" spans="1:46" ht="15">
      <c r="A685" s="64" t="s">
        <v>2471</v>
      </c>
      <c r="B685" s="65"/>
      <c r="C685" s="65"/>
      <c r="D685" s="66">
        <v>150</v>
      </c>
      <c r="E685" s="102">
        <v>97.85714285714286</v>
      </c>
      <c r="F685" s="98" t="str">
        <f>HYPERLINK("https://i.ytimg.com/vi/n0TQn6Htvk4/default.jpg")</f>
        <v>https://i.ytimg.com/vi/n0TQn6Htvk4/default.jpg</v>
      </c>
      <c r="G685" s="100"/>
      <c r="H685" s="69" t="s">
        <v>2944</v>
      </c>
      <c r="I685" s="70"/>
      <c r="J685" s="104" t="s">
        <v>159</v>
      </c>
      <c r="K685" s="69" t="s">
        <v>2944</v>
      </c>
      <c r="L685" s="105">
        <v>1</v>
      </c>
      <c r="M685" s="74">
        <v>1612.412841796875</v>
      </c>
      <c r="N685" s="74">
        <v>2368.860107421875</v>
      </c>
      <c r="O685" s="75"/>
      <c r="P685" s="76"/>
      <c r="Q685" s="76"/>
      <c r="R685" s="106"/>
      <c r="S685" s="48">
        <v>1</v>
      </c>
      <c r="T685" s="48">
        <v>0</v>
      </c>
      <c r="U685" s="49">
        <v>0</v>
      </c>
      <c r="V685" s="49">
        <v>0.183632</v>
      </c>
      <c r="W685" s="107"/>
      <c r="X685" s="50"/>
      <c r="Y685" s="50"/>
      <c r="Z685" s="49">
        <v>0</v>
      </c>
      <c r="AA685" s="71">
        <v>685</v>
      </c>
      <c r="AB685" s="71"/>
      <c r="AC685" s="72"/>
      <c r="AD685" s="79" t="s">
        <v>2944</v>
      </c>
      <c r="AE685" s="79" t="s">
        <v>3371</v>
      </c>
      <c r="AF685" s="79" t="s">
        <v>3636</v>
      </c>
      <c r="AG685" s="79" t="s">
        <v>3899</v>
      </c>
      <c r="AH685" s="79" t="s">
        <v>4313</v>
      </c>
      <c r="AI685" s="79">
        <v>23</v>
      </c>
      <c r="AJ685" s="79">
        <v>1</v>
      </c>
      <c r="AK685" s="79">
        <v>3</v>
      </c>
      <c r="AL685" s="79">
        <v>0</v>
      </c>
      <c r="AM685" s="79" t="s">
        <v>2092</v>
      </c>
      <c r="AN685" s="114" t="str">
        <f>HYPERLINK("https://www.youtube.com/watch?v=n0TQn6Htvk4")</f>
        <v>https://www.youtube.com/watch?v=n0TQn6Htvk4</v>
      </c>
      <c r="AO685" s="78" t="str">
        <f>REPLACE(INDEX(GroupVertices[Group],MATCH(Vertices[[#This Row],[Vertex]],GroupVertices[Vertex],0)),1,1,"")</f>
        <v>anji Alo</v>
      </c>
      <c r="AP685" s="2"/>
      <c r="AQ685" s="3"/>
      <c r="AR685" s="3"/>
      <c r="AS685" s="3"/>
      <c r="AT685" s="3"/>
    </row>
    <row r="686" spans="1:46" ht="15">
      <c r="A686" s="64" t="s">
        <v>2472</v>
      </c>
      <c r="B686" s="65"/>
      <c r="C686" s="65"/>
      <c r="D686" s="66">
        <v>150</v>
      </c>
      <c r="E686" s="102">
        <v>97.85714285714286</v>
      </c>
      <c r="F686" s="98" t="str">
        <f>HYPERLINK("https://i.ytimg.com/vi/y8Mlv3asebU/default.jpg")</f>
        <v>https://i.ytimg.com/vi/y8Mlv3asebU/default.jpg</v>
      </c>
      <c r="G686" s="100"/>
      <c r="H686" s="69" t="s">
        <v>2945</v>
      </c>
      <c r="I686" s="70"/>
      <c r="J686" s="104" t="s">
        <v>159</v>
      </c>
      <c r="K686" s="69" t="s">
        <v>2945</v>
      </c>
      <c r="L686" s="105">
        <v>1</v>
      </c>
      <c r="M686" s="74">
        <v>1438.7279052734375</v>
      </c>
      <c r="N686" s="74">
        <v>2667.068359375</v>
      </c>
      <c r="O686" s="75"/>
      <c r="P686" s="76"/>
      <c r="Q686" s="76"/>
      <c r="R686" s="106"/>
      <c r="S686" s="48">
        <v>1</v>
      </c>
      <c r="T686" s="48">
        <v>0</v>
      </c>
      <c r="U686" s="49">
        <v>0</v>
      </c>
      <c r="V686" s="49">
        <v>0.183632</v>
      </c>
      <c r="W686" s="107"/>
      <c r="X686" s="50"/>
      <c r="Y686" s="50"/>
      <c r="Z686" s="49">
        <v>0</v>
      </c>
      <c r="AA686" s="71">
        <v>686</v>
      </c>
      <c r="AB686" s="71"/>
      <c r="AC686" s="72"/>
      <c r="AD686" s="79" t="s">
        <v>2945</v>
      </c>
      <c r="AE686" s="79" t="s">
        <v>3372</v>
      </c>
      <c r="AF686" s="79"/>
      <c r="AG686" s="79" t="s">
        <v>3900</v>
      </c>
      <c r="AH686" s="79" t="s">
        <v>4314</v>
      </c>
      <c r="AI686" s="79">
        <v>5810</v>
      </c>
      <c r="AJ686" s="79">
        <v>11</v>
      </c>
      <c r="AK686" s="79">
        <v>84</v>
      </c>
      <c r="AL686" s="79">
        <v>0</v>
      </c>
      <c r="AM686" s="79" t="s">
        <v>2092</v>
      </c>
      <c r="AN686" s="114" t="str">
        <f>HYPERLINK("https://www.youtube.com/watch?v=y8Mlv3asebU")</f>
        <v>https://www.youtube.com/watch?v=y8Mlv3asebU</v>
      </c>
      <c r="AO686" s="78" t="str">
        <f>REPLACE(INDEX(GroupVertices[Group],MATCH(Vertices[[#This Row],[Vertex]],GroupVertices[Vertex],0)),1,1,"")</f>
        <v>enter for Rusmiddelforskning</v>
      </c>
      <c r="AP686" s="2"/>
      <c r="AQ686" s="3"/>
      <c r="AR686" s="3"/>
      <c r="AS686" s="3"/>
      <c r="AT686" s="3"/>
    </row>
    <row r="687" spans="1:46" ht="15">
      <c r="A687" s="64" t="s">
        <v>2473</v>
      </c>
      <c r="B687" s="65"/>
      <c r="C687" s="65"/>
      <c r="D687" s="66">
        <v>150</v>
      </c>
      <c r="E687" s="102">
        <v>97.85714285714286</v>
      </c>
      <c r="F687" s="98" t="str">
        <f>HYPERLINK("https://i.ytimg.com/vi/g399lSiehu0/default.jpg")</f>
        <v>https://i.ytimg.com/vi/g399lSiehu0/default.jpg</v>
      </c>
      <c r="G687" s="100"/>
      <c r="H687" s="69" t="s">
        <v>2946</v>
      </c>
      <c r="I687" s="70"/>
      <c r="J687" s="104" t="s">
        <v>159</v>
      </c>
      <c r="K687" s="69" t="s">
        <v>2946</v>
      </c>
      <c r="L687" s="105">
        <v>1</v>
      </c>
      <c r="M687" s="74">
        <v>2168.0087890625</v>
      </c>
      <c r="N687" s="74">
        <v>2002.4622802734375</v>
      </c>
      <c r="O687" s="75"/>
      <c r="P687" s="76"/>
      <c r="Q687" s="76"/>
      <c r="R687" s="106"/>
      <c r="S687" s="48">
        <v>1</v>
      </c>
      <c r="T687" s="48">
        <v>0</v>
      </c>
      <c r="U687" s="49">
        <v>0</v>
      </c>
      <c r="V687" s="49">
        <v>0.183632</v>
      </c>
      <c r="W687" s="107"/>
      <c r="X687" s="50"/>
      <c r="Y687" s="50"/>
      <c r="Z687" s="49">
        <v>0</v>
      </c>
      <c r="AA687" s="71">
        <v>687</v>
      </c>
      <c r="AB687" s="71"/>
      <c r="AC687" s="72"/>
      <c r="AD687" s="79" t="s">
        <v>2946</v>
      </c>
      <c r="AE687" s="79" t="s">
        <v>3373</v>
      </c>
      <c r="AF687" s="79"/>
      <c r="AG687" s="79" t="s">
        <v>3901</v>
      </c>
      <c r="AH687" s="79" t="s">
        <v>4315</v>
      </c>
      <c r="AI687" s="79">
        <v>1148</v>
      </c>
      <c r="AJ687" s="79">
        <v>2</v>
      </c>
      <c r="AK687" s="79">
        <v>61</v>
      </c>
      <c r="AL687" s="79">
        <v>0</v>
      </c>
      <c r="AM687" s="79" t="s">
        <v>2092</v>
      </c>
      <c r="AN687" s="114" t="str">
        <f>HYPERLINK("https://www.youtube.com/watch?v=g399lSiehu0")</f>
        <v>https://www.youtube.com/watch?v=g399lSiehu0</v>
      </c>
      <c r="AO687" s="78" t="str">
        <f>REPLACE(INDEX(GroupVertices[Group],MATCH(Vertices[[#This Row],[Vertex]],GroupVertices[Vertex],0)),1,1,"")</f>
        <v>r.Gomathi Priyadharsini</v>
      </c>
      <c r="AP687" s="2"/>
      <c r="AQ687" s="3"/>
      <c r="AR687" s="3"/>
      <c r="AS687" s="3"/>
      <c r="AT687" s="3"/>
    </row>
    <row r="688" spans="1:46" ht="15">
      <c r="A688" s="64" t="s">
        <v>2474</v>
      </c>
      <c r="B688" s="65"/>
      <c r="C688" s="65"/>
      <c r="D688" s="66">
        <v>150</v>
      </c>
      <c r="E688" s="102">
        <v>97.85714285714286</v>
      </c>
      <c r="F688" s="98" t="str">
        <f>HYPERLINK("https://i.ytimg.com/vi/YUqTQ5whJGc/default.jpg")</f>
        <v>https://i.ytimg.com/vi/YUqTQ5whJGc/default.jpg</v>
      </c>
      <c r="G688" s="100"/>
      <c r="H688" s="69" t="s">
        <v>2947</v>
      </c>
      <c r="I688" s="70"/>
      <c r="J688" s="104" t="s">
        <v>159</v>
      </c>
      <c r="K688" s="69" t="s">
        <v>2947</v>
      </c>
      <c r="L688" s="105">
        <v>1</v>
      </c>
      <c r="M688" s="74">
        <v>1769.6341552734375</v>
      </c>
      <c r="N688" s="74">
        <v>1020.3566284179688</v>
      </c>
      <c r="O688" s="75"/>
      <c r="P688" s="76"/>
      <c r="Q688" s="76"/>
      <c r="R688" s="106"/>
      <c r="S688" s="48">
        <v>1</v>
      </c>
      <c r="T688" s="48">
        <v>0</v>
      </c>
      <c r="U688" s="49">
        <v>0</v>
      </c>
      <c r="V688" s="49">
        <v>0.183632</v>
      </c>
      <c r="W688" s="107"/>
      <c r="X688" s="50"/>
      <c r="Y688" s="50"/>
      <c r="Z688" s="49">
        <v>0</v>
      </c>
      <c r="AA688" s="71">
        <v>688</v>
      </c>
      <c r="AB688" s="71"/>
      <c r="AC688" s="72"/>
      <c r="AD688" s="79" t="s">
        <v>2947</v>
      </c>
      <c r="AE688" s="79" t="s">
        <v>3374</v>
      </c>
      <c r="AF688" s="79"/>
      <c r="AG688" s="79" t="s">
        <v>3902</v>
      </c>
      <c r="AH688" s="79" t="s">
        <v>4316</v>
      </c>
      <c r="AI688" s="79">
        <v>14</v>
      </c>
      <c r="AJ688" s="79">
        <v>0</v>
      </c>
      <c r="AK688" s="79">
        <v>0</v>
      </c>
      <c r="AL688" s="79">
        <v>0</v>
      </c>
      <c r="AM688" s="79" t="s">
        <v>2092</v>
      </c>
      <c r="AN688" s="114" t="str">
        <f>HYPERLINK("https://www.youtube.com/watch?v=YUqTQ5whJGc")</f>
        <v>https://www.youtube.com/watch?v=YUqTQ5whJGc</v>
      </c>
      <c r="AO688" s="78" t="str">
        <f>REPLACE(INDEX(GroupVertices[Group],MATCH(Vertices[[#This Row],[Vertex]],GroupVertices[Vertex],0)),1,1,"")</f>
        <v>tigmaCrusher</v>
      </c>
      <c r="AP688" s="2"/>
      <c r="AQ688" s="3"/>
      <c r="AR688" s="3"/>
      <c r="AS688" s="3"/>
      <c r="AT688" s="3"/>
    </row>
    <row r="689" spans="1:46" ht="15">
      <c r="A689" s="64" t="s">
        <v>2475</v>
      </c>
      <c r="B689" s="65"/>
      <c r="C689" s="65"/>
      <c r="D689" s="66">
        <v>150</v>
      </c>
      <c r="E689" s="102">
        <v>97.85714285714286</v>
      </c>
      <c r="F689" s="98" t="str">
        <f>HYPERLINK("https://i.ytimg.com/vi/06iBvG7z4gg/default.jpg")</f>
        <v>https://i.ytimg.com/vi/06iBvG7z4gg/default.jpg</v>
      </c>
      <c r="G689" s="100"/>
      <c r="H689" s="69" t="s">
        <v>2948</v>
      </c>
      <c r="I689" s="70"/>
      <c r="J689" s="104" t="s">
        <v>159</v>
      </c>
      <c r="K689" s="69" t="s">
        <v>2948</v>
      </c>
      <c r="L689" s="105">
        <v>1</v>
      </c>
      <c r="M689" s="74">
        <v>2368.762939453125</v>
      </c>
      <c r="N689" s="74">
        <v>2004.610595703125</v>
      </c>
      <c r="O689" s="75"/>
      <c r="P689" s="76"/>
      <c r="Q689" s="76"/>
      <c r="R689" s="106"/>
      <c r="S689" s="48">
        <v>1</v>
      </c>
      <c r="T689" s="48">
        <v>0</v>
      </c>
      <c r="U689" s="49">
        <v>0</v>
      </c>
      <c r="V689" s="49">
        <v>0.183632</v>
      </c>
      <c r="W689" s="107"/>
      <c r="X689" s="50"/>
      <c r="Y689" s="50"/>
      <c r="Z689" s="49">
        <v>0</v>
      </c>
      <c r="AA689" s="71">
        <v>689</v>
      </c>
      <c r="AB689" s="71"/>
      <c r="AC689" s="72"/>
      <c r="AD689" s="79" t="s">
        <v>2948</v>
      </c>
      <c r="AE689" s="79" t="s">
        <v>3375</v>
      </c>
      <c r="AF689" s="79"/>
      <c r="AG689" s="79" t="s">
        <v>3903</v>
      </c>
      <c r="AH689" s="79" t="s">
        <v>4317</v>
      </c>
      <c r="AI689" s="79">
        <v>47</v>
      </c>
      <c r="AJ689" s="79">
        <v>0</v>
      </c>
      <c r="AK689" s="79">
        <v>0</v>
      </c>
      <c r="AL689" s="79">
        <v>0</v>
      </c>
      <c r="AM689" s="79" t="s">
        <v>2092</v>
      </c>
      <c r="AN689" s="114" t="str">
        <f>HYPERLINK("https://www.youtube.com/watch?v=06iBvG7z4gg")</f>
        <v>https://www.youtube.com/watch?v=06iBvG7z4gg</v>
      </c>
      <c r="AO689" s="78" t="str">
        <f>REPLACE(INDEX(GroupVertices[Group],MATCH(Vertices[[#This Row],[Vertex]],GroupVertices[Vertex],0)),1,1,"")</f>
        <v>hared Health Foundation</v>
      </c>
      <c r="AP689" s="2"/>
      <c r="AQ689" s="3"/>
      <c r="AR689" s="3"/>
      <c r="AS689" s="3"/>
      <c r="AT689" s="3"/>
    </row>
    <row r="690" spans="1:46" ht="15">
      <c r="A690" s="64" t="s">
        <v>2476</v>
      </c>
      <c r="B690" s="65"/>
      <c r="C690" s="65"/>
      <c r="D690" s="66">
        <v>150</v>
      </c>
      <c r="E690" s="102">
        <v>97.85714285714286</v>
      </c>
      <c r="F690" s="98" t="str">
        <f>HYPERLINK("https://i.ytimg.com/vi/Mjs1_e5QL80/default.jpg")</f>
        <v>https://i.ytimg.com/vi/Mjs1_e5QL80/default.jpg</v>
      </c>
      <c r="G690" s="100"/>
      <c r="H690" s="69" t="s">
        <v>2949</v>
      </c>
      <c r="I690" s="70"/>
      <c r="J690" s="104" t="s">
        <v>159</v>
      </c>
      <c r="K690" s="69" t="s">
        <v>2949</v>
      </c>
      <c r="L690" s="105">
        <v>1</v>
      </c>
      <c r="M690" s="74">
        <v>2122.922607421875</v>
      </c>
      <c r="N690" s="74">
        <v>908.2000122070312</v>
      </c>
      <c r="O690" s="75"/>
      <c r="P690" s="76"/>
      <c r="Q690" s="76"/>
      <c r="R690" s="106"/>
      <c r="S690" s="48">
        <v>1</v>
      </c>
      <c r="T690" s="48">
        <v>0</v>
      </c>
      <c r="U690" s="49">
        <v>0</v>
      </c>
      <c r="V690" s="49">
        <v>0.183632</v>
      </c>
      <c r="W690" s="107"/>
      <c r="X690" s="50"/>
      <c r="Y690" s="50"/>
      <c r="Z690" s="49">
        <v>0</v>
      </c>
      <c r="AA690" s="71">
        <v>690</v>
      </c>
      <c r="AB690" s="71"/>
      <c r="AC690" s="72"/>
      <c r="AD690" s="79" t="s">
        <v>2949</v>
      </c>
      <c r="AE690" s="79" t="s">
        <v>3376</v>
      </c>
      <c r="AF690" s="79" t="s">
        <v>3637</v>
      </c>
      <c r="AG690" s="79" t="s">
        <v>3897</v>
      </c>
      <c r="AH690" s="79" t="s">
        <v>4318</v>
      </c>
      <c r="AI690" s="79">
        <v>4057</v>
      </c>
      <c r="AJ690" s="79">
        <v>12</v>
      </c>
      <c r="AK690" s="79">
        <v>166</v>
      </c>
      <c r="AL690" s="79">
        <v>0</v>
      </c>
      <c r="AM690" s="79" t="s">
        <v>2092</v>
      </c>
      <c r="AN690" s="114" t="str">
        <f>HYPERLINK("https://www.youtube.com/watch?v=Mjs1_e5QL80")</f>
        <v>https://www.youtube.com/watch?v=Mjs1_e5QL80</v>
      </c>
      <c r="AO690" s="78" t="str">
        <f>REPLACE(INDEX(GroupVertices[Group],MATCH(Vertices[[#This Row],[Vertex]],GroupVertices[Vertex],0)),1,1,"")</f>
        <v>r Varudhini Kankipati</v>
      </c>
      <c r="AP690" s="2"/>
      <c r="AQ690" s="3"/>
      <c r="AR690" s="3"/>
      <c r="AS690" s="3"/>
      <c r="AT690" s="3"/>
    </row>
    <row r="691" spans="1:46" ht="15">
      <c r="A691" s="64" t="s">
        <v>2477</v>
      </c>
      <c r="B691" s="65"/>
      <c r="C691" s="65"/>
      <c r="D691" s="66">
        <v>150</v>
      </c>
      <c r="E691" s="102">
        <v>97.85714285714286</v>
      </c>
      <c r="F691" s="98" t="str">
        <f>HYPERLINK("https://i.ytimg.com/vi/OcI0GtMb75k/default.jpg")</f>
        <v>https://i.ytimg.com/vi/OcI0GtMb75k/default.jpg</v>
      </c>
      <c r="G691" s="100"/>
      <c r="H691" s="69" t="s">
        <v>2950</v>
      </c>
      <c r="I691" s="70"/>
      <c r="J691" s="104" t="s">
        <v>159</v>
      </c>
      <c r="K691" s="69" t="s">
        <v>2950</v>
      </c>
      <c r="L691" s="105">
        <v>1</v>
      </c>
      <c r="M691" s="74">
        <v>1740.6123046875</v>
      </c>
      <c r="N691" s="74">
        <v>2135.810791015625</v>
      </c>
      <c r="O691" s="75"/>
      <c r="P691" s="76"/>
      <c r="Q691" s="76"/>
      <c r="R691" s="106"/>
      <c r="S691" s="48">
        <v>1</v>
      </c>
      <c r="T691" s="48">
        <v>0</v>
      </c>
      <c r="U691" s="49">
        <v>0</v>
      </c>
      <c r="V691" s="49">
        <v>0.183632</v>
      </c>
      <c r="W691" s="107"/>
      <c r="X691" s="50"/>
      <c r="Y691" s="50"/>
      <c r="Z691" s="49">
        <v>0</v>
      </c>
      <c r="AA691" s="71">
        <v>691</v>
      </c>
      <c r="AB691" s="71"/>
      <c r="AC691" s="72"/>
      <c r="AD691" s="79" t="s">
        <v>2950</v>
      </c>
      <c r="AE691" s="79"/>
      <c r="AF691" s="79" t="s">
        <v>3638</v>
      </c>
      <c r="AG691" s="79" t="s">
        <v>1675</v>
      </c>
      <c r="AH691" s="79" t="s">
        <v>4319</v>
      </c>
      <c r="AI691" s="79">
        <v>12520</v>
      </c>
      <c r="AJ691" s="79">
        <v>77</v>
      </c>
      <c r="AK691" s="79">
        <v>348</v>
      </c>
      <c r="AL691" s="79">
        <v>0</v>
      </c>
      <c r="AM691" s="79" t="s">
        <v>2092</v>
      </c>
      <c r="AN691" s="114" t="str">
        <f>HYPERLINK("https://www.youtube.com/watch?v=OcI0GtMb75k")</f>
        <v>https://www.youtube.com/watch?v=OcI0GtMb75k</v>
      </c>
      <c r="AO691" s="78" t="str">
        <f>REPLACE(INDEX(GroupVertices[Group],MATCH(Vertices[[#This Row],[Vertex]],GroupVertices[Vertex],0)),1,1,"")</f>
        <v>ot Like The Others</v>
      </c>
      <c r="AP691" s="2"/>
      <c r="AQ691" s="3"/>
      <c r="AR691" s="3"/>
      <c r="AS691" s="3"/>
      <c r="AT691" s="3"/>
    </row>
    <row r="692" spans="1:46" ht="15">
      <c r="A692" s="64" t="s">
        <v>274</v>
      </c>
      <c r="B692" s="65"/>
      <c r="C692" s="65"/>
      <c r="D692" s="66">
        <v>150</v>
      </c>
      <c r="E692" s="102">
        <v>97.85714285714286</v>
      </c>
      <c r="F692" s="98" t="str">
        <f>HYPERLINK("https://i.ytimg.com/vi/1jv8wHDoliA/default.jpg")</f>
        <v>https://i.ytimg.com/vi/1jv8wHDoliA/default.jpg</v>
      </c>
      <c r="G692" s="100"/>
      <c r="H692" s="69" t="s">
        <v>662</v>
      </c>
      <c r="I692" s="70"/>
      <c r="J692" s="104" t="s">
        <v>159</v>
      </c>
      <c r="K692" s="69" t="s">
        <v>662</v>
      </c>
      <c r="L692" s="105">
        <v>1</v>
      </c>
      <c r="M692" s="74">
        <v>2323.357666015625</v>
      </c>
      <c r="N692" s="74">
        <v>1428.337646484375</v>
      </c>
      <c r="O692" s="75"/>
      <c r="P692" s="76"/>
      <c r="Q692" s="76"/>
      <c r="R692" s="106"/>
      <c r="S692" s="48">
        <v>1</v>
      </c>
      <c r="T692" s="48">
        <v>0</v>
      </c>
      <c r="U692" s="49">
        <v>0</v>
      </c>
      <c r="V692" s="49">
        <v>0.183632</v>
      </c>
      <c r="W692" s="107"/>
      <c r="X692" s="50"/>
      <c r="Y692" s="50"/>
      <c r="Z692" s="49">
        <v>0</v>
      </c>
      <c r="AA692" s="71">
        <v>692</v>
      </c>
      <c r="AB692" s="71"/>
      <c r="AC692" s="72"/>
      <c r="AD692" s="79" t="s">
        <v>662</v>
      </c>
      <c r="AE692" s="79" t="s">
        <v>1055</v>
      </c>
      <c r="AF692" s="79" t="s">
        <v>1322</v>
      </c>
      <c r="AG692" s="79" t="s">
        <v>1525</v>
      </c>
      <c r="AH692" s="79" t="s">
        <v>1718</v>
      </c>
      <c r="AI692" s="79">
        <v>163232</v>
      </c>
      <c r="AJ692" s="79">
        <v>0</v>
      </c>
      <c r="AK692" s="79">
        <v>4451</v>
      </c>
      <c r="AL692" s="79">
        <v>0</v>
      </c>
      <c r="AM692" s="79" t="s">
        <v>2092</v>
      </c>
      <c r="AN692" s="114" t="str">
        <f>HYPERLINK("https://www.youtube.com/watch?v=1jv8wHDoliA")</f>
        <v>https://www.youtube.com/watch?v=1jv8wHDoliA</v>
      </c>
      <c r="AO692" s="78" t="str">
        <f>REPLACE(INDEX(GroupVertices[Group],MATCH(Vertices[[#This Row],[Vertex]],GroupVertices[Vertex],0)),1,1,"")</f>
        <v>irty Medicine</v>
      </c>
      <c r="AP692" s="2"/>
      <c r="AQ692" s="3"/>
      <c r="AR692" s="3"/>
      <c r="AS692" s="3"/>
      <c r="AT692" s="3"/>
    </row>
    <row r="693" spans="1:46" ht="15">
      <c r="A693" s="64" t="s">
        <v>388</v>
      </c>
      <c r="B693" s="65"/>
      <c r="C693" s="65"/>
      <c r="D693" s="66">
        <v>150</v>
      </c>
      <c r="E693" s="102">
        <v>97.85714285714286</v>
      </c>
      <c r="F693" s="98" t="str">
        <f>HYPERLINK("https://i.ytimg.com/vi/U6Y9WTyPgG0/default.jpg")</f>
        <v>https://i.ytimg.com/vi/U6Y9WTyPgG0/default.jpg</v>
      </c>
      <c r="G693" s="100"/>
      <c r="H693" s="69" t="s">
        <v>798</v>
      </c>
      <c r="I693" s="70"/>
      <c r="J693" s="104" t="s">
        <v>159</v>
      </c>
      <c r="K693" s="69" t="s">
        <v>798</v>
      </c>
      <c r="L693" s="105">
        <v>1</v>
      </c>
      <c r="M693" s="74">
        <v>1601.69140625</v>
      </c>
      <c r="N693" s="74">
        <v>2633.58349609375</v>
      </c>
      <c r="O693" s="75"/>
      <c r="P693" s="76"/>
      <c r="Q693" s="76"/>
      <c r="R693" s="106"/>
      <c r="S693" s="48">
        <v>1</v>
      </c>
      <c r="T693" s="48">
        <v>0</v>
      </c>
      <c r="U693" s="49">
        <v>0</v>
      </c>
      <c r="V693" s="49">
        <v>0.183632</v>
      </c>
      <c r="W693" s="107"/>
      <c r="X693" s="50"/>
      <c r="Y693" s="50"/>
      <c r="Z693" s="49">
        <v>0</v>
      </c>
      <c r="AA693" s="71">
        <v>693</v>
      </c>
      <c r="AB693" s="71"/>
      <c r="AC693" s="72"/>
      <c r="AD693" s="79" t="s">
        <v>798</v>
      </c>
      <c r="AE693" s="79" t="s">
        <v>1136</v>
      </c>
      <c r="AF693" s="79"/>
      <c r="AG693" s="79" t="s">
        <v>1511</v>
      </c>
      <c r="AH693" s="79" t="s">
        <v>1853</v>
      </c>
      <c r="AI693" s="79">
        <v>35989</v>
      </c>
      <c r="AJ693" s="79">
        <v>17</v>
      </c>
      <c r="AK693" s="79">
        <v>647</v>
      </c>
      <c r="AL693" s="79">
        <v>0</v>
      </c>
      <c r="AM693" s="79" t="s">
        <v>2092</v>
      </c>
      <c r="AN693" s="114" t="str">
        <f>HYPERLINK("https://www.youtube.com/watch?v=U6Y9WTyPgG0")</f>
        <v>https://www.youtube.com/watch?v=U6Y9WTyPgG0</v>
      </c>
      <c r="AO693" s="78" t="str">
        <f>REPLACE(INDEX(GroupVertices[Group],MATCH(Vertices[[#This Row],[Vertex]],GroupVertices[Vertex],0)),1,1,"")</f>
        <v>emorable Psychiatry and Neurology</v>
      </c>
      <c r="AP693" s="2"/>
      <c r="AQ693" s="3"/>
      <c r="AR693" s="3"/>
      <c r="AS693" s="3"/>
      <c r="AT693" s="3"/>
    </row>
    <row r="694" spans="1:46" ht="15">
      <c r="A694" s="64" t="s">
        <v>580</v>
      </c>
      <c r="B694" s="65"/>
      <c r="C694" s="65"/>
      <c r="D694" s="66">
        <v>150</v>
      </c>
      <c r="E694" s="102">
        <v>97.85714285714286</v>
      </c>
      <c r="F694" s="98" t="str">
        <f>HYPERLINK("https://i.ytimg.com/vi/6mQ-IeHM2-I/default.jpg")</f>
        <v>https://i.ytimg.com/vi/6mQ-IeHM2-I/default.jpg</v>
      </c>
      <c r="G694" s="100"/>
      <c r="H694" s="69" t="s">
        <v>1004</v>
      </c>
      <c r="I694" s="70"/>
      <c r="J694" s="104" t="s">
        <v>159</v>
      </c>
      <c r="K694" s="69" t="s">
        <v>1004</v>
      </c>
      <c r="L694" s="105">
        <v>1</v>
      </c>
      <c r="M694" s="74">
        <v>1817.651123046875</v>
      </c>
      <c r="N694" s="74">
        <v>2490.684326171875</v>
      </c>
      <c r="O694" s="75"/>
      <c r="P694" s="76"/>
      <c r="Q694" s="76"/>
      <c r="R694" s="106"/>
      <c r="S694" s="48">
        <v>1</v>
      </c>
      <c r="T694" s="48">
        <v>0</v>
      </c>
      <c r="U694" s="49">
        <v>0</v>
      </c>
      <c r="V694" s="49">
        <v>0.183632</v>
      </c>
      <c r="W694" s="107"/>
      <c r="X694" s="50"/>
      <c r="Y694" s="50"/>
      <c r="Z694" s="49">
        <v>0</v>
      </c>
      <c r="AA694" s="71">
        <v>694</v>
      </c>
      <c r="AB694" s="71"/>
      <c r="AC694" s="72"/>
      <c r="AD694" s="79" t="s">
        <v>1004</v>
      </c>
      <c r="AE694" s="79" t="s">
        <v>1274</v>
      </c>
      <c r="AF694" s="79" t="s">
        <v>1466</v>
      </c>
      <c r="AG694" s="79" t="s">
        <v>1675</v>
      </c>
      <c r="AH694" s="79" t="s">
        <v>2061</v>
      </c>
      <c r="AI694" s="79">
        <v>10365</v>
      </c>
      <c r="AJ694" s="79">
        <v>42</v>
      </c>
      <c r="AK694" s="79">
        <v>369</v>
      </c>
      <c r="AL694" s="79">
        <v>0</v>
      </c>
      <c r="AM694" s="79" t="s">
        <v>2092</v>
      </c>
      <c r="AN694" s="114" t="str">
        <f>HYPERLINK("https://www.youtube.com/watch?v=6mQ-IeHM2-I")</f>
        <v>https://www.youtube.com/watch?v=6mQ-IeHM2-I</v>
      </c>
      <c r="AO694" s="78" t="str">
        <f>REPLACE(INDEX(GroupVertices[Group],MATCH(Vertices[[#This Row],[Vertex]],GroupVertices[Vertex],0)),1,1,"")</f>
        <v>ot Like The Others</v>
      </c>
      <c r="AP694" s="2"/>
      <c r="AQ694" s="3"/>
      <c r="AR694" s="3"/>
      <c r="AS694" s="3"/>
      <c r="AT694" s="3"/>
    </row>
    <row r="695" spans="1:46" ht="15">
      <c r="A695" s="64" t="s">
        <v>275</v>
      </c>
      <c r="B695" s="65"/>
      <c r="C695" s="65"/>
      <c r="D695" s="66">
        <v>150</v>
      </c>
      <c r="E695" s="102">
        <v>97.85714285714286</v>
      </c>
      <c r="F695" s="98" t="str">
        <f>HYPERLINK("https://i.ytimg.com/vi/pUIiq9Yzltg/default.jpg")</f>
        <v>https://i.ytimg.com/vi/pUIiq9Yzltg/default.jpg</v>
      </c>
      <c r="G695" s="100"/>
      <c r="H695" s="69" t="s">
        <v>663</v>
      </c>
      <c r="I695" s="70"/>
      <c r="J695" s="104" t="s">
        <v>159</v>
      </c>
      <c r="K695" s="69" t="s">
        <v>663</v>
      </c>
      <c r="L695" s="105">
        <v>1</v>
      </c>
      <c r="M695" s="74">
        <v>2067.091552734375</v>
      </c>
      <c r="N695" s="74">
        <v>2463.88134765625</v>
      </c>
      <c r="O695" s="75"/>
      <c r="P695" s="76"/>
      <c r="Q695" s="76"/>
      <c r="R695" s="106"/>
      <c r="S695" s="48">
        <v>1</v>
      </c>
      <c r="T695" s="48">
        <v>0</v>
      </c>
      <c r="U695" s="49">
        <v>0</v>
      </c>
      <c r="V695" s="49">
        <v>0.183632</v>
      </c>
      <c r="W695" s="107"/>
      <c r="X695" s="50"/>
      <c r="Y695" s="50"/>
      <c r="Z695" s="49">
        <v>0</v>
      </c>
      <c r="AA695" s="71">
        <v>695</v>
      </c>
      <c r="AB695" s="71"/>
      <c r="AC695" s="72"/>
      <c r="AD695" s="79" t="s">
        <v>663</v>
      </c>
      <c r="AE695" s="79" t="s">
        <v>1058</v>
      </c>
      <c r="AF695" s="79"/>
      <c r="AG695" s="79" t="s">
        <v>1511</v>
      </c>
      <c r="AH695" s="79" t="s">
        <v>1719</v>
      </c>
      <c r="AI695" s="79">
        <v>114153</v>
      </c>
      <c r="AJ695" s="79">
        <v>117</v>
      </c>
      <c r="AK695" s="79">
        <v>2133</v>
      </c>
      <c r="AL695" s="79">
        <v>0</v>
      </c>
      <c r="AM695" s="79" t="s">
        <v>2092</v>
      </c>
      <c r="AN695" s="114" t="str">
        <f>HYPERLINK("https://www.youtube.com/watch?v=pUIiq9Yzltg")</f>
        <v>https://www.youtube.com/watch?v=pUIiq9Yzltg</v>
      </c>
      <c r="AO695" s="78" t="str">
        <f>REPLACE(INDEX(GroupVertices[Group],MATCH(Vertices[[#This Row],[Vertex]],GroupVertices[Vertex],0)),1,1,"")</f>
        <v>emorable Psychiatry and Neurology</v>
      </c>
      <c r="AP695" s="2"/>
      <c r="AQ695" s="3"/>
      <c r="AR695" s="3"/>
      <c r="AS695" s="3"/>
      <c r="AT695" s="3"/>
    </row>
    <row r="696" spans="1:46" ht="15">
      <c r="A696" s="64" t="s">
        <v>307</v>
      </c>
      <c r="B696" s="65"/>
      <c r="C696" s="65"/>
      <c r="D696" s="66">
        <v>150</v>
      </c>
      <c r="E696" s="102">
        <v>97.85714285714286</v>
      </c>
      <c r="F696" s="98" t="str">
        <f>HYPERLINK("https://i.ytimg.com/vi/wytDunVxNx0/default.jpg")</f>
        <v>https://i.ytimg.com/vi/wytDunVxNx0/default.jpg</v>
      </c>
      <c r="G696" s="100"/>
      <c r="H696" s="69" t="s">
        <v>699</v>
      </c>
      <c r="I696" s="70"/>
      <c r="J696" s="104" t="s">
        <v>159</v>
      </c>
      <c r="K696" s="69" t="s">
        <v>699</v>
      </c>
      <c r="L696" s="105">
        <v>1</v>
      </c>
      <c r="M696" s="74">
        <v>2254.301025390625</v>
      </c>
      <c r="N696" s="74">
        <v>995.296142578125</v>
      </c>
      <c r="O696" s="75"/>
      <c r="P696" s="76"/>
      <c r="Q696" s="76"/>
      <c r="R696" s="106"/>
      <c r="S696" s="48">
        <v>1</v>
      </c>
      <c r="T696" s="48">
        <v>0</v>
      </c>
      <c r="U696" s="49">
        <v>0</v>
      </c>
      <c r="V696" s="49">
        <v>0.183632</v>
      </c>
      <c r="W696" s="107"/>
      <c r="X696" s="50"/>
      <c r="Y696" s="50"/>
      <c r="Z696" s="49">
        <v>0</v>
      </c>
      <c r="AA696" s="71">
        <v>696</v>
      </c>
      <c r="AB696" s="71"/>
      <c r="AC696" s="72"/>
      <c r="AD696" s="79" t="s">
        <v>699</v>
      </c>
      <c r="AE696" s="79" t="s">
        <v>1055</v>
      </c>
      <c r="AF696" s="79" t="s">
        <v>1322</v>
      </c>
      <c r="AG696" s="79" t="s">
        <v>1525</v>
      </c>
      <c r="AH696" s="79" t="s">
        <v>1755</v>
      </c>
      <c r="AI696" s="79">
        <v>180598</v>
      </c>
      <c r="AJ696" s="79">
        <v>109</v>
      </c>
      <c r="AK696" s="79">
        <v>4903</v>
      </c>
      <c r="AL696" s="79">
        <v>0</v>
      </c>
      <c r="AM696" s="79" t="s">
        <v>2092</v>
      </c>
      <c r="AN696" s="114" t="str">
        <f>HYPERLINK("https://www.youtube.com/watch?v=wytDunVxNx0")</f>
        <v>https://www.youtube.com/watch?v=wytDunVxNx0</v>
      </c>
      <c r="AO696" s="78" t="str">
        <f>REPLACE(INDEX(GroupVertices[Group],MATCH(Vertices[[#This Row],[Vertex]],GroupVertices[Vertex],0)),1,1,"")</f>
        <v>irty Medicine</v>
      </c>
      <c r="AP696" s="2"/>
      <c r="AQ696" s="3"/>
      <c r="AR696" s="3"/>
      <c r="AS696" s="3"/>
      <c r="AT696" s="3"/>
    </row>
    <row r="697" spans="1:46" ht="15">
      <c r="A697" s="64" t="s">
        <v>387</v>
      </c>
      <c r="B697" s="65"/>
      <c r="C697" s="65"/>
      <c r="D697" s="66">
        <v>150</v>
      </c>
      <c r="E697" s="102">
        <v>97.85714285714286</v>
      </c>
      <c r="F697" s="98" t="str">
        <f>HYPERLINK("https://i.ytimg.com/vi/z3BptEdGoOw/default.jpg")</f>
        <v>https://i.ytimg.com/vi/z3BptEdGoOw/default.jpg</v>
      </c>
      <c r="G697" s="100"/>
      <c r="H697" s="69" t="s">
        <v>797</v>
      </c>
      <c r="I697" s="70"/>
      <c r="J697" s="104" t="s">
        <v>159</v>
      </c>
      <c r="K697" s="69" t="s">
        <v>797</v>
      </c>
      <c r="L697" s="105">
        <v>1</v>
      </c>
      <c r="M697" s="74">
        <v>2378.48876953125</v>
      </c>
      <c r="N697" s="74">
        <v>2434.048095703125</v>
      </c>
      <c r="O697" s="75"/>
      <c r="P697" s="76"/>
      <c r="Q697" s="76"/>
      <c r="R697" s="106"/>
      <c r="S697" s="48">
        <v>1</v>
      </c>
      <c r="T697" s="48">
        <v>0</v>
      </c>
      <c r="U697" s="49">
        <v>0</v>
      </c>
      <c r="V697" s="49">
        <v>0.183632</v>
      </c>
      <c r="W697" s="107"/>
      <c r="X697" s="50"/>
      <c r="Y697" s="50"/>
      <c r="Z697" s="49">
        <v>0</v>
      </c>
      <c r="AA697" s="71">
        <v>697</v>
      </c>
      <c r="AB697" s="71"/>
      <c r="AC697" s="72"/>
      <c r="AD697" s="79" t="s">
        <v>797</v>
      </c>
      <c r="AE697" s="79" t="s">
        <v>1135</v>
      </c>
      <c r="AF697" s="79" t="s">
        <v>1382</v>
      </c>
      <c r="AG697" s="79" t="s">
        <v>1505</v>
      </c>
      <c r="AH697" s="79" t="s">
        <v>1852</v>
      </c>
      <c r="AI697" s="79">
        <v>33322</v>
      </c>
      <c r="AJ697" s="79">
        <v>45</v>
      </c>
      <c r="AK697" s="79">
        <v>731</v>
      </c>
      <c r="AL697" s="79">
        <v>0</v>
      </c>
      <c r="AM697" s="79" t="s">
        <v>2092</v>
      </c>
      <c r="AN697" s="114" t="str">
        <f>HYPERLINK("https://www.youtube.com/watch?v=z3BptEdGoOw")</f>
        <v>https://www.youtube.com/watch?v=z3BptEdGoOw</v>
      </c>
      <c r="AO697" s="78" t="str">
        <f>REPLACE(INDEX(GroupVertices[Group],MATCH(Vertices[[#This Row],[Vertex]],GroupVertices[Vertex],0)),1,1,"")</f>
        <v>imple Nursing</v>
      </c>
      <c r="AP697" s="2"/>
      <c r="AQ697" s="3"/>
      <c r="AR697" s="3"/>
      <c r="AS697" s="3"/>
      <c r="AT697" s="3"/>
    </row>
    <row r="698" spans="1:46" ht="15">
      <c r="A698" s="64" t="s">
        <v>541</v>
      </c>
      <c r="B698" s="65"/>
      <c r="C698" s="65"/>
      <c r="D698" s="66">
        <v>150</v>
      </c>
      <c r="E698" s="102">
        <v>97.85714285714286</v>
      </c>
      <c r="F698" s="98" t="str">
        <f>HYPERLINK("https://i.ytimg.com/vi/GAdiqTHSzZM/default.jpg")</f>
        <v>https://i.ytimg.com/vi/GAdiqTHSzZM/default.jpg</v>
      </c>
      <c r="G698" s="100"/>
      <c r="H698" s="69" t="s">
        <v>964</v>
      </c>
      <c r="I698" s="70"/>
      <c r="J698" s="104" t="s">
        <v>159</v>
      </c>
      <c r="K698" s="69" t="s">
        <v>964</v>
      </c>
      <c r="L698" s="105">
        <v>1</v>
      </c>
      <c r="M698" s="74">
        <v>1979.866455078125</v>
      </c>
      <c r="N698" s="74">
        <v>2181.962158203125</v>
      </c>
      <c r="O698" s="75"/>
      <c r="P698" s="76"/>
      <c r="Q698" s="76"/>
      <c r="R698" s="106"/>
      <c r="S698" s="48">
        <v>1</v>
      </c>
      <c r="T698" s="48">
        <v>0</v>
      </c>
      <c r="U698" s="49">
        <v>0</v>
      </c>
      <c r="V698" s="49">
        <v>0.183632</v>
      </c>
      <c r="W698" s="107"/>
      <c r="X698" s="50"/>
      <c r="Y698" s="50"/>
      <c r="Z698" s="49">
        <v>0</v>
      </c>
      <c r="AA698" s="71">
        <v>698</v>
      </c>
      <c r="AB698" s="71"/>
      <c r="AC698" s="72"/>
      <c r="AD698" s="79" t="s">
        <v>964</v>
      </c>
      <c r="AE698" s="79" t="s">
        <v>1254</v>
      </c>
      <c r="AF698" s="79" t="s">
        <v>1449</v>
      </c>
      <c r="AG698" s="79" t="s">
        <v>1505</v>
      </c>
      <c r="AH698" s="79" t="s">
        <v>2021</v>
      </c>
      <c r="AI698" s="79">
        <v>902597</v>
      </c>
      <c r="AJ698" s="79">
        <v>325</v>
      </c>
      <c r="AK698" s="79">
        <v>13000</v>
      </c>
      <c r="AL698" s="79">
        <v>0</v>
      </c>
      <c r="AM698" s="79" t="s">
        <v>2092</v>
      </c>
      <c r="AN698" s="114" t="str">
        <f>HYPERLINK("https://www.youtube.com/watch?v=GAdiqTHSzZM")</f>
        <v>https://www.youtube.com/watch?v=GAdiqTHSzZM</v>
      </c>
      <c r="AO698" s="78" t="str">
        <f>REPLACE(INDEX(GroupVertices[Group],MATCH(Vertices[[#This Row],[Vertex]],GroupVertices[Vertex],0)),1,1,"")</f>
        <v>imple Nursing</v>
      </c>
      <c r="AP698" s="2"/>
      <c r="AQ698" s="3"/>
      <c r="AR698" s="3"/>
      <c r="AS698" s="3"/>
      <c r="AT698" s="3"/>
    </row>
    <row r="699" spans="1:46" ht="15">
      <c r="A699" s="64" t="s">
        <v>581</v>
      </c>
      <c r="B699" s="65"/>
      <c r="C699" s="65"/>
      <c r="D699" s="66">
        <v>150</v>
      </c>
      <c r="E699" s="102">
        <v>97.85714285714286</v>
      </c>
      <c r="F699" s="98" t="str">
        <f>HYPERLINK("https://i.ytimg.com/vi/sq-BClVRH3E/default.jpg")</f>
        <v>https://i.ytimg.com/vi/sq-BClVRH3E/default.jpg</v>
      </c>
      <c r="G699" s="100"/>
      <c r="H699" s="69" t="s">
        <v>1005</v>
      </c>
      <c r="I699" s="70"/>
      <c r="J699" s="104" t="s">
        <v>159</v>
      </c>
      <c r="K699" s="69" t="s">
        <v>1005</v>
      </c>
      <c r="L699" s="105">
        <v>1</v>
      </c>
      <c r="M699" s="74">
        <v>2042.9822998046875</v>
      </c>
      <c r="N699" s="74">
        <v>1735.4874267578125</v>
      </c>
      <c r="O699" s="75"/>
      <c r="P699" s="76"/>
      <c r="Q699" s="76"/>
      <c r="R699" s="106"/>
      <c r="S699" s="48">
        <v>1</v>
      </c>
      <c r="T699" s="48">
        <v>0</v>
      </c>
      <c r="U699" s="49">
        <v>0</v>
      </c>
      <c r="V699" s="49">
        <v>0.183632</v>
      </c>
      <c r="W699" s="107"/>
      <c r="X699" s="50"/>
      <c r="Y699" s="50"/>
      <c r="Z699" s="49">
        <v>0</v>
      </c>
      <c r="AA699" s="71">
        <v>699</v>
      </c>
      <c r="AB699" s="71"/>
      <c r="AC699" s="72"/>
      <c r="AD699" s="79" t="s">
        <v>1005</v>
      </c>
      <c r="AE699" s="79" t="s">
        <v>1275</v>
      </c>
      <c r="AF699" s="79"/>
      <c r="AG699" s="79" t="s">
        <v>1511</v>
      </c>
      <c r="AH699" s="79" t="s">
        <v>2062</v>
      </c>
      <c r="AI699" s="79">
        <v>16159</v>
      </c>
      <c r="AJ699" s="79">
        <v>8</v>
      </c>
      <c r="AK699" s="79">
        <v>365</v>
      </c>
      <c r="AL699" s="79">
        <v>0</v>
      </c>
      <c r="AM699" s="79" t="s">
        <v>2092</v>
      </c>
      <c r="AN699" s="114" t="str">
        <f>HYPERLINK("https://www.youtube.com/watch?v=sq-BClVRH3E")</f>
        <v>https://www.youtube.com/watch?v=sq-BClVRH3E</v>
      </c>
      <c r="AO699" s="78" t="str">
        <f>REPLACE(INDEX(GroupVertices[Group],MATCH(Vertices[[#This Row],[Vertex]],GroupVertices[Vertex],0)),1,1,"")</f>
        <v>emorable Psychiatry and Neurology</v>
      </c>
      <c r="AP699" s="2"/>
      <c r="AQ699" s="3"/>
      <c r="AR699" s="3"/>
      <c r="AS699" s="3"/>
      <c r="AT699" s="3"/>
    </row>
    <row r="700" spans="1:46" ht="15">
      <c r="A700" s="64" t="s">
        <v>563</v>
      </c>
      <c r="B700" s="65"/>
      <c r="C700" s="65"/>
      <c r="D700" s="66">
        <v>150</v>
      </c>
      <c r="E700" s="102">
        <v>97.85714285714286</v>
      </c>
      <c r="F700" s="98" t="str">
        <f>HYPERLINK("https://i.ytimg.com/vi/gaAdSGVgd3Y/default.jpg")</f>
        <v>https://i.ytimg.com/vi/gaAdSGVgd3Y/default.jpg</v>
      </c>
      <c r="G700" s="100"/>
      <c r="H700" s="69" t="s">
        <v>987</v>
      </c>
      <c r="I700" s="70"/>
      <c r="J700" s="104" t="s">
        <v>159</v>
      </c>
      <c r="K700" s="69" t="s">
        <v>987</v>
      </c>
      <c r="L700" s="105">
        <v>1</v>
      </c>
      <c r="M700" s="74">
        <v>2484.9296875</v>
      </c>
      <c r="N700" s="74">
        <v>1594.8575439453125</v>
      </c>
      <c r="O700" s="75"/>
      <c r="P700" s="76"/>
      <c r="Q700" s="76"/>
      <c r="R700" s="106"/>
      <c r="S700" s="48">
        <v>1</v>
      </c>
      <c r="T700" s="48">
        <v>0</v>
      </c>
      <c r="U700" s="49">
        <v>0</v>
      </c>
      <c r="V700" s="49">
        <v>0.183632</v>
      </c>
      <c r="W700" s="107"/>
      <c r="X700" s="50"/>
      <c r="Y700" s="50"/>
      <c r="Z700" s="49">
        <v>0</v>
      </c>
      <c r="AA700" s="71">
        <v>700</v>
      </c>
      <c r="AB700" s="71"/>
      <c r="AC700" s="72"/>
      <c r="AD700" s="79" t="s">
        <v>987</v>
      </c>
      <c r="AE700" s="79" t="s">
        <v>1055</v>
      </c>
      <c r="AF700" s="79" t="s">
        <v>1322</v>
      </c>
      <c r="AG700" s="79" t="s">
        <v>1525</v>
      </c>
      <c r="AH700" s="79" t="s">
        <v>2043</v>
      </c>
      <c r="AI700" s="79">
        <v>194697</v>
      </c>
      <c r="AJ700" s="79">
        <v>186</v>
      </c>
      <c r="AK700" s="79">
        <v>4893</v>
      </c>
      <c r="AL700" s="79">
        <v>0</v>
      </c>
      <c r="AM700" s="79" t="s">
        <v>2092</v>
      </c>
      <c r="AN700" s="114" t="str">
        <f>HYPERLINK("https://www.youtube.com/watch?v=gaAdSGVgd3Y")</f>
        <v>https://www.youtube.com/watch?v=gaAdSGVgd3Y</v>
      </c>
      <c r="AO700" s="78" t="str">
        <f>REPLACE(INDEX(GroupVertices[Group],MATCH(Vertices[[#This Row],[Vertex]],GroupVertices[Vertex],0)),1,1,"")</f>
        <v>irty Medicine</v>
      </c>
      <c r="AP700" s="2"/>
      <c r="AQ700" s="3"/>
      <c r="AR700" s="3"/>
      <c r="AS700" s="3"/>
      <c r="AT700" s="3"/>
    </row>
    <row r="701" spans="1:46" ht="15">
      <c r="A701" s="64" t="s">
        <v>582</v>
      </c>
      <c r="B701" s="65"/>
      <c r="C701" s="65"/>
      <c r="D701" s="66">
        <v>150</v>
      </c>
      <c r="E701" s="102">
        <v>97.85714285714286</v>
      </c>
      <c r="F701" s="98" t="str">
        <f>HYPERLINK("https://i.ytimg.com/vi/L64jPavVYjU/default.jpg")</f>
        <v>https://i.ytimg.com/vi/L64jPavVYjU/default.jpg</v>
      </c>
      <c r="G701" s="100"/>
      <c r="H701" s="69" t="s">
        <v>1006</v>
      </c>
      <c r="I701" s="70"/>
      <c r="J701" s="104" t="s">
        <v>159</v>
      </c>
      <c r="K701" s="69" t="s">
        <v>1006</v>
      </c>
      <c r="L701" s="105">
        <v>1</v>
      </c>
      <c r="M701" s="74">
        <v>1439.676025390625</v>
      </c>
      <c r="N701" s="74">
        <v>2266.90673828125</v>
      </c>
      <c r="O701" s="75"/>
      <c r="P701" s="76"/>
      <c r="Q701" s="76"/>
      <c r="R701" s="106"/>
      <c r="S701" s="48">
        <v>1</v>
      </c>
      <c r="T701" s="48">
        <v>0</v>
      </c>
      <c r="U701" s="49">
        <v>0</v>
      </c>
      <c r="V701" s="49">
        <v>0.183632</v>
      </c>
      <c r="W701" s="107"/>
      <c r="X701" s="50"/>
      <c r="Y701" s="50"/>
      <c r="Z701" s="49">
        <v>0</v>
      </c>
      <c r="AA701" s="71">
        <v>701</v>
      </c>
      <c r="AB701" s="71"/>
      <c r="AC701" s="72"/>
      <c r="AD701" s="79" t="s">
        <v>1006</v>
      </c>
      <c r="AE701" s="79" t="s">
        <v>1276</v>
      </c>
      <c r="AF701" s="79"/>
      <c r="AG701" s="79" t="s">
        <v>1511</v>
      </c>
      <c r="AH701" s="79" t="s">
        <v>2063</v>
      </c>
      <c r="AI701" s="79">
        <v>34230</v>
      </c>
      <c r="AJ701" s="79">
        <v>24</v>
      </c>
      <c r="AK701" s="79">
        <v>884</v>
      </c>
      <c r="AL701" s="79">
        <v>0</v>
      </c>
      <c r="AM701" s="79" t="s">
        <v>2092</v>
      </c>
      <c r="AN701" s="114" t="str">
        <f>HYPERLINK("https://www.youtube.com/watch?v=L64jPavVYjU")</f>
        <v>https://www.youtube.com/watch?v=L64jPavVYjU</v>
      </c>
      <c r="AO701" s="78" t="str">
        <f>REPLACE(INDEX(GroupVertices[Group],MATCH(Vertices[[#This Row],[Vertex]],GroupVertices[Vertex],0)),1,1,"")</f>
        <v>emorable Psychiatry and Neurology</v>
      </c>
      <c r="AP701" s="2"/>
      <c r="AQ701" s="3"/>
      <c r="AR701" s="3"/>
      <c r="AS701" s="3"/>
      <c r="AT701" s="3"/>
    </row>
    <row r="702" spans="1:46" ht="15">
      <c r="A702" s="64" t="s">
        <v>570</v>
      </c>
      <c r="B702" s="65"/>
      <c r="C702" s="65"/>
      <c r="D702" s="66">
        <v>150</v>
      </c>
      <c r="E702" s="102">
        <v>97.85714285714286</v>
      </c>
      <c r="F702" s="98" t="str">
        <f>HYPERLINK("https://i.ytimg.com/vi/W-Fo08OoIVI/default.jpg")</f>
        <v>https://i.ytimg.com/vi/W-Fo08OoIVI/default.jpg</v>
      </c>
      <c r="G702" s="100"/>
      <c r="H702" s="69" t="s">
        <v>994</v>
      </c>
      <c r="I702" s="70"/>
      <c r="J702" s="104" t="s">
        <v>159</v>
      </c>
      <c r="K702" s="69" t="s">
        <v>994</v>
      </c>
      <c r="L702" s="105">
        <v>1</v>
      </c>
      <c r="M702" s="74">
        <v>2503.096435546875</v>
      </c>
      <c r="N702" s="74">
        <v>2020.2886962890625</v>
      </c>
      <c r="O702" s="75"/>
      <c r="P702" s="76"/>
      <c r="Q702" s="76"/>
      <c r="R702" s="106"/>
      <c r="S702" s="48">
        <v>1</v>
      </c>
      <c r="T702" s="48">
        <v>0</v>
      </c>
      <c r="U702" s="49">
        <v>0</v>
      </c>
      <c r="V702" s="49">
        <v>0.183632</v>
      </c>
      <c r="W702" s="107"/>
      <c r="X702" s="50"/>
      <c r="Y702" s="50"/>
      <c r="Z702" s="49">
        <v>0</v>
      </c>
      <c r="AA702" s="71">
        <v>702</v>
      </c>
      <c r="AB702" s="71"/>
      <c r="AC702" s="72"/>
      <c r="AD702" s="79" t="s">
        <v>994</v>
      </c>
      <c r="AE702" s="79" t="s">
        <v>1265</v>
      </c>
      <c r="AF702" s="79"/>
      <c r="AG702" s="79" t="s">
        <v>1511</v>
      </c>
      <c r="AH702" s="79" t="s">
        <v>2050</v>
      </c>
      <c r="AI702" s="79">
        <v>48427</v>
      </c>
      <c r="AJ702" s="79">
        <v>100</v>
      </c>
      <c r="AK702" s="79">
        <v>1063</v>
      </c>
      <c r="AL702" s="79">
        <v>0</v>
      </c>
      <c r="AM702" s="79" t="s">
        <v>2092</v>
      </c>
      <c r="AN702" s="114" t="str">
        <f>HYPERLINK("https://www.youtube.com/watch?v=W-Fo08OoIVI")</f>
        <v>https://www.youtube.com/watch?v=W-Fo08OoIVI</v>
      </c>
      <c r="AO702" s="78" t="str">
        <f>REPLACE(INDEX(GroupVertices[Group],MATCH(Vertices[[#This Row],[Vertex]],GroupVertices[Vertex],0)),1,1,"")</f>
        <v>emorable Psychiatry and Neurology</v>
      </c>
      <c r="AP702" s="2"/>
      <c r="AQ702" s="3"/>
      <c r="AR702" s="3"/>
      <c r="AS702" s="3"/>
      <c r="AT702" s="3"/>
    </row>
    <row r="703" spans="1:46" ht="15">
      <c r="A703" s="64" t="s">
        <v>584</v>
      </c>
      <c r="B703" s="65"/>
      <c r="C703" s="65"/>
      <c r="D703" s="66">
        <v>150</v>
      </c>
      <c r="E703" s="102">
        <v>97.85714285714286</v>
      </c>
      <c r="F703" s="98" t="str">
        <f>HYPERLINK("https://i.ytimg.com/vi/rHDTSeSaQMc/default.jpg")</f>
        <v>https://i.ytimg.com/vi/rHDTSeSaQMc/default.jpg</v>
      </c>
      <c r="G703" s="100"/>
      <c r="H703" s="69" t="s">
        <v>1008</v>
      </c>
      <c r="I703" s="70"/>
      <c r="J703" s="104" t="s">
        <v>159</v>
      </c>
      <c r="K703" s="69" t="s">
        <v>1008</v>
      </c>
      <c r="L703" s="105">
        <v>1</v>
      </c>
      <c r="M703" s="74">
        <v>2455.124755859375</v>
      </c>
      <c r="N703" s="74">
        <v>1371.329833984375</v>
      </c>
      <c r="O703" s="75"/>
      <c r="P703" s="76"/>
      <c r="Q703" s="76"/>
      <c r="R703" s="106"/>
      <c r="S703" s="48">
        <v>1</v>
      </c>
      <c r="T703" s="48">
        <v>0</v>
      </c>
      <c r="U703" s="49">
        <v>0</v>
      </c>
      <c r="V703" s="49">
        <v>0.183632</v>
      </c>
      <c r="W703" s="107"/>
      <c r="X703" s="50"/>
      <c r="Y703" s="50"/>
      <c r="Z703" s="49">
        <v>0</v>
      </c>
      <c r="AA703" s="71">
        <v>703</v>
      </c>
      <c r="AB703" s="71"/>
      <c r="AC703" s="72"/>
      <c r="AD703" s="79" t="s">
        <v>1008</v>
      </c>
      <c r="AE703" s="79" t="s">
        <v>1278</v>
      </c>
      <c r="AF703" s="79"/>
      <c r="AG703" s="79" t="s">
        <v>1511</v>
      </c>
      <c r="AH703" s="79" t="s">
        <v>2065</v>
      </c>
      <c r="AI703" s="79">
        <v>47164</v>
      </c>
      <c r="AJ703" s="79">
        <v>54</v>
      </c>
      <c r="AK703" s="79">
        <v>899</v>
      </c>
      <c r="AL703" s="79">
        <v>0</v>
      </c>
      <c r="AM703" s="79" t="s">
        <v>2092</v>
      </c>
      <c r="AN703" s="114" t="str">
        <f>HYPERLINK("https://www.youtube.com/watch?v=rHDTSeSaQMc")</f>
        <v>https://www.youtube.com/watch?v=rHDTSeSaQMc</v>
      </c>
      <c r="AO703" s="78" t="str">
        <f>REPLACE(INDEX(GroupVertices[Group],MATCH(Vertices[[#This Row],[Vertex]],GroupVertices[Vertex],0)),1,1,"")</f>
        <v>emorable Psychiatry and Neurology</v>
      </c>
      <c r="AP703" s="2"/>
      <c r="AQ703" s="3"/>
      <c r="AR703" s="3"/>
      <c r="AS703" s="3"/>
      <c r="AT703" s="3"/>
    </row>
    <row r="704" spans="1:46" ht="15">
      <c r="A704" s="64" t="s">
        <v>602</v>
      </c>
      <c r="B704" s="65"/>
      <c r="C704" s="65"/>
      <c r="D704" s="66">
        <v>150</v>
      </c>
      <c r="E704" s="102">
        <v>97.85714285714286</v>
      </c>
      <c r="F704" s="98" t="str">
        <f>HYPERLINK("https://i.ytimg.com/vi/KA-QZHjmMx8/default.jpg")</f>
        <v>https://i.ytimg.com/vi/KA-QZHjmMx8/default.jpg</v>
      </c>
      <c r="G704" s="100"/>
      <c r="H704" s="69" t="s">
        <v>1026</v>
      </c>
      <c r="I704" s="70"/>
      <c r="J704" s="104" t="s">
        <v>159</v>
      </c>
      <c r="K704" s="69" t="s">
        <v>1026</v>
      </c>
      <c r="L704" s="105">
        <v>1</v>
      </c>
      <c r="M704" s="74">
        <v>2242.679931640625</v>
      </c>
      <c r="N704" s="74">
        <v>2303.74853515625</v>
      </c>
      <c r="O704" s="75"/>
      <c r="P704" s="76"/>
      <c r="Q704" s="76"/>
      <c r="R704" s="106"/>
      <c r="S704" s="48">
        <v>1</v>
      </c>
      <c r="T704" s="48">
        <v>0</v>
      </c>
      <c r="U704" s="49">
        <v>0</v>
      </c>
      <c r="V704" s="49">
        <v>0.183632</v>
      </c>
      <c r="W704" s="107"/>
      <c r="X704" s="50"/>
      <c r="Y704" s="50"/>
      <c r="Z704" s="49">
        <v>0</v>
      </c>
      <c r="AA704" s="71">
        <v>704</v>
      </c>
      <c r="AB704" s="71"/>
      <c r="AC704" s="72"/>
      <c r="AD704" s="79" t="s">
        <v>1026</v>
      </c>
      <c r="AE704" s="79" t="s">
        <v>1291</v>
      </c>
      <c r="AF704" s="79"/>
      <c r="AG704" s="79" t="s">
        <v>1511</v>
      </c>
      <c r="AH704" s="79" t="s">
        <v>2083</v>
      </c>
      <c r="AI704" s="79">
        <v>50079</v>
      </c>
      <c r="AJ704" s="79">
        <v>31</v>
      </c>
      <c r="AK704" s="79">
        <v>1234</v>
      </c>
      <c r="AL704" s="79">
        <v>0</v>
      </c>
      <c r="AM704" s="79" t="s">
        <v>2092</v>
      </c>
      <c r="AN704" s="114" t="str">
        <f>HYPERLINK("https://www.youtube.com/watch?v=KA-QZHjmMx8")</f>
        <v>https://www.youtube.com/watch?v=KA-QZHjmMx8</v>
      </c>
      <c r="AO704" s="78" t="str">
        <f>REPLACE(INDEX(GroupVertices[Group],MATCH(Vertices[[#This Row],[Vertex]],GroupVertices[Vertex],0)),1,1,"")</f>
        <v>emorable Psychiatry and Neurology</v>
      </c>
      <c r="AP704" s="2"/>
      <c r="AQ704" s="3"/>
      <c r="AR704" s="3"/>
      <c r="AS704" s="3"/>
      <c r="AT704" s="3"/>
    </row>
    <row r="705" spans="1:46" ht="15">
      <c r="A705" s="64" t="s">
        <v>555</v>
      </c>
      <c r="B705" s="65"/>
      <c r="C705" s="65"/>
      <c r="D705" s="66">
        <v>150</v>
      </c>
      <c r="E705" s="102">
        <v>97.85714285714286</v>
      </c>
      <c r="F705" s="98" t="str">
        <f>HYPERLINK("https://i.ytimg.com/vi/1_9d5VMrR_Q/default.jpg")</f>
        <v>https://i.ytimg.com/vi/1_9d5VMrR_Q/default.jpg</v>
      </c>
      <c r="G705" s="100"/>
      <c r="H705" s="69" t="s">
        <v>978</v>
      </c>
      <c r="I705" s="70"/>
      <c r="J705" s="104" t="s">
        <v>159</v>
      </c>
      <c r="K705" s="69" t="s">
        <v>978</v>
      </c>
      <c r="L705" s="105">
        <v>1</v>
      </c>
      <c r="M705" s="74">
        <v>1895.3011474609375</v>
      </c>
      <c r="N705" s="74">
        <v>2916.375</v>
      </c>
      <c r="O705" s="75"/>
      <c r="P705" s="76"/>
      <c r="Q705" s="76"/>
      <c r="R705" s="106"/>
      <c r="S705" s="48">
        <v>1</v>
      </c>
      <c r="T705" s="48">
        <v>0</v>
      </c>
      <c r="U705" s="49">
        <v>0</v>
      </c>
      <c r="V705" s="49">
        <v>0.183632</v>
      </c>
      <c r="W705" s="107"/>
      <c r="X705" s="50"/>
      <c r="Y705" s="50"/>
      <c r="Z705" s="49">
        <v>0</v>
      </c>
      <c r="AA705" s="71">
        <v>705</v>
      </c>
      <c r="AB705" s="71"/>
      <c r="AC705" s="72"/>
      <c r="AD705" s="79" t="s">
        <v>978</v>
      </c>
      <c r="AE705" s="79" t="s">
        <v>3377</v>
      </c>
      <c r="AF705" s="79" t="s">
        <v>1453</v>
      </c>
      <c r="AG705" s="79" t="s">
        <v>1511</v>
      </c>
      <c r="AH705" s="79" t="s">
        <v>2034</v>
      </c>
      <c r="AI705" s="79">
        <v>103710</v>
      </c>
      <c r="AJ705" s="79">
        <v>57</v>
      </c>
      <c r="AK705" s="79">
        <v>2409</v>
      </c>
      <c r="AL705" s="79">
        <v>0</v>
      </c>
      <c r="AM705" s="79" t="s">
        <v>2092</v>
      </c>
      <c r="AN705" s="114" t="str">
        <f>HYPERLINK("https://www.youtube.com/watch?v=1_9d5VMrR_Q")</f>
        <v>https://www.youtube.com/watch?v=1_9d5VMrR_Q</v>
      </c>
      <c r="AO705" s="78" t="str">
        <f>REPLACE(INDEX(GroupVertices[Group],MATCH(Vertices[[#This Row],[Vertex]],GroupVertices[Vertex],0)),1,1,"")</f>
        <v>emorable Psychiatry and Neurology</v>
      </c>
      <c r="AP705" s="2"/>
      <c r="AQ705" s="3"/>
      <c r="AR705" s="3"/>
      <c r="AS705" s="3"/>
      <c r="AT705" s="3"/>
    </row>
    <row r="706" spans="1:46" ht="15">
      <c r="A706" s="64" t="s">
        <v>269</v>
      </c>
      <c r="B706" s="65"/>
      <c r="C706" s="65"/>
      <c r="D706" s="66">
        <v>150</v>
      </c>
      <c r="E706" s="102">
        <v>97.85714285714286</v>
      </c>
      <c r="F706" s="98" t="str">
        <f>HYPERLINK("https://i.ytimg.com/vi/orx4adUXXhU/default.jpg")</f>
        <v>https://i.ytimg.com/vi/orx4adUXXhU/default.jpg</v>
      </c>
      <c r="G706" s="100"/>
      <c r="H706" s="69" t="s">
        <v>654</v>
      </c>
      <c r="I706" s="70"/>
      <c r="J706" s="104" t="s">
        <v>159</v>
      </c>
      <c r="K706" s="69" t="s">
        <v>654</v>
      </c>
      <c r="L706" s="105">
        <v>1</v>
      </c>
      <c r="M706" s="74">
        <v>2117.84130859375</v>
      </c>
      <c r="N706" s="74">
        <v>1432.322021484375</v>
      </c>
      <c r="O706" s="75"/>
      <c r="P706" s="76"/>
      <c r="Q706" s="76"/>
      <c r="R706" s="106"/>
      <c r="S706" s="48">
        <v>1</v>
      </c>
      <c r="T706" s="48">
        <v>0</v>
      </c>
      <c r="U706" s="49">
        <v>0</v>
      </c>
      <c r="V706" s="49">
        <v>0.183632</v>
      </c>
      <c r="W706" s="107"/>
      <c r="X706" s="50"/>
      <c r="Y706" s="50"/>
      <c r="Z706" s="49">
        <v>0</v>
      </c>
      <c r="AA706" s="71">
        <v>706</v>
      </c>
      <c r="AB706" s="71"/>
      <c r="AC706" s="72"/>
      <c r="AD706" s="79" t="s">
        <v>654</v>
      </c>
      <c r="AE706" s="79" t="s">
        <v>1053</v>
      </c>
      <c r="AF706" s="79"/>
      <c r="AG706" s="79" t="s">
        <v>1511</v>
      </c>
      <c r="AH706" s="79" t="s">
        <v>1710</v>
      </c>
      <c r="AI706" s="79">
        <v>64506</v>
      </c>
      <c r="AJ706" s="79">
        <v>41</v>
      </c>
      <c r="AK706" s="79">
        <v>1206</v>
      </c>
      <c r="AL706" s="79">
        <v>0</v>
      </c>
      <c r="AM706" s="79" t="s">
        <v>2092</v>
      </c>
      <c r="AN706" s="114" t="str">
        <f>HYPERLINK("https://www.youtube.com/watch?v=orx4adUXXhU")</f>
        <v>https://www.youtube.com/watch?v=orx4adUXXhU</v>
      </c>
      <c r="AO706" s="78" t="str">
        <f>REPLACE(INDEX(GroupVertices[Group],MATCH(Vertices[[#This Row],[Vertex]],GroupVertices[Vertex],0)),1,1,"")</f>
        <v>emorable Psychiatry and Neurology</v>
      </c>
      <c r="AP706" s="2"/>
      <c r="AQ706" s="3"/>
      <c r="AR706" s="3"/>
      <c r="AS706" s="3"/>
      <c r="AT706" s="3"/>
    </row>
    <row r="707" spans="1:46" ht="15">
      <c r="A707" s="64" t="s">
        <v>587</v>
      </c>
      <c r="B707" s="65"/>
      <c r="C707" s="65"/>
      <c r="D707" s="66">
        <v>150</v>
      </c>
      <c r="E707" s="102">
        <v>97.85714285714286</v>
      </c>
      <c r="F707" s="98" t="str">
        <f>HYPERLINK("https://i.ytimg.com/vi/E-xDR9rdrs4/default.jpg")</f>
        <v>https://i.ytimg.com/vi/E-xDR9rdrs4/default.jpg</v>
      </c>
      <c r="G707" s="100"/>
      <c r="H707" s="69" t="s">
        <v>1011</v>
      </c>
      <c r="I707" s="70"/>
      <c r="J707" s="104" t="s">
        <v>159</v>
      </c>
      <c r="K707" s="69" t="s">
        <v>1011</v>
      </c>
      <c r="L707" s="105">
        <v>1</v>
      </c>
      <c r="M707" s="74">
        <v>2069.53369140625</v>
      </c>
      <c r="N707" s="74">
        <v>2831.144287109375</v>
      </c>
      <c r="O707" s="75"/>
      <c r="P707" s="76"/>
      <c r="Q707" s="76"/>
      <c r="R707" s="106"/>
      <c r="S707" s="48">
        <v>1</v>
      </c>
      <c r="T707" s="48">
        <v>0</v>
      </c>
      <c r="U707" s="49">
        <v>0</v>
      </c>
      <c r="V707" s="49">
        <v>0.183632</v>
      </c>
      <c r="W707" s="107"/>
      <c r="X707" s="50"/>
      <c r="Y707" s="50"/>
      <c r="Z707" s="49">
        <v>0</v>
      </c>
      <c r="AA707" s="71">
        <v>707</v>
      </c>
      <c r="AB707" s="71"/>
      <c r="AC707" s="72"/>
      <c r="AD707" s="79" t="s">
        <v>1011</v>
      </c>
      <c r="AE707" s="79" t="s">
        <v>1281</v>
      </c>
      <c r="AF707" s="79"/>
      <c r="AG707" s="79" t="s">
        <v>1511</v>
      </c>
      <c r="AH707" s="79" t="s">
        <v>2068</v>
      </c>
      <c r="AI707" s="79">
        <v>15447</v>
      </c>
      <c r="AJ707" s="79">
        <v>9</v>
      </c>
      <c r="AK707" s="79">
        <v>314</v>
      </c>
      <c r="AL707" s="79">
        <v>0</v>
      </c>
      <c r="AM707" s="79" t="s">
        <v>2092</v>
      </c>
      <c r="AN707" s="114" t="str">
        <f>HYPERLINK("https://www.youtube.com/watch?v=E-xDR9rdrs4")</f>
        <v>https://www.youtube.com/watch?v=E-xDR9rdrs4</v>
      </c>
      <c r="AO707" s="78" t="str">
        <f>REPLACE(INDEX(GroupVertices[Group],MATCH(Vertices[[#This Row],[Vertex]],GroupVertices[Vertex],0)),1,1,"")</f>
        <v>emorable Psychiatry and Neurology</v>
      </c>
      <c r="AP707" s="2"/>
      <c r="AQ707" s="3"/>
      <c r="AR707" s="3"/>
      <c r="AS707" s="3"/>
      <c r="AT707" s="3"/>
    </row>
    <row r="708" spans="1:46" ht="15">
      <c r="A708" s="64" t="s">
        <v>2478</v>
      </c>
      <c r="B708" s="65"/>
      <c r="C708" s="65"/>
      <c r="D708" s="66">
        <v>150</v>
      </c>
      <c r="E708" s="102">
        <v>97.85714285714286</v>
      </c>
      <c r="F708" s="98" t="str">
        <f>HYPERLINK("https://i.ytimg.com/vi/WmkjXkPNANo/default.jpg")</f>
        <v>https://i.ytimg.com/vi/WmkjXkPNANo/default.jpg</v>
      </c>
      <c r="G708" s="100"/>
      <c r="H708" s="69" t="s">
        <v>2951</v>
      </c>
      <c r="I708" s="70"/>
      <c r="J708" s="104" t="s">
        <v>159</v>
      </c>
      <c r="K708" s="69" t="s">
        <v>2951</v>
      </c>
      <c r="L708" s="105">
        <v>1</v>
      </c>
      <c r="M708" s="74">
        <v>1598.5255126953125</v>
      </c>
      <c r="N708" s="74">
        <v>1817.7398681640625</v>
      </c>
      <c r="O708" s="75"/>
      <c r="P708" s="76"/>
      <c r="Q708" s="76"/>
      <c r="R708" s="106"/>
      <c r="S708" s="48">
        <v>1</v>
      </c>
      <c r="T708" s="48">
        <v>0</v>
      </c>
      <c r="U708" s="49">
        <v>0</v>
      </c>
      <c r="V708" s="49">
        <v>0.183632</v>
      </c>
      <c r="W708" s="107"/>
      <c r="X708" s="50"/>
      <c r="Y708" s="50"/>
      <c r="Z708" s="49">
        <v>0</v>
      </c>
      <c r="AA708" s="71">
        <v>708</v>
      </c>
      <c r="AB708" s="71"/>
      <c r="AC708" s="72"/>
      <c r="AD708" s="79" t="s">
        <v>2951</v>
      </c>
      <c r="AE708" s="79" t="s">
        <v>3378</v>
      </c>
      <c r="AF708" s="79" t="s">
        <v>3639</v>
      </c>
      <c r="AG708" s="79" t="s">
        <v>1511</v>
      </c>
      <c r="AH708" s="79" t="s">
        <v>4320</v>
      </c>
      <c r="AI708" s="79">
        <v>46814</v>
      </c>
      <c r="AJ708" s="79">
        <v>37</v>
      </c>
      <c r="AK708" s="79">
        <v>1078</v>
      </c>
      <c r="AL708" s="79">
        <v>0</v>
      </c>
      <c r="AM708" s="79" t="s">
        <v>2092</v>
      </c>
      <c r="AN708" s="114" t="str">
        <f>HYPERLINK("https://www.youtube.com/watch?v=WmkjXkPNANo")</f>
        <v>https://www.youtube.com/watch?v=WmkjXkPNANo</v>
      </c>
      <c r="AO708" s="78" t="str">
        <f>REPLACE(INDEX(GroupVertices[Group],MATCH(Vertices[[#This Row],[Vertex]],GroupVertices[Vertex],0)),1,1,"")</f>
        <v>emorable Psychiatry and Neurology</v>
      </c>
      <c r="AP708" s="2"/>
      <c r="AQ708" s="3"/>
      <c r="AR708" s="3"/>
      <c r="AS708" s="3"/>
      <c r="AT708" s="3"/>
    </row>
    <row r="709" spans="1:46" ht="15">
      <c r="A709" s="64" t="s">
        <v>589</v>
      </c>
      <c r="B709" s="65"/>
      <c r="C709" s="65"/>
      <c r="D709" s="66">
        <v>150</v>
      </c>
      <c r="E709" s="102">
        <v>97.85714285714286</v>
      </c>
      <c r="F709" s="98" t="str">
        <f>HYPERLINK("https://i.ytimg.com/vi/uizelyjZrAw/default.jpg")</f>
        <v>https://i.ytimg.com/vi/uizelyjZrAw/default.jpg</v>
      </c>
      <c r="G709" s="100"/>
      <c r="H709" s="69" t="s">
        <v>1013</v>
      </c>
      <c r="I709" s="70"/>
      <c r="J709" s="104" t="s">
        <v>159</v>
      </c>
      <c r="K709" s="69" t="s">
        <v>1013</v>
      </c>
      <c r="L709" s="105">
        <v>1</v>
      </c>
      <c r="M709" s="74">
        <v>1869.1409912109375</v>
      </c>
      <c r="N709" s="74">
        <v>899.7847900390625</v>
      </c>
      <c r="O709" s="75"/>
      <c r="P709" s="76"/>
      <c r="Q709" s="76"/>
      <c r="R709" s="106"/>
      <c r="S709" s="48">
        <v>1</v>
      </c>
      <c r="T709" s="48">
        <v>0</v>
      </c>
      <c r="U709" s="49">
        <v>0</v>
      </c>
      <c r="V709" s="49">
        <v>0.183632</v>
      </c>
      <c r="W709" s="107"/>
      <c r="X709" s="50"/>
      <c r="Y709" s="50"/>
      <c r="Z709" s="49">
        <v>0</v>
      </c>
      <c r="AA709" s="71">
        <v>709</v>
      </c>
      <c r="AB709" s="71"/>
      <c r="AC709" s="72"/>
      <c r="AD709" s="79" t="s">
        <v>1013</v>
      </c>
      <c r="AE709" s="79" t="s">
        <v>1283</v>
      </c>
      <c r="AF709" s="79"/>
      <c r="AG709" s="79" t="s">
        <v>1511</v>
      </c>
      <c r="AH709" s="79" t="s">
        <v>2070</v>
      </c>
      <c r="AI709" s="79">
        <v>17163</v>
      </c>
      <c r="AJ709" s="79">
        <v>37</v>
      </c>
      <c r="AK709" s="79">
        <v>425</v>
      </c>
      <c r="AL709" s="79">
        <v>0</v>
      </c>
      <c r="AM709" s="79" t="s">
        <v>2092</v>
      </c>
      <c r="AN709" s="114" t="str">
        <f>HYPERLINK("https://www.youtube.com/watch?v=uizelyjZrAw")</f>
        <v>https://www.youtube.com/watch?v=uizelyjZrAw</v>
      </c>
      <c r="AO709" s="78" t="str">
        <f>REPLACE(INDEX(GroupVertices[Group],MATCH(Vertices[[#This Row],[Vertex]],GroupVertices[Vertex],0)),1,1,"")</f>
        <v>emorable Psychiatry and Neurology</v>
      </c>
      <c r="AP709" s="2"/>
      <c r="AQ709" s="3"/>
      <c r="AR709" s="3"/>
      <c r="AS709" s="3"/>
      <c r="AT709" s="3"/>
    </row>
    <row r="710" spans="1:46" ht="15">
      <c r="A710" s="64" t="s">
        <v>583</v>
      </c>
      <c r="B710" s="65"/>
      <c r="C710" s="65"/>
      <c r="D710" s="66">
        <v>150</v>
      </c>
      <c r="E710" s="102">
        <v>97.85714285714286</v>
      </c>
      <c r="F710" s="98" t="str">
        <f>HYPERLINK("https://i.ytimg.com/vi/OpXLUTp2PwA/default.jpg")</f>
        <v>https://i.ytimg.com/vi/OpXLUTp2PwA/default.jpg</v>
      </c>
      <c r="G710" s="100"/>
      <c r="H710" s="69" t="s">
        <v>1007</v>
      </c>
      <c r="I710" s="70"/>
      <c r="J710" s="104" t="s">
        <v>159</v>
      </c>
      <c r="K710" s="69" t="s">
        <v>1007</v>
      </c>
      <c r="L710" s="105">
        <v>1</v>
      </c>
      <c r="M710" s="74">
        <v>1519.551513671875</v>
      </c>
      <c r="N710" s="74">
        <v>2058.723876953125</v>
      </c>
      <c r="O710" s="75"/>
      <c r="P710" s="76"/>
      <c r="Q710" s="76"/>
      <c r="R710" s="106"/>
      <c r="S710" s="48">
        <v>1</v>
      </c>
      <c r="T710" s="48">
        <v>0</v>
      </c>
      <c r="U710" s="49">
        <v>0</v>
      </c>
      <c r="V710" s="49">
        <v>0.183632</v>
      </c>
      <c r="W710" s="107"/>
      <c r="X710" s="50"/>
      <c r="Y710" s="50"/>
      <c r="Z710" s="49">
        <v>0</v>
      </c>
      <c r="AA710" s="71">
        <v>710</v>
      </c>
      <c r="AB710" s="71"/>
      <c r="AC710" s="72"/>
      <c r="AD710" s="79" t="s">
        <v>1007</v>
      </c>
      <c r="AE710" s="79" t="s">
        <v>1277</v>
      </c>
      <c r="AF710" s="79"/>
      <c r="AG710" s="79" t="s">
        <v>1511</v>
      </c>
      <c r="AH710" s="79" t="s">
        <v>2064</v>
      </c>
      <c r="AI710" s="79">
        <v>39094</v>
      </c>
      <c r="AJ710" s="79">
        <v>22</v>
      </c>
      <c r="AK710" s="79">
        <v>855</v>
      </c>
      <c r="AL710" s="79">
        <v>0</v>
      </c>
      <c r="AM710" s="79" t="s">
        <v>2092</v>
      </c>
      <c r="AN710" s="114" t="str">
        <f>HYPERLINK("https://www.youtube.com/watch?v=OpXLUTp2PwA")</f>
        <v>https://www.youtube.com/watch?v=OpXLUTp2PwA</v>
      </c>
      <c r="AO710" s="78" t="str">
        <f>REPLACE(INDEX(GroupVertices[Group],MATCH(Vertices[[#This Row],[Vertex]],GroupVertices[Vertex],0)),1,1,"")</f>
        <v>emorable Psychiatry and Neurology</v>
      </c>
      <c r="AP710" s="2"/>
      <c r="AQ710" s="3"/>
      <c r="AR710" s="3"/>
      <c r="AS710" s="3"/>
      <c r="AT710" s="3"/>
    </row>
    <row r="711" spans="1:46" ht="15">
      <c r="A711" s="64" t="s">
        <v>585</v>
      </c>
      <c r="B711" s="65"/>
      <c r="C711" s="65"/>
      <c r="D711" s="66">
        <v>150</v>
      </c>
      <c r="E711" s="102">
        <v>97.85714285714286</v>
      </c>
      <c r="F711" s="98" t="str">
        <f>HYPERLINK("https://i.ytimg.com/vi/K94_xuqw9GE/default.jpg")</f>
        <v>https://i.ytimg.com/vi/K94_xuqw9GE/default.jpg</v>
      </c>
      <c r="G711" s="100"/>
      <c r="H711" s="69" t="s">
        <v>1009</v>
      </c>
      <c r="I711" s="70"/>
      <c r="J711" s="104" t="s">
        <v>159</v>
      </c>
      <c r="K711" s="69" t="s">
        <v>1009</v>
      </c>
      <c r="L711" s="105">
        <v>1</v>
      </c>
      <c r="M711" s="74">
        <v>1958.9139404296875</v>
      </c>
      <c r="N711" s="74">
        <v>2705.33642578125</v>
      </c>
      <c r="O711" s="75"/>
      <c r="P711" s="76"/>
      <c r="Q711" s="76"/>
      <c r="R711" s="106"/>
      <c r="S711" s="48">
        <v>1</v>
      </c>
      <c r="T711" s="48">
        <v>0</v>
      </c>
      <c r="U711" s="49">
        <v>0</v>
      </c>
      <c r="V711" s="49">
        <v>0.183632</v>
      </c>
      <c r="W711" s="107"/>
      <c r="X711" s="50"/>
      <c r="Y711" s="50"/>
      <c r="Z711" s="49">
        <v>0</v>
      </c>
      <c r="AA711" s="71">
        <v>711</v>
      </c>
      <c r="AB711" s="71"/>
      <c r="AC711" s="72"/>
      <c r="AD711" s="79" t="s">
        <v>1009</v>
      </c>
      <c r="AE711" s="79" t="s">
        <v>1279</v>
      </c>
      <c r="AF711" s="79" t="s">
        <v>1467</v>
      </c>
      <c r="AG711" s="79" t="s">
        <v>1511</v>
      </c>
      <c r="AH711" s="79" t="s">
        <v>2066</v>
      </c>
      <c r="AI711" s="79">
        <v>92704</v>
      </c>
      <c r="AJ711" s="79">
        <v>18</v>
      </c>
      <c r="AK711" s="79">
        <v>1674</v>
      </c>
      <c r="AL711" s="79">
        <v>0</v>
      </c>
      <c r="AM711" s="79" t="s">
        <v>2092</v>
      </c>
      <c r="AN711" s="114" t="str">
        <f>HYPERLINK("https://www.youtube.com/watch?v=K94_xuqw9GE")</f>
        <v>https://www.youtube.com/watch?v=K94_xuqw9GE</v>
      </c>
      <c r="AO711" s="78" t="str">
        <f>REPLACE(INDEX(GroupVertices[Group],MATCH(Vertices[[#This Row],[Vertex]],GroupVertices[Vertex],0)),1,1,"")</f>
        <v>emorable Psychiatry and Neurology</v>
      </c>
      <c r="AP711" s="2"/>
      <c r="AQ711" s="3"/>
      <c r="AR711" s="3"/>
      <c r="AS711" s="3"/>
      <c r="AT711" s="3"/>
    </row>
    <row r="712" spans="1:46" ht="15">
      <c r="A712" s="64" t="s">
        <v>586</v>
      </c>
      <c r="B712" s="65"/>
      <c r="C712" s="65"/>
      <c r="D712" s="66">
        <v>150</v>
      </c>
      <c r="E712" s="102">
        <v>97.85714285714286</v>
      </c>
      <c r="F712" s="98" t="str">
        <f>HYPERLINK("https://i.ytimg.com/vi/y0wrW-9_cH4/default.jpg")</f>
        <v>https://i.ytimg.com/vi/y0wrW-9_cH4/default.jpg</v>
      </c>
      <c r="G712" s="100"/>
      <c r="H712" s="69" t="s">
        <v>1010</v>
      </c>
      <c r="I712" s="70"/>
      <c r="J712" s="104" t="s">
        <v>159</v>
      </c>
      <c r="K712" s="69" t="s">
        <v>1010</v>
      </c>
      <c r="L712" s="105">
        <v>1</v>
      </c>
      <c r="M712" s="74">
        <v>1907.8792724609375</v>
      </c>
      <c r="N712" s="74">
        <v>1390.771484375</v>
      </c>
      <c r="O712" s="75"/>
      <c r="P712" s="76"/>
      <c r="Q712" s="76"/>
      <c r="R712" s="106"/>
      <c r="S712" s="48">
        <v>1</v>
      </c>
      <c r="T712" s="48">
        <v>0</v>
      </c>
      <c r="U712" s="49">
        <v>0</v>
      </c>
      <c r="V712" s="49">
        <v>0.183632</v>
      </c>
      <c r="W712" s="107"/>
      <c r="X712" s="50"/>
      <c r="Y712" s="50"/>
      <c r="Z712" s="49">
        <v>0</v>
      </c>
      <c r="AA712" s="71">
        <v>712</v>
      </c>
      <c r="AB712" s="71"/>
      <c r="AC712" s="72"/>
      <c r="AD712" s="79" t="s">
        <v>1010</v>
      </c>
      <c r="AE712" s="79" t="s">
        <v>1280</v>
      </c>
      <c r="AF712" s="79"/>
      <c r="AG712" s="79" t="s">
        <v>1511</v>
      </c>
      <c r="AH712" s="79" t="s">
        <v>2067</v>
      </c>
      <c r="AI712" s="79">
        <v>66012</v>
      </c>
      <c r="AJ712" s="79">
        <v>72</v>
      </c>
      <c r="AK712" s="79">
        <v>1369</v>
      </c>
      <c r="AL712" s="79">
        <v>0</v>
      </c>
      <c r="AM712" s="79" t="s">
        <v>2092</v>
      </c>
      <c r="AN712" s="114" t="str">
        <f>HYPERLINK("https://www.youtube.com/watch?v=y0wrW-9_cH4")</f>
        <v>https://www.youtube.com/watch?v=y0wrW-9_cH4</v>
      </c>
      <c r="AO712" s="78" t="str">
        <f>REPLACE(INDEX(GroupVertices[Group],MATCH(Vertices[[#This Row],[Vertex]],GroupVertices[Vertex],0)),1,1,"")</f>
        <v>emorable Psychiatry and Neurology</v>
      </c>
      <c r="AP712" s="2"/>
      <c r="AQ712" s="3"/>
      <c r="AR712" s="3"/>
      <c r="AS712" s="3"/>
      <c r="AT712" s="3"/>
    </row>
    <row r="713" spans="1:46" ht="15">
      <c r="A713" s="64" t="s">
        <v>588</v>
      </c>
      <c r="B713" s="65"/>
      <c r="C713" s="65"/>
      <c r="D713" s="66">
        <v>150</v>
      </c>
      <c r="E713" s="102">
        <v>97.85714285714286</v>
      </c>
      <c r="F713" s="98" t="str">
        <f>HYPERLINK("https://i.ytimg.com/vi/QFt_5kSUQyM/default.jpg")</f>
        <v>https://i.ytimg.com/vi/QFt_5kSUQyM/default.jpg</v>
      </c>
      <c r="G713" s="100"/>
      <c r="H713" s="69" t="s">
        <v>1012</v>
      </c>
      <c r="I713" s="70"/>
      <c r="J713" s="104" t="s">
        <v>159</v>
      </c>
      <c r="K713" s="69" t="s">
        <v>1012</v>
      </c>
      <c r="L713" s="105">
        <v>1</v>
      </c>
      <c r="M713" s="74">
        <v>1779.3853759765625</v>
      </c>
      <c r="N713" s="74">
        <v>2799.1083984375</v>
      </c>
      <c r="O713" s="75"/>
      <c r="P713" s="76"/>
      <c r="Q713" s="76"/>
      <c r="R713" s="106"/>
      <c r="S713" s="48">
        <v>1</v>
      </c>
      <c r="T713" s="48">
        <v>0</v>
      </c>
      <c r="U713" s="49">
        <v>0</v>
      </c>
      <c r="V713" s="49">
        <v>0.183632</v>
      </c>
      <c r="W713" s="107"/>
      <c r="X713" s="50"/>
      <c r="Y713" s="50"/>
      <c r="Z713" s="49">
        <v>0</v>
      </c>
      <c r="AA713" s="71">
        <v>713</v>
      </c>
      <c r="AB713" s="71"/>
      <c r="AC713" s="72"/>
      <c r="AD713" s="79" t="s">
        <v>1012</v>
      </c>
      <c r="AE713" s="79" t="s">
        <v>1282</v>
      </c>
      <c r="AF713" s="79"/>
      <c r="AG713" s="79" t="s">
        <v>1511</v>
      </c>
      <c r="AH713" s="79" t="s">
        <v>2069</v>
      </c>
      <c r="AI713" s="79">
        <v>43362</v>
      </c>
      <c r="AJ713" s="79">
        <v>35</v>
      </c>
      <c r="AK713" s="79">
        <v>857</v>
      </c>
      <c r="AL713" s="79">
        <v>0</v>
      </c>
      <c r="AM713" s="79" t="s">
        <v>2092</v>
      </c>
      <c r="AN713" s="114" t="str">
        <f>HYPERLINK("https://www.youtube.com/watch?v=QFt_5kSUQyM")</f>
        <v>https://www.youtube.com/watch?v=QFt_5kSUQyM</v>
      </c>
      <c r="AO713" s="78" t="str">
        <f>REPLACE(INDEX(GroupVertices[Group],MATCH(Vertices[[#This Row],[Vertex]],GroupVertices[Vertex],0)),1,1,"")</f>
        <v>emorable Psychiatry and Neurology</v>
      </c>
      <c r="AP713" s="2"/>
      <c r="AQ713" s="3"/>
      <c r="AR713" s="3"/>
      <c r="AS713" s="3"/>
      <c r="AT713" s="3"/>
    </row>
    <row r="714" spans="1:46" ht="15">
      <c r="A714" s="64" t="s">
        <v>564</v>
      </c>
      <c r="B714" s="65"/>
      <c r="C714" s="65"/>
      <c r="D714" s="66">
        <v>150</v>
      </c>
      <c r="E714" s="102">
        <v>97.85714285714286</v>
      </c>
      <c r="F714" s="98" t="str">
        <f>HYPERLINK("https://i.ytimg.com/vi/wlUNlaqgs3A/default.jpg")</f>
        <v>https://i.ytimg.com/vi/wlUNlaqgs3A/default.jpg</v>
      </c>
      <c r="G714" s="100"/>
      <c r="H714" s="69" t="s">
        <v>988</v>
      </c>
      <c r="I714" s="70"/>
      <c r="J714" s="104" t="s">
        <v>159</v>
      </c>
      <c r="K714" s="69" t="s">
        <v>988</v>
      </c>
      <c r="L714" s="105">
        <v>1</v>
      </c>
      <c r="M714" s="74">
        <v>1547.0784912109375</v>
      </c>
      <c r="N714" s="74">
        <v>2826.602783203125</v>
      </c>
      <c r="O714" s="75"/>
      <c r="P714" s="76"/>
      <c r="Q714" s="76"/>
      <c r="R714" s="106"/>
      <c r="S714" s="48">
        <v>1</v>
      </c>
      <c r="T714" s="48">
        <v>0</v>
      </c>
      <c r="U714" s="49">
        <v>0</v>
      </c>
      <c r="V714" s="49">
        <v>0.183632</v>
      </c>
      <c r="W714" s="107"/>
      <c r="X714" s="50"/>
      <c r="Y714" s="50"/>
      <c r="Z714" s="49">
        <v>0</v>
      </c>
      <c r="AA714" s="71">
        <v>714</v>
      </c>
      <c r="AB714" s="71"/>
      <c r="AC714" s="72"/>
      <c r="AD714" s="79" t="s">
        <v>988</v>
      </c>
      <c r="AE714" s="79" t="s">
        <v>1264</v>
      </c>
      <c r="AF714" s="79"/>
      <c r="AG714" s="79" t="s">
        <v>1511</v>
      </c>
      <c r="AH714" s="79" t="s">
        <v>2044</v>
      </c>
      <c r="AI714" s="79">
        <v>25523</v>
      </c>
      <c r="AJ714" s="79">
        <v>48</v>
      </c>
      <c r="AK714" s="79">
        <v>589</v>
      </c>
      <c r="AL714" s="79">
        <v>0</v>
      </c>
      <c r="AM714" s="79" t="s">
        <v>2092</v>
      </c>
      <c r="AN714" s="114" t="str">
        <f>HYPERLINK("https://www.youtube.com/watch?v=wlUNlaqgs3A")</f>
        <v>https://www.youtube.com/watch?v=wlUNlaqgs3A</v>
      </c>
      <c r="AO714" s="78" t="str">
        <f>REPLACE(INDEX(GroupVertices[Group],MATCH(Vertices[[#This Row],[Vertex]],GroupVertices[Vertex],0)),1,1,"")</f>
        <v>emorable Psychiatry and Neurology</v>
      </c>
      <c r="AP714" s="2"/>
      <c r="AQ714" s="3"/>
      <c r="AR714" s="3"/>
      <c r="AS714" s="3"/>
      <c r="AT714" s="3"/>
    </row>
    <row r="715" spans="1:46" ht="15">
      <c r="A715" s="64" t="s">
        <v>272</v>
      </c>
      <c r="B715" s="65"/>
      <c r="C715" s="65"/>
      <c r="D715" s="66">
        <v>150</v>
      </c>
      <c r="E715" s="102">
        <v>97.85714285714286</v>
      </c>
      <c r="F715" s="98" t="str">
        <f>HYPERLINK("https://i.ytimg.com/vi/JmiARS9TIj8/default.jpg")</f>
        <v>https://i.ytimg.com/vi/JmiARS9TIj8/default.jpg</v>
      </c>
      <c r="G715" s="100"/>
      <c r="H715" s="69" t="s">
        <v>659</v>
      </c>
      <c r="I715" s="70"/>
      <c r="J715" s="104" t="s">
        <v>159</v>
      </c>
      <c r="K715" s="69" t="s">
        <v>659</v>
      </c>
      <c r="L715" s="105">
        <v>1</v>
      </c>
      <c r="M715" s="74">
        <v>1983.31640625</v>
      </c>
      <c r="N715" s="74">
        <v>1107.2432861328125</v>
      </c>
      <c r="O715" s="75"/>
      <c r="P715" s="76"/>
      <c r="Q715" s="76"/>
      <c r="R715" s="106"/>
      <c r="S715" s="48">
        <v>1</v>
      </c>
      <c r="T715" s="48">
        <v>0</v>
      </c>
      <c r="U715" s="49">
        <v>0</v>
      </c>
      <c r="V715" s="49">
        <v>0.183632</v>
      </c>
      <c r="W715" s="107"/>
      <c r="X715" s="50"/>
      <c r="Y715" s="50"/>
      <c r="Z715" s="49">
        <v>0</v>
      </c>
      <c r="AA715" s="71">
        <v>715</v>
      </c>
      <c r="AB715" s="71"/>
      <c r="AC715" s="72"/>
      <c r="AD715" s="79" t="s">
        <v>659</v>
      </c>
      <c r="AE715" s="79" t="s">
        <v>1055</v>
      </c>
      <c r="AF715" s="79" t="s">
        <v>1319</v>
      </c>
      <c r="AG715" s="79" t="s">
        <v>1525</v>
      </c>
      <c r="AH715" s="79" t="s">
        <v>1714</v>
      </c>
      <c r="AI715" s="79">
        <v>381586</v>
      </c>
      <c r="AJ715" s="79">
        <v>309</v>
      </c>
      <c r="AK715" s="79">
        <v>10058</v>
      </c>
      <c r="AL715" s="79">
        <v>0</v>
      </c>
      <c r="AM715" s="79" t="s">
        <v>2092</v>
      </c>
      <c r="AN715" s="114" t="str">
        <f>HYPERLINK("https://www.youtube.com/watch?v=JmiARS9TIj8")</f>
        <v>https://www.youtube.com/watch?v=JmiARS9TIj8</v>
      </c>
      <c r="AO715" s="78" t="str">
        <f>REPLACE(INDEX(GroupVertices[Group],MATCH(Vertices[[#This Row],[Vertex]],GroupVertices[Vertex],0)),1,1,"")</f>
        <v>irty Medicine</v>
      </c>
      <c r="AP715" s="2"/>
      <c r="AQ715" s="3"/>
      <c r="AR715" s="3"/>
      <c r="AS715" s="3"/>
      <c r="AT715" s="3"/>
    </row>
    <row r="716" spans="1:46" ht="15">
      <c r="A716" s="64" t="s">
        <v>385</v>
      </c>
      <c r="B716" s="65"/>
      <c r="C716" s="65"/>
      <c r="D716" s="66">
        <v>150</v>
      </c>
      <c r="E716" s="102">
        <v>97.85714285714286</v>
      </c>
      <c r="F716" s="98" t="str">
        <f>HYPERLINK("https://i.ytimg.com/vi/R8A5c_HO3qA/default.jpg")</f>
        <v>https://i.ytimg.com/vi/R8A5c_HO3qA/default.jpg</v>
      </c>
      <c r="G716" s="100"/>
      <c r="H716" s="69" t="s">
        <v>794</v>
      </c>
      <c r="I716" s="70"/>
      <c r="J716" s="104" t="s">
        <v>159</v>
      </c>
      <c r="K716" s="69" t="s">
        <v>794</v>
      </c>
      <c r="L716" s="105">
        <v>1</v>
      </c>
      <c r="M716" s="74">
        <v>2188.64892578125</v>
      </c>
      <c r="N716" s="74">
        <v>1170.948486328125</v>
      </c>
      <c r="O716" s="75"/>
      <c r="P716" s="76"/>
      <c r="Q716" s="76"/>
      <c r="R716" s="106"/>
      <c r="S716" s="48">
        <v>1</v>
      </c>
      <c r="T716" s="48">
        <v>0</v>
      </c>
      <c r="U716" s="49">
        <v>0</v>
      </c>
      <c r="V716" s="49">
        <v>0.183632</v>
      </c>
      <c r="W716" s="107"/>
      <c r="X716" s="50"/>
      <c r="Y716" s="50"/>
      <c r="Z716" s="49">
        <v>0</v>
      </c>
      <c r="AA716" s="71">
        <v>716</v>
      </c>
      <c r="AB716" s="71"/>
      <c r="AC716" s="72"/>
      <c r="AD716" s="79" t="s">
        <v>794</v>
      </c>
      <c r="AE716" s="79" t="s">
        <v>1132</v>
      </c>
      <c r="AF716" s="79"/>
      <c r="AG716" s="79" t="s">
        <v>1511</v>
      </c>
      <c r="AH716" s="79" t="s">
        <v>1849</v>
      </c>
      <c r="AI716" s="79">
        <v>168522</v>
      </c>
      <c r="AJ716" s="79">
        <v>222</v>
      </c>
      <c r="AK716" s="79">
        <v>4056</v>
      </c>
      <c r="AL716" s="79">
        <v>0</v>
      </c>
      <c r="AM716" s="79" t="s">
        <v>2092</v>
      </c>
      <c r="AN716" s="114" t="str">
        <f>HYPERLINK("https://www.youtube.com/watch?v=R8A5c_HO3qA")</f>
        <v>https://www.youtube.com/watch?v=R8A5c_HO3qA</v>
      </c>
      <c r="AO716" s="78" t="str">
        <f>REPLACE(INDEX(GroupVertices[Group],MATCH(Vertices[[#This Row],[Vertex]],GroupVertices[Vertex],0)),1,1,"")</f>
        <v>emorable Psychiatry and Neurology</v>
      </c>
      <c r="AP716" s="2"/>
      <c r="AQ716" s="3"/>
      <c r="AR716" s="3"/>
      <c r="AS716" s="3"/>
      <c r="AT716" s="3"/>
    </row>
    <row r="717" spans="1:46" ht="15">
      <c r="A717" s="64" t="s">
        <v>2479</v>
      </c>
      <c r="B717" s="65"/>
      <c r="C717" s="65"/>
      <c r="D717" s="66">
        <v>150</v>
      </c>
      <c r="E717" s="102">
        <v>97.85714285714286</v>
      </c>
      <c r="F717" s="98" t="str">
        <f>HYPERLINK("https://i.ytimg.com/vi/sKr1rBQ6Aps/default.jpg")</f>
        <v>https://i.ytimg.com/vi/sKr1rBQ6Aps/default.jpg</v>
      </c>
      <c r="G717" s="100"/>
      <c r="H717" s="69" t="s">
        <v>2952</v>
      </c>
      <c r="I717" s="70"/>
      <c r="J717" s="104" t="s">
        <v>159</v>
      </c>
      <c r="K717" s="69" t="s">
        <v>2952</v>
      </c>
      <c r="L717" s="105">
        <v>1</v>
      </c>
      <c r="M717" s="74">
        <v>7959.91796875</v>
      </c>
      <c r="N717" s="74">
        <v>8367.4990234375</v>
      </c>
      <c r="O717" s="75"/>
      <c r="P717" s="76"/>
      <c r="Q717" s="76"/>
      <c r="R717" s="106"/>
      <c r="S717" s="48">
        <v>1</v>
      </c>
      <c r="T717" s="48">
        <v>0</v>
      </c>
      <c r="U717" s="49">
        <v>0</v>
      </c>
      <c r="V717" s="49">
        <v>0.176793</v>
      </c>
      <c r="W717" s="107"/>
      <c r="X717" s="50"/>
      <c r="Y717" s="50"/>
      <c r="Z717" s="49">
        <v>0</v>
      </c>
      <c r="AA717" s="71">
        <v>717</v>
      </c>
      <c r="AB717" s="71"/>
      <c r="AC717" s="72"/>
      <c r="AD717" s="79" t="s">
        <v>2952</v>
      </c>
      <c r="AE717" s="79" t="s">
        <v>3379</v>
      </c>
      <c r="AF717" s="79"/>
      <c r="AG717" s="79" t="s">
        <v>3904</v>
      </c>
      <c r="AH717" s="79" t="s">
        <v>4321</v>
      </c>
      <c r="AI717" s="79">
        <v>42</v>
      </c>
      <c r="AJ717" s="79">
        <v>0</v>
      </c>
      <c r="AK717" s="79">
        <v>0</v>
      </c>
      <c r="AL717" s="79">
        <v>0</v>
      </c>
      <c r="AM717" s="79" t="s">
        <v>2092</v>
      </c>
      <c r="AN717" s="114" t="str">
        <f>HYPERLINK("https://www.youtube.com/watch?v=sKr1rBQ6Aps")</f>
        <v>https://www.youtube.com/watch?v=sKr1rBQ6Aps</v>
      </c>
      <c r="AO717" s="78" t="str">
        <f>REPLACE(INDEX(GroupVertices[Group],MATCH(Vertices[[#This Row],[Vertex]],GroupVertices[Vertex],0)),1,1,"")</f>
        <v>icole Kirk</v>
      </c>
      <c r="AP717" s="2"/>
      <c r="AQ717" s="3"/>
      <c r="AR717" s="3"/>
      <c r="AS717" s="3"/>
      <c r="AT717" s="3"/>
    </row>
    <row r="718" spans="1:46" ht="15">
      <c r="A718" s="64" t="s">
        <v>2480</v>
      </c>
      <c r="B718" s="65"/>
      <c r="C718" s="65"/>
      <c r="D718" s="66">
        <v>150</v>
      </c>
      <c r="E718" s="102">
        <v>97.85714285714286</v>
      </c>
      <c r="F718" s="98" t="str">
        <f>HYPERLINK("https://i.ytimg.com/vi/erOUE4RXaHU/default.jpg")</f>
        <v>https://i.ytimg.com/vi/erOUE4RXaHU/default.jpg</v>
      </c>
      <c r="G718" s="100"/>
      <c r="H718" s="69" t="s">
        <v>2953</v>
      </c>
      <c r="I718" s="70"/>
      <c r="J718" s="104" t="s">
        <v>159</v>
      </c>
      <c r="K718" s="69" t="s">
        <v>2953</v>
      </c>
      <c r="L718" s="105">
        <v>1</v>
      </c>
      <c r="M718" s="74">
        <v>8845.96875</v>
      </c>
      <c r="N718" s="74">
        <v>7916.67041015625</v>
      </c>
      <c r="O718" s="75"/>
      <c r="P718" s="76"/>
      <c r="Q718" s="76"/>
      <c r="R718" s="106"/>
      <c r="S718" s="48">
        <v>1</v>
      </c>
      <c r="T718" s="48">
        <v>0</v>
      </c>
      <c r="U718" s="49">
        <v>0</v>
      </c>
      <c r="V718" s="49">
        <v>0.176793</v>
      </c>
      <c r="W718" s="107"/>
      <c r="X718" s="50"/>
      <c r="Y718" s="50"/>
      <c r="Z718" s="49">
        <v>0</v>
      </c>
      <c r="AA718" s="71">
        <v>718</v>
      </c>
      <c r="AB718" s="71"/>
      <c r="AC718" s="72"/>
      <c r="AD718" s="79" t="s">
        <v>2953</v>
      </c>
      <c r="AE718" s="79" t="s">
        <v>3380</v>
      </c>
      <c r="AF718" s="79" t="s">
        <v>3640</v>
      </c>
      <c r="AG718" s="79" t="s">
        <v>3905</v>
      </c>
      <c r="AH718" s="79" t="s">
        <v>4322</v>
      </c>
      <c r="AI718" s="79">
        <v>3</v>
      </c>
      <c r="AJ718" s="79">
        <v>0</v>
      </c>
      <c r="AK718" s="79">
        <v>0</v>
      </c>
      <c r="AL718" s="79">
        <v>0</v>
      </c>
      <c r="AM718" s="79" t="s">
        <v>2092</v>
      </c>
      <c r="AN718" s="114" t="str">
        <f>HYPERLINK("https://www.youtube.com/watch?v=erOUE4RXaHU")</f>
        <v>https://www.youtube.com/watch?v=erOUE4RXaHU</v>
      </c>
      <c r="AO718" s="78" t="str">
        <f>REPLACE(INDEX(GroupVertices[Group],MATCH(Vertices[[#This Row],[Vertex]],GroupVertices[Vertex],0)),1,1,"")</f>
        <v>aison Vie New Orleans Therapy and Counseling</v>
      </c>
      <c r="AP718" s="2"/>
      <c r="AQ718" s="3"/>
      <c r="AR718" s="3"/>
      <c r="AS718" s="3"/>
      <c r="AT718" s="3"/>
    </row>
    <row r="719" spans="1:46" ht="15">
      <c r="A719" s="64" t="s">
        <v>2481</v>
      </c>
      <c r="B719" s="65"/>
      <c r="C719" s="65"/>
      <c r="D719" s="66">
        <v>150</v>
      </c>
      <c r="E719" s="102">
        <v>97.85714285714286</v>
      </c>
      <c r="F719" s="98" t="str">
        <f>HYPERLINK("https://i.ytimg.com/vi/MP_zVbj74Yw/default.jpg")</f>
        <v>https://i.ytimg.com/vi/MP_zVbj74Yw/default.jpg</v>
      </c>
      <c r="G719" s="100"/>
      <c r="H719" s="69" t="s">
        <v>2954</v>
      </c>
      <c r="I719" s="70"/>
      <c r="J719" s="104" t="s">
        <v>159</v>
      </c>
      <c r="K719" s="69" t="s">
        <v>2954</v>
      </c>
      <c r="L719" s="105">
        <v>1</v>
      </c>
      <c r="M719" s="74">
        <v>8119.81640625</v>
      </c>
      <c r="N719" s="74">
        <v>8081.6669921875</v>
      </c>
      <c r="O719" s="75"/>
      <c r="P719" s="76"/>
      <c r="Q719" s="76"/>
      <c r="R719" s="106"/>
      <c r="S719" s="48">
        <v>1</v>
      </c>
      <c r="T719" s="48">
        <v>0</v>
      </c>
      <c r="U719" s="49">
        <v>0</v>
      </c>
      <c r="V719" s="49">
        <v>0.176793</v>
      </c>
      <c r="W719" s="107"/>
      <c r="X719" s="50"/>
      <c r="Y719" s="50"/>
      <c r="Z719" s="49">
        <v>0</v>
      </c>
      <c r="AA719" s="71">
        <v>719</v>
      </c>
      <c r="AB719" s="71"/>
      <c r="AC719" s="72"/>
      <c r="AD719" s="79" t="s">
        <v>2954</v>
      </c>
      <c r="AE719" s="79"/>
      <c r="AF719" s="79"/>
      <c r="AG719" s="79" t="s">
        <v>3906</v>
      </c>
      <c r="AH719" s="79" t="s">
        <v>4323</v>
      </c>
      <c r="AI719" s="79">
        <v>327</v>
      </c>
      <c r="AJ719" s="79">
        <v>1</v>
      </c>
      <c r="AK719" s="79">
        <v>8</v>
      </c>
      <c r="AL719" s="79">
        <v>0</v>
      </c>
      <c r="AM719" s="79" t="s">
        <v>2092</v>
      </c>
      <c r="AN719" s="114" t="str">
        <f>HYPERLINK("https://www.youtube.com/watch?v=MP_zVbj74Yw")</f>
        <v>https://www.youtube.com/watch?v=MP_zVbj74Yw</v>
      </c>
      <c r="AO719" s="78" t="str">
        <f>REPLACE(INDEX(GroupVertices[Group],MATCH(Vertices[[#This Row],[Vertex]],GroupVertices[Vertex],0)),1,1,"")</f>
        <v>ao Zambrano</v>
      </c>
      <c r="AP719" s="2"/>
      <c r="AQ719" s="3"/>
      <c r="AR719" s="3"/>
      <c r="AS719" s="3"/>
      <c r="AT719" s="3"/>
    </row>
    <row r="720" spans="1:46" ht="15">
      <c r="A720" s="64" t="s">
        <v>2482</v>
      </c>
      <c r="B720" s="65"/>
      <c r="C720" s="65"/>
      <c r="D720" s="66">
        <v>150</v>
      </c>
      <c r="E720" s="102">
        <v>97.85714285714286</v>
      </c>
      <c r="F720" s="98" t="str">
        <f>HYPERLINK("https://i.ytimg.com/vi/4Zb-6lKI3Q8/default.jpg")</f>
        <v>https://i.ytimg.com/vi/4Zb-6lKI3Q8/default.jpg</v>
      </c>
      <c r="G720" s="100"/>
      <c r="H720" s="69" t="s">
        <v>2955</v>
      </c>
      <c r="I720" s="70"/>
      <c r="J720" s="104" t="s">
        <v>159</v>
      </c>
      <c r="K720" s="69" t="s">
        <v>2955</v>
      </c>
      <c r="L720" s="105">
        <v>1</v>
      </c>
      <c r="M720" s="74">
        <v>8809.05078125</v>
      </c>
      <c r="N720" s="74">
        <v>8966.849609375</v>
      </c>
      <c r="O720" s="75"/>
      <c r="P720" s="76"/>
      <c r="Q720" s="76"/>
      <c r="R720" s="106"/>
      <c r="S720" s="48">
        <v>1</v>
      </c>
      <c r="T720" s="48">
        <v>0</v>
      </c>
      <c r="U720" s="49">
        <v>0</v>
      </c>
      <c r="V720" s="49">
        <v>0.176793</v>
      </c>
      <c r="W720" s="107"/>
      <c r="X720" s="50"/>
      <c r="Y720" s="50"/>
      <c r="Z720" s="49">
        <v>0</v>
      </c>
      <c r="AA720" s="71">
        <v>720</v>
      </c>
      <c r="AB720" s="71"/>
      <c r="AC720" s="72"/>
      <c r="AD720" s="79" t="s">
        <v>2955</v>
      </c>
      <c r="AE720" s="79" t="s">
        <v>3381</v>
      </c>
      <c r="AF720" s="79" t="s">
        <v>3641</v>
      </c>
      <c r="AG720" s="79" t="s">
        <v>3907</v>
      </c>
      <c r="AH720" s="79" t="s">
        <v>4324</v>
      </c>
      <c r="AI720" s="79">
        <v>19</v>
      </c>
      <c r="AJ720" s="79">
        <v>1</v>
      </c>
      <c r="AK720" s="79">
        <v>1</v>
      </c>
      <c r="AL720" s="79">
        <v>0</v>
      </c>
      <c r="AM720" s="79" t="s">
        <v>2092</v>
      </c>
      <c r="AN720" s="114" t="str">
        <f>HYPERLINK("https://www.youtube.com/watch?v=4Zb-6lKI3Q8")</f>
        <v>https://www.youtube.com/watch?v=4Zb-6lKI3Q8</v>
      </c>
      <c r="AO720" s="78" t="str">
        <f>REPLACE(INDEX(GroupVertices[Group],MATCH(Vertices[[#This Row],[Vertex]],GroupVertices[Vertex],0)),1,1,"")</f>
        <v>abriella Milgrom_Home Design + Building Expert</v>
      </c>
      <c r="AP720" s="2"/>
      <c r="AQ720" s="3"/>
      <c r="AR720" s="3"/>
      <c r="AS720" s="3"/>
      <c r="AT720" s="3"/>
    </row>
    <row r="721" spans="1:46" ht="15">
      <c r="A721" s="64" t="s">
        <v>2483</v>
      </c>
      <c r="B721" s="65"/>
      <c r="C721" s="65"/>
      <c r="D721" s="66">
        <v>150</v>
      </c>
      <c r="E721" s="102">
        <v>97.85714285714286</v>
      </c>
      <c r="F721" s="98" t="str">
        <f>HYPERLINK("https://i.ytimg.com/vi/VXJyzeZTpqk/default.jpg")</f>
        <v>https://i.ytimg.com/vi/VXJyzeZTpqk/default.jpg</v>
      </c>
      <c r="G721" s="100"/>
      <c r="H721" s="69" t="s">
        <v>2956</v>
      </c>
      <c r="I721" s="70"/>
      <c r="J721" s="104" t="s">
        <v>159</v>
      </c>
      <c r="K721" s="69" t="s">
        <v>2956</v>
      </c>
      <c r="L721" s="105">
        <v>1</v>
      </c>
      <c r="M721" s="74">
        <v>8374.515625</v>
      </c>
      <c r="N721" s="74">
        <v>9855.3359375</v>
      </c>
      <c r="O721" s="75"/>
      <c r="P721" s="76"/>
      <c r="Q721" s="76"/>
      <c r="R721" s="106"/>
      <c r="S721" s="48">
        <v>1</v>
      </c>
      <c r="T721" s="48">
        <v>0</v>
      </c>
      <c r="U721" s="49">
        <v>0</v>
      </c>
      <c r="V721" s="49">
        <v>0.176793</v>
      </c>
      <c r="W721" s="107"/>
      <c r="X721" s="50"/>
      <c r="Y721" s="50"/>
      <c r="Z721" s="49">
        <v>0</v>
      </c>
      <c r="AA721" s="71">
        <v>721</v>
      </c>
      <c r="AB721" s="71"/>
      <c r="AC721" s="72"/>
      <c r="AD721" s="79" t="s">
        <v>2956</v>
      </c>
      <c r="AE721" s="79" t="s">
        <v>3382</v>
      </c>
      <c r="AF721" s="79" t="s">
        <v>3642</v>
      </c>
      <c r="AG721" s="79" t="s">
        <v>3908</v>
      </c>
      <c r="AH721" s="79" t="s">
        <v>4325</v>
      </c>
      <c r="AI721" s="79">
        <v>4</v>
      </c>
      <c r="AJ721" s="79">
        <v>0</v>
      </c>
      <c r="AK721" s="79">
        <v>0</v>
      </c>
      <c r="AL721" s="79">
        <v>0</v>
      </c>
      <c r="AM721" s="79" t="s">
        <v>2092</v>
      </c>
      <c r="AN721" s="114" t="str">
        <f>HYPERLINK("https://www.youtube.com/watch?v=VXJyzeZTpqk")</f>
        <v>https://www.youtube.com/watch?v=VXJyzeZTpqk</v>
      </c>
      <c r="AO721" s="78" t="str">
        <f>REPLACE(INDEX(GroupVertices[Group],MATCH(Vertices[[#This Row],[Vertex]],GroupVertices[Vertex],0)),1,1,"")</f>
        <v>ikki Butler</v>
      </c>
      <c r="AP721" s="2"/>
      <c r="AQ721" s="3"/>
      <c r="AR721" s="3"/>
      <c r="AS721" s="3"/>
      <c r="AT721" s="3"/>
    </row>
    <row r="722" spans="1:46" ht="15">
      <c r="A722" s="64" t="s">
        <v>2484</v>
      </c>
      <c r="B722" s="65"/>
      <c r="C722" s="65"/>
      <c r="D722" s="66">
        <v>150</v>
      </c>
      <c r="E722" s="102">
        <v>97.85714285714286</v>
      </c>
      <c r="F722" s="98" t="str">
        <f>HYPERLINK("https://i.ytimg.com/vi/p1TFLiSGcCA/default.jpg")</f>
        <v>https://i.ytimg.com/vi/p1TFLiSGcCA/default.jpg</v>
      </c>
      <c r="G722" s="100"/>
      <c r="H722" s="69" t="s">
        <v>2957</v>
      </c>
      <c r="I722" s="70"/>
      <c r="J722" s="104" t="s">
        <v>159</v>
      </c>
      <c r="K722" s="69" t="s">
        <v>2957</v>
      </c>
      <c r="L722" s="105">
        <v>1</v>
      </c>
      <c r="M722" s="74">
        <v>8568.728515625</v>
      </c>
      <c r="N722" s="74">
        <v>9052.2158203125</v>
      </c>
      <c r="O722" s="75"/>
      <c r="P722" s="76"/>
      <c r="Q722" s="76"/>
      <c r="R722" s="106"/>
      <c r="S722" s="48">
        <v>1</v>
      </c>
      <c r="T722" s="48">
        <v>0</v>
      </c>
      <c r="U722" s="49">
        <v>0</v>
      </c>
      <c r="V722" s="49">
        <v>0.176793</v>
      </c>
      <c r="W722" s="107"/>
      <c r="X722" s="50"/>
      <c r="Y722" s="50"/>
      <c r="Z722" s="49">
        <v>0</v>
      </c>
      <c r="AA722" s="71">
        <v>722</v>
      </c>
      <c r="AB722" s="71"/>
      <c r="AC722" s="72"/>
      <c r="AD722" s="79" t="s">
        <v>2957</v>
      </c>
      <c r="AE722" s="79" t="s">
        <v>3383</v>
      </c>
      <c r="AF722" s="79" t="s">
        <v>3643</v>
      </c>
      <c r="AG722" s="79" t="s">
        <v>3909</v>
      </c>
      <c r="AH722" s="79" t="s">
        <v>4326</v>
      </c>
      <c r="AI722" s="79">
        <v>41</v>
      </c>
      <c r="AJ722" s="79">
        <v>1</v>
      </c>
      <c r="AK722" s="79">
        <v>4</v>
      </c>
      <c r="AL722" s="79">
        <v>0</v>
      </c>
      <c r="AM722" s="79" t="s">
        <v>2092</v>
      </c>
      <c r="AN722" s="114" t="str">
        <f>HYPERLINK("https://www.youtube.com/watch?v=p1TFLiSGcCA")</f>
        <v>https://www.youtube.com/watch?v=p1TFLiSGcCA</v>
      </c>
      <c r="AO722" s="78" t="str">
        <f>REPLACE(INDEX(GroupVertices[Group],MATCH(Vertices[[#This Row],[Vertex]],GroupVertices[Vertex],0)),1,1,"")</f>
        <v>lgha Onoshchenko Nutrition</v>
      </c>
      <c r="AP722" s="2"/>
      <c r="AQ722" s="3"/>
      <c r="AR722" s="3"/>
      <c r="AS722" s="3"/>
      <c r="AT722" s="3"/>
    </row>
    <row r="723" spans="1:46" ht="15">
      <c r="A723" s="64" t="s">
        <v>2485</v>
      </c>
      <c r="B723" s="65"/>
      <c r="C723" s="65"/>
      <c r="D723" s="66">
        <v>150</v>
      </c>
      <c r="E723" s="102">
        <v>97.85714285714286</v>
      </c>
      <c r="F723" s="98" t="str">
        <f>HYPERLINK("https://i.ytimg.com/vi/X5avRNn8ch4/default.jpg")</f>
        <v>https://i.ytimg.com/vi/X5avRNn8ch4/default.jpg</v>
      </c>
      <c r="G723" s="100"/>
      <c r="H723" s="69" t="s">
        <v>2958</v>
      </c>
      <c r="I723" s="70"/>
      <c r="J723" s="104" t="s">
        <v>159</v>
      </c>
      <c r="K723" s="69" t="s">
        <v>2958</v>
      </c>
      <c r="L723" s="105">
        <v>1</v>
      </c>
      <c r="M723" s="74">
        <v>8333.2275390625</v>
      </c>
      <c r="N723" s="74">
        <v>8245.8095703125</v>
      </c>
      <c r="O723" s="75"/>
      <c r="P723" s="76"/>
      <c r="Q723" s="76"/>
      <c r="R723" s="106"/>
      <c r="S723" s="48">
        <v>1</v>
      </c>
      <c r="T723" s="48">
        <v>0</v>
      </c>
      <c r="U723" s="49">
        <v>0</v>
      </c>
      <c r="V723" s="49">
        <v>0.176793</v>
      </c>
      <c r="W723" s="107"/>
      <c r="X723" s="50"/>
      <c r="Y723" s="50"/>
      <c r="Z723" s="49">
        <v>0</v>
      </c>
      <c r="AA723" s="71">
        <v>723</v>
      </c>
      <c r="AB723" s="71"/>
      <c r="AC723" s="72"/>
      <c r="AD723" s="79" t="s">
        <v>2958</v>
      </c>
      <c r="AE723" s="79" t="s">
        <v>3384</v>
      </c>
      <c r="AF723" s="79" t="s">
        <v>3644</v>
      </c>
      <c r="AG723" s="79" t="s">
        <v>3910</v>
      </c>
      <c r="AH723" s="79" t="s">
        <v>4327</v>
      </c>
      <c r="AI723" s="79">
        <v>51</v>
      </c>
      <c r="AJ723" s="79">
        <v>1</v>
      </c>
      <c r="AK723" s="79">
        <v>8</v>
      </c>
      <c r="AL723" s="79">
        <v>0</v>
      </c>
      <c r="AM723" s="79" t="s">
        <v>2092</v>
      </c>
      <c r="AN723" s="114" t="str">
        <f>HYPERLINK("https://www.youtube.com/watch?v=X5avRNn8ch4")</f>
        <v>https://www.youtube.com/watch?v=X5avRNn8ch4</v>
      </c>
      <c r="AO723" s="78" t="str">
        <f>REPLACE(INDEX(GroupVertices[Group],MATCH(Vertices[[#This Row],[Vertex]],GroupVertices[Vertex],0)),1,1,"")</f>
        <v>he Sly Strategist</v>
      </c>
      <c r="AP723" s="2"/>
      <c r="AQ723" s="3"/>
      <c r="AR723" s="3"/>
      <c r="AS723" s="3"/>
      <c r="AT723" s="3"/>
    </row>
    <row r="724" spans="1:46" ht="15">
      <c r="A724" s="64" t="s">
        <v>2486</v>
      </c>
      <c r="B724" s="65"/>
      <c r="C724" s="65"/>
      <c r="D724" s="66">
        <v>150</v>
      </c>
      <c r="E724" s="102">
        <v>97.85714285714286</v>
      </c>
      <c r="F724" s="98" t="str">
        <f>HYPERLINK("https://i.ytimg.com/vi/0NAuksfn8A0/default.jpg")</f>
        <v>https://i.ytimg.com/vi/0NAuksfn8A0/default.jpg</v>
      </c>
      <c r="G724" s="100"/>
      <c r="H724" s="69" t="s">
        <v>2959</v>
      </c>
      <c r="I724" s="70"/>
      <c r="J724" s="104" t="s">
        <v>159</v>
      </c>
      <c r="K724" s="69" t="s">
        <v>2959</v>
      </c>
      <c r="L724" s="105">
        <v>1</v>
      </c>
      <c r="M724" s="74">
        <v>8735.3876953125</v>
      </c>
      <c r="N724" s="74">
        <v>7741.22216796875</v>
      </c>
      <c r="O724" s="75"/>
      <c r="P724" s="76"/>
      <c r="Q724" s="76"/>
      <c r="R724" s="106"/>
      <c r="S724" s="48">
        <v>1</v>
      </c>
      <c r="T724" s="48">
        <v>0</v>
      </c>
      <c r="U724" s="49">
        <v>0</v>
      </c>
      <c r="V724" s="49">
        <v>0.176793</v>
      </c>
      <c r="W724" s="107"/>
      <c r="X724" s="50"/>
      <c r="Y724" s="50"/>
      <c r="Z724" s="49">
        <v>0</v>
      </c>
      <c r="AA724" s="71">
        <v>724</v>
      </c>
      <c r="AB724" s="71"/>
      <c r="AC724" s="72"/>
      <c r="AD724" s="79" t="s">
        <v>2959</v>
      </c>
      <c r="AE724" s="79" t="s">
        <v>3385</v>
      </c>
      <c r="AF724" s="79" t="s">
        <v>3645</v>
      </c>
      <c r="AG724" s="79" t="s">
        <v>3911</v>
      </c>
      <c r="AH724" s="79" t="s">
        <v>4328</v>
      </c>
      <c r="AI724" s="79">
        <v>16</v>
      </c>
      <c r="AJ724" s="79">
        <v>9</v>
      </c>
      <c r="AK724" s="79">
        <v>1</v>
      </c>
      <c r="AL724" s="79">
        <v>0</v>
      </c>
      <c r="AM724" s="79" t="s">
        <v>2092</v>
      </c>
      <c r="AN724" s="114" t="str">
        <f>HYPERLINK("https://www.youtube.com/watch?v=0NAuksfn8A0")</f>
        <v>https://www.youtube.com/watch?v=0NAuksfn8A0</v>
      </c>
      <c r="AO724" s="78" t="str">
        <f>REPLACE(INDEX(GroupVertices[Group],MATCH(Vertices[[#This Row],[Vertex]],GroupVertices[Vertex],0)),1,1,"")</f>
        <v>mily Journey</v>
      </c>
      <c r="AP724" s="2"/>
      <c r="AQ724" s="3"/>
      <c r="AR724" s="3"/>
      <c r="AS724" s="3"/>
      <c r="AT724" s="3"/>
    </row>
    <row r="725" spans="1:46" ht="15">
      <c r="A725" s="64" t="s">
        <v>2487</v>
      </c>
      <c r="B725" s="65"/>
      <c r="C725" s="65"/>
      <c r="D725" s="66">
        <v>150</v>
      </c>
      <c r="E725" s="102">
        <v>97.85714285714286</v>
      </c>
      <c r="F725" s="98" t="str">
        <f>HYPERLINK("https://i.ytimg.com/vi/NN3_sdQ5cGM/default.jpg")</f>
        <v>https://i.ytimg.com/vi/NN3_sdQ5cGM/default.jpg</v>
      </c>
      <c r="G725" s="100"/>
      <c r="H725" s="69" t="s">
        <v>2960</v>
      </c>
      <c r="I725" s="70"/>
      <c r="J725" s="104" t="s">
        <v>159</v>
      </c>
      <c r="K725" s="69" t="s">
        <v>2960</v>
      </c>
      <c r="L725" s="105">
        <v>1</v>
      </c>
      <c r="M725" s="74">
        <v>8558.12109375</v>
      </c>
      <c r="N725" s="74">
        <v>9799.1630859375</v>
      </c>
      <c r="O725" s="75"/>
      <c r="P725" s="76"/>
      <c r="Q725" s="76"/>
      <c r="R725" s="106"/>
      <c r="S725" s="48">
        <v>1</v>
      </c>
      <c r="T725" s="48">
        <v>0</v>
      </c>
      <c r="U725" s="49">
        <v>0</v>
      </c>
      <c r="V725" s="49">
        <v>0.176793</v>
      </c>
      <c r="W725" s="107"/>
      <c r="X725" s="50"/>
      <c r="Y725" s="50"/>
      <c r="Z725" s="49">
        <v>0</v>
      </c>
      <c r="AA725" s="71">
        <v>725</v>
      </c>
      <c r="AB725" s="71"/>
      <c r="AC725" s="72"/>
      <c r="AD725" s="79" t="s">
        <v>2960</v>
      </c>
      <c r="AE725" s="79" t="s">
        <v>3386</v>
      </c>
      <c r="AF725" s="79"/>
      <c r="AG725" s="79" t="s">
        <v>3912</v>
      </c>
      <c r="AH725" s="79" t="s">
        <v>4329</v>
      </c>
      <c r="AI725" s="79">
        <v>12551</v>
      </c>
      <c r="AJ725" s="79">
        <v>428</v>
      </c>
      <c r="AK725" s="79">
        <v>243</v>
      </c>
      <c r="AL725" s="79">
        <v>0</v>
      </c>
      <c r="AM725" s="79" t="s">
        <v>2092</v>
      </c>
      <c r="AN725" s="114" t="str">
        <f>HYPERLINK("https://www.youtube.com/watch?v=NN3_sdQ5cGM")</f>
        <v>https://www.youtube.com/watch?v=NN3_sdQ5cGM</v>
      </c>
      <c r="AO725" s="78" t="str">
        <f>REPLACE(INDEX(GroupVertices[Group],MATCH(Vertices[[#This Row],[Vertex]],GroupVertices[Vertex],0)),1,1,"")</f>
        <v>ockstar Experience</v>
      </c>
      <c r="AP725" s="2"/>
      <c r="AQ725" s="3"/>
      <c r="AR725" s="3"/>
      <c r="AS725" s="3"/>
      <c r="AT725" s="3"/>
    </row>
    <row r="726" spans="1:46" ht="15">
      <c r="A726" s="64" t="s">
        <v>2488</v>
      </c>
      <c r="B726" s="65"/>
      <c r="C726" s="65"/>
      <c r="D726" s="66">
        <v>150</v>
      </c>
      <c r="E726" s="102">
        <v>97.85714285714286</v>
      </c>
      <c r="F726" s="98" t="str">
        <f>HYPERLINK("https://i.ytimg.com/vi/a7gBmt61SQs/default.jpg")</f>
        <v>https://i.ytimg.com/vi/a7gBmt61SQs/default.jpg</v>
      </c>
      <c r="G726" s="100"/>
      <c r="H726" s="69" t="s">
        <v>2961</v>
      </c>
      <c r="I726" s="70"/>
      <c r="J726" s="104" t="s">
        <v>159</v>
      </c>
      <c r="K726" s="69" t="s">
        <v>2961</v>
      </c>
      <c r="L726" s="105">
        <v>1</v>
      </c>
      <c r="M726" s="74">
        <v>8918.767578125</v>
      </c>
      <c r="N726" s="74">
        <v>8182.2353515625</v>
      </c>
      <c r="O726" s="75"/>
      <c r="P726" s="76"/>
      <c r="Q726" s="76"/>
      <c r="R726" s="106"/>
      <c r="S726" s="48">
        <v>1</v>
      </c>
      <c r="T726" s="48">
        <v>0</v>
      </c>
      <c r="U726" s="49">
        <v>0</v>
      </c>
      <c r="V726" s="49">
        <v>0.176793</v>
      </c>
      <c r="W726" s="107"/>
      <c r="X726" s="50"/>
      <c r="Y726" s="50"/>
      <c r="Z726" s="49">
        <v>0</v>
      </c>
      <c r="AA726" s="71">
        <v>726</v>
      </c>
      <c r="AB726" s="71"/>
      <c r="AC726" s="72"/>
      <c r="AD726" s="79" t="s">
        <v>2961</v>
      </c>
      <c r="AE726" s="79" t="s">
        <v>3387</v>
      </c>
      <c r="AF726" s="79" t="s">
        <v>3646</v>
      </c>
      <c r="AG726" s="79" t="s">
        <v>3913</v>
      </c>
      <c r="AH726" s="79" t="s">
        <v>4330</v>
      </c>
      <c r="AI726" s="79">
        <v>5327</v>
      </c>
      <c r="AJ726" s="79">
        <v>17</v>
      </c>
      <c r="AK726" s="79">
        <v>66</v>
      </c>
      <c r="AL726" s="79">
        <v>0</v>
      </c>
      <c r="AM726" s="79" t="s">
        <v>2092</v>
      </c>
      <c r="AN726" s="114" t="str">
        <f>HYPERLINK("https://www.youtube.com/watch?v=a7gBmt61SQs")</f>
        <v>https://www.youtube.com/watch?v=a7gBmt61SQs</v>
      </c>
      <c r="AO726" s="78" t="str">
        <f>REPLACE(INDEX(GroupVertices[Group],MATCH(Vertices[[#This Row],[Vertex]],GroupVertices[Vertex],0)),1,1,"")</f>
        <v>IFTtherapy</v>
      </c>
      <c r="AP726" s="2"/>
      <c r="AQ726" s="3"/>
      <c r="AR726" s="3"/>
      <c r="AS726" s="3"/>
      <c r="AT726" s="3"/>
    </row>
    <row r="727" spans="1:46" ht="15">
      <c r="A727" s="64" t="s">
        <v>2489</v>
      </c>
      <c r="B727" s="65"/>
      <c r="C727" s="65"/>
      <c r="D727" s="66">
        <v>150</v>
      </c>
      <c r="E727" s="102">
        <v>97.85714285714286</v>
      </c>
      <c r="F727" s="98" t="str">
        <f>HYPERLINK("https://i.ytimg.com/vi/DLfOULP-1fI/default.jpg")</f>
        <v>https://i.ytimg.com/vi/DLfOULP-1fI/default.jpg</v>
      </c>
      <c r="G727" s="100"/>
      <c r="H727" s="69" t="s">
        <v>2962</v>
      </c>
      <c r="I727" s="70"/>
      <c r="J727" s="104" t="s">
        <v>159</v>
      </c>
      <c r="K727" s="69" t="s">
        <v>2962</v>
      </c>
      <c r="L727" s="105">
        <v>1</v>
      </c>
      <c r="M727" s="74">
        <v>8133.22607421875</v>
      </c>
      <c r="N727" s="74">
        <v>9685.2880859375</v>
      </c>
      <c r="O727" s="75"/>
      <c r="P727" s="76"/>
      <c r="Q727" s="76"/>
      <c r="R727" s="106"/>
      <c r="S727" s="48">
        <v>1</v>
      </c>
      <c r="T727" s="48">
        <v>0</v>
      </c>
      <c r="U727" s="49">
        <v>0</v>
      </c>
      <c r="V727" s="49">
        <v>0.176793</v>
      </c>
      <c r="W727" s="107"/>
      <c r="X727" s="50"/>
      <c r="Y727" s="50"/>
      <c r="Z727" s="49">
        <v>0</v>
      </c>
      <c r="AA727" s="71">
        <v>727</v>
      </c>
      <c r="AB727" s="71"/>
      <c r="AC727" s="72"/>
      <c r="AD727" s="79" t="s">
        <v>2962</v>
      </c>
      <c r="AE727" s="79" t="s">
        <v>3388</v>
      </c>
      <c r="AF727" s="79"/>
      <c r="AG727" s="79" t="s">
        <v>3914</v>
      </c>
      <c r="AH727" s="79" t="s">
        <v>4331</v>
      </c>
      <c r="AI727" s="79">
        <v>361</v>
      </c>
      <c r="AJ727" s="79">
        <v>0</v>
      </c>
      <c r="AK727" s="79">
        <v>9</v>
      </c>
      <c r="AL727" s="79">
        <v>0</v>
      </c>
      <c r="AM727" s="79" t="s">
        <v>2092</v>
      </c>
      <c r="AN727" s="114" t="str">
        <f>HYPERLINK("https://www.youtube.com/watch?v=DLfOULP-1fI")</f>
        <v>https://www.youtube.com/watch?v=DLfOULP-1fI</v>
      </c>
      <c r="AO727" s="78" t="str">
        <f>REPLACE(INDEX(GroupVertices[Group],MATCH(Vertices[[#This Row],[Vertex]],GroupVertices[Vertex],0)),1,1,"")</f>
        <v>icePsychology</v>
      </c>
      <c r="AP727" s="2"/>
      <c r="AQ727" s="3"/>
      <c r="AR727" s="3"/>
      <c r="AS727" s="3"/>
      <c r="AT727" s="3"/>
    </row>
    <row r="728" spans="1:46" ht="15">
      <c r="A728" s="64" t="s">
        <v>2490</v>
      </c>
      <c r="B728" s="65"/>
      <c r="C728" s="65"/>
      <c r="D728" s="66">
        <v>150</v>
      </c>
      <c r="E728" s="102">
        <v>97.85714285714286</v>
      </c>
      <c r="F728" s="98" t="str">
        <f>HYPERLINK("https://i.ytimg.com/vi/P_gxb-QhQWc/default.jpg")</f>
        <v>https://i.ytimg.com/vi/P_gxb-QhQWc/default.jpg</v>
      </c>
      <c r="G728" s="100"/>
      <c r="H728" s="69" t="s">
        <v>2963</v>
      </c>
      <c r="I728" s="70"/>
      <c r="J728" s="104" t="s">
        <v>159</v>
      </c>
      <c r="K728" s="69" t="s">
        <v>2963</v>
      </c>
      <c r="L728" s="105">
        <v>1</v>
      </c>
      <c r="M728" s="74">
        <v>7976.494140625</v>
      </c>
      <c r="N728" s="74">
        <v>7952.7529296875</v>
      </c>
      <c r="O728" s="75"/>
      <c r="P728" s="76"/>
      <c r="Q728" s="76"/>
      <c r="R728" s="106"/>
      <c r="S728" s="48">
        <v>1</v>
      </c>
      <c r="T728" s="48">
        <v>0</v>
      </c>
      <c r="U728" s="49">
        <v>0</v>
      </c>
      <c r="V728" s="49">
        <v>0.176793</v>
      </c>
      <c r="W728" s="107"/>
      <c r="X728" s="50"/>
      <c r="Y728" s="50"/>
      <c r="Z728" s="49">
        <v>0</v>
      </c>
      <c r="AA728" s="71">
        <v>728</v>
      </c>
      <c r="AB728" s="71"/>
      <c r="AC728" s="72"/>
      <c r="AD728" s="79" t="s">
        <v>2963</v>
      </c>
      <c r="AE728" s="79" t="s">
        <v>3389</v>
      </c>
      <c r="AF728" s="79" t="s">
        <v>3647</v>
      </c>
      <c r="AG728" s="79" t="s">
        <v>3915</v>
      </c>
      <c r="AH728" s="79" t="s">
        <v>4332</v>
      </c>
      <c r="AI728" s="79">
        <v>2155</v>
      </c>
      <c r="AJ728" s="79">
        <v>32</v>
      </c>
      <c r="AK728" s="79">
        <v>97</v>
      </c>
      <c r="AL728" s="79">
        <v>0</v>
      </c>
      <c r="AM728" s="79" t="s">
        <v>2092</v>
      </c>
      <c r="AN728" s="114" t="str">
        <f>HYPERLINK("https://www.youtube.com/watch?v=P_gxb-QhQWc")</f>
        <v>https://www.youtube.com/watch?v=P_gxb-QhQWc</v>
      </c>
      <c r="AO728" s="78" t="str">
        <f>REPLACE(INDEX(GroupVertices[Group],MATCH(Vertices[[#This Row],[Vertex]],GroupVertices[Vertex],0)),1,1,"")</f>
        <v>ifting Out of the Lows</v>
      </c>
      <c r="AP728" s="2"/>
      <c r="AQ728" s="3"/>
      <c r="AR728" s="3"/>
      <c r="AS728" s="3"/>
      <c r="AT728" s="3"/>
    </row>
    <row r="729" spans="1:46" ht="15">
      <c r="A729" s="64" t="s">
        <v>2491</v>
      </c>
      <c r="B729" s="65"/>
      <c r="C729" s="65"/>
      <c r="D729" s="66">
        <v>150</v>
      </c>
      <c r="E729" s="102">
        <v>97.85714285714286</v>
      </c>
      <c r="F729" s="98" t="str">
        <f>HYPERLINK("https://i.ytimg.com/vi/k0FSuX6nTqg/default.jpg")</f>
        <v>https://i.ytimg.com/vi/k0FSuX6nTqg/default.jpg</v>
      </c>
      <c r="G729" s="100"/>
      <c r="H729" s="69" t="s">
        <v>2964</v>
      </c>
      <c r="I729" s="70"/>
      <c r="J729" s="104" t="s">
        <v>159</v>
      </c>
      <c r="K729" s="69" t="s">
        <v>2964</v>
      </c>
      <c r="L729" s="105">
        <v>1</v>
      </c>
      <c r="M729" s="74">
        <v>8931.9296875</v>
      </c>
      <c r="N729" s="74">
        <v>8471.8369140625</v>
      </c>
      <c r="O729" s="75"/>
      <c r="P729" s="76"/>
      <c r="Q729" s="76"/>
      <c r="R729" s="106"/>
      <c r="S729" s="48">
        <v>1</v>
      </c>
      <c r="T729" s="48">
        <v>0</v>
      </c>
      <c r="U729" s="49">
        <v>0</v>
      </c>
      <c r="V729" s="49">
        <v>0.176793</v>
      </c>
      <c r="W729" s="107"/>
      <c r="X729" s="50"/>
      <c r="Y729" s="50"/>
      <c r="Z729" s="49">
        <v>0</v>
      </c>
      <c r="AA729" s="71">
        <v>729</v>
      </c>
      <c r="AB729" s="71"/>
      <c r="AC729" s="72"/>
      <c r="AD729" s="79" t="s">
        <v>2964</v>
      </c>
      <c r="AE729" s="79" t="s">
        <v>3390</v>
      </c>
      <c r="AF729" s="79"/>
      <c r="AG729" s="79" t="s">
        <v>3916</v>
      </c>
      <c r="AH729" s="79" t="s">
        <v>4333</v>
      </c>
      <c r="AI729" s="79">
        <v>10</v>
      </c>
      <c r="AJ729" s="79">
        <v>0</v>
      </c>
      <c r="AK729" s="79">
        <v>0</v>
      </c>
      <c r="AL729" s="79">
        <v>0</v>
      </c>
      <c r="AM729" s="79" t="s">
        <v>2092</v>
      </c>
      <c r="AN729" s="114" t="str">
        <f>HYPERLINK("https://www.youtube.com/watch?v=k0FSuX6nTqg")</f>
        <v>https://www.youtube.com/watch?v=k0FSuX6nTqg</v>
      </c>
      <c r="AO729" s="78" t="str">
        <f>REPLACE(INDEX(GroupVertices[Group],MATCH(Vertices[[#This Row],[Vertex]],GroupVertices[Vertex],0)),1,1,"")</f>
        <v>he Primary Health Network</v>
      </c>
      <c r="AP729" s="2"/>
      <c r="AQ729" s="3"/>
      <c r="AR729" s="3"/>
      <c r="AS729" s="3"/>
      <c r="AT729" s="3"/>
    </row>
    <row r="730" spans="1:46" ht="15">
      <c r="A730" s="64" t="s">
        <v>2492</v>
      </c>
      <c r="B730" s="65"/>
      <c r="C730" s="65"/>
      <c r="D730" s="66">
        <v>150</v>
      </c>
      <c r="E730" s="102">
        <v>97.85714285714286</v>
      </c>
      <c r="F730" s="98" t="str">
        <f>HYPERLINK("https://i.ytimg.com/vi/kqOAqkcsRAU/default.jpg")</f>
        <v>https://i.ytimg.com/vi/kqOAqkcsRAU/default.jpg</v>
      </c>
      <c r="G730" s="100"/>
      <c r="H730" s="69" t="s">
        <v>2965</v>
      </c>
      <c r="I730" s="70"/>
      <c r="J730" s="104" t="s">
        <v>159</v>
      </c>
      <c r="K730" s="69" t="s">
        <v>2965</v>
      </c>
      <c r="L730" s="105">
        <v>1</v>
      </c>
      <c r="M730" s="74">
        <v>8235.3935546875</v>
      </c>
      <c r="N730" s="74">
        <v>9410.30859375</v>
      </c>
      <c r="O730" s="75"/>
      <c r="P730" s="76"/>
      <c r="Q730" s="76"/>
      <c r="R730" s="106"/>
      <c r="S730" s="48">
        <v>1</v>
      </c>
      <c r="T730" s="48">
        <v>0</v>
      </c>
      <c r="U730" s="49">
        <v>0</v>
      </c>
      <c r="V730" s="49">
        <v>0.176793</v>
      </c>
      <c r="W730" s="107"/>
      <c r="X730" s="50"/>
      <c r="Y730" s="50"/>
      <c r="Z730" s="49">
        <v>0</v>
      </c>
      <c r="AA730" s="71">
        <v>730</v>
      </c>
      <c r="AB730" s="71"/>
      <c r="AC730" s="72"/>
      <c r="AD730" s="79" t="s">
        <v>2965</v>
      </c>
      <c r="AE730" s="79" t="s">
        <v>3391</v>
      </c>
      <c r="AF730" s="79" t="s">
        <v>3648</v>
      </c>
      <c r="AG730" s="79" t="s">
        <v>3917</v>
      </c>
      <c r="AH730" s="79" t="s">
        <v>4334</v>
      </c>
      <c r="AI730" s="79">
        <v>871</v>
      </c>
      <c r="AJ730" s="79">
        <v>3</v>
      </c>
      <c r="AK730" s="79">
        <v>21</v>
      </c>
      <c r="AL730" s="79">
        <v>0</v>
      </c>
      <c r="AM730" s="79" t="s">
        <v>2092</v>
      </c>
      <c r="AN730" s="114" t="str">
        <f>HYPERLINK("https://www.youtube.com/watch?v=kqOAqkcsRAU")</f>
        <v>https://www.youtube.com/watch?v=kqOAqkcsRAU</v>
      </c>
      <c r="AO730" s="78" t="str">
        <f>REPLACE(INDEX(GroupVertices[Group],MATCH(Vertices[[#This Row],[Vertex]],GroupVertices[Vertex],0)),1,1,"")</f>
        <v>acific Integrative Psychiatry</v>
      </c>
      <c r="AP730" s="2"/>
      <c r="AQ730" s="3"/>
      <c r="AR730" s="3"/>
      <c r="AS730" s="3"/>
      <c r="AT730" s="3"/>
    </row>
    <row r="731" spans="1:46" ht="15">
      <c r="A731" s="64" t="s">
        <v>2493</v>
      </c>
      <c r="B731" s="65"/>
      <c r="C731" s="65"/>
      <c r="D731" s="66">
        <v>150</v>
      </c>
      <c r="E731" s="102">
        <v>97.85714285714286</v>
      </c>
      <c r="F731" s="98" t="str">
        <f>HYPERLINK("https://i.ytimg.com/vi/xG0B7uOEPB4/default.jpg")</f>
        <v>https://i.ytimg.com/vi/xG0B7uOEPB4/default.jpg</v>
      </c>
      <c r="G731" s="100"/>
      <c r="H731" s="69" t="s">
        <v>2966</v>
      </c>
      <c r="I731" s="70"/>
      <c r="J731" s="104" t="s">
        <v>159</v>
      </c>
      <c r="K731" s="69" t="s">
        <v>2966</v>
      </c>
      <c r="L731" s="105">
        <v>1</v>
      </c>
      <c r="M731" s="74">
        <v>8439.4482421875</v>
      </c>
      <c r="N731" s="74">
        <v>7850.244140625</v>
      </c>
      <c r="O731" s="75"/>
      <c r="P731" s="76"/>
      <c r="Q731" s="76"/>
      <c r="R731" s="106"/>
      <c r="S731" s="48">
        <v>1</v>
      </c>
      <c r="T731" s="48">
        <v>0</v>
      </c>
      <c r="U731" s="49">
        <v>0</v>
      </c>
      <c r="V731" s="49">
        <v>0.176793</v>
      </c>
      <c r="W731" s="107"/>
      <c r="X731" s="50"/>
      <c r="Y731" s="50"/>
      <c r="Z731" s="49">
        <v>0</v>
      </c>
      <c r="AA731" s="71">
        <v>731</v>
      </c>
      <c r="AB731" s="71"/>
      <c r="AC731" s="72"/>
      <c r="AD731" s="79" t="s">
        <v>2966</v>
      </c>
      <c r="AE731" s="79" t="s">
        <v>3392</v>
      </c>
      <c r="AF731" s="79" t="s">
        <v>3649</v>
      </c>
      <c r="AG731" s="79" t="s">
        <v>3918</v>
      </c>
      <c r="AH731" s="79" t="s">
        <v>4335</v>
      </c>
      <c r="AI731" s="79">
        <v>5198</v>
      </c>
      <c r="AJ731" s="79">
        <v>4</v>
      </c>
      <c r="AK731" s="79">
        <v>54</v>
      </c>
      <c r="AL731" s="79">
        <v>0</v>
      </c>
      <c r="AM731" s="79" t="s">
        <v>2092</v>
      </c>
      <c r="AN731" s="114" t="str">
        <f>HYPERLINK("https://www.youtube.com/watch?v=xG0B7uOEPB4")</f>
        <v>https://www.youtube.com/watch?v=xG0B7uOEPB4</v>
      </c>
      <c r="AO731" s="78" t="str">
        <f>REPLACE(INDEX(GroupVertices[Group],MATCH(Vertices[[#This Row],[Vertex]],GroupVertices[Vertex],0)),1,1,"")</f>
        <v>pplied Care Services</v>
      </c>
      <c r="AP731" s="2"/>
      <c r="AQ731" s="3"/>
      <c r="AR731" s="3"/>
      <c r="AS731" s="3"/>
      <c r="AT731" s="3"/>
    </row>
    <row r="732" spans="1:46" ht="15">
      <c r="A732" s="64" t="s">
        <v>2494</v>
      </c>
      <c r="B732" s="65"/>
      <c r="C732" s="65"/>
      <c r="D732" s="66">
        <v>150</v>
      </c>
      <c r="E732" s="102">
        <v>97.85714285714286</v>
      </c>
      <c r="F732" s="98" t="str">
        <f>HYPERLINK("https://i.ytimg.com/vi/lEj-kgtb-qE/default.jpg")</f>
        <v>https://i.ytimg.com/vi/lEj-kgtb-qE/default.jpg</v>
      </c>
      <c r="G732" s="100"/>
      <c r="H732" s="69" t="s">
        <v>2967</v>
      </c>
      <c r="I732" s="70"/>
      <c r="J732" s="104" t="s">
        <v>159</v>
      </c>
      <c r="K732" s="69" t="s">
        <v>2967</v>
      </c>
      <c r="L732" s="105">
        <v>1</v>
      </c>
      <c r="M732" s="74">
        <v>8032.666015625</v>
      </c>
      <c r="N732" s="74">
        <v>9539.955078125</v>
      </c>
      <c r="O732" s="75"/>
      <c r="P732" s="76"/>
      <c r="Q732" s="76"/>
      <c r="R732" s="106"/>
      <c r="S732" s="48">
        <v>1</v>
      </c>
      <c r="T732" s="48">
        <v>0</v>
      </c>
      <c r="U732" s="49">
        <v>0</v>
      </c>
      <c r="V732" s="49">
        <v>0.176793</v>
      </c>
      <c r="W732" s="107"/>
      <c r="X732" s="50"/>
      <c r="Y732" s="50"/>
      <c r="Z732" s="49">
        <v>0</v>
      </c>
      <c r="AA732" s="71">
        <v>732</v>
      </c>
      <c r="AB732" s="71"/>
      <c r="AC732" s="72"/>
      <c r="AD732" s="79" t="s">
        <v>2967</v>
      </c>
      <c r="AE732" s="79" t="s">
        <v>3393</v>
      </c>
      <c r="AF732" s="79" t="s">
        <v>3650</v>
      </c>
      <c r="AG732" s="79" t="s">
        <v>3919</v>
      </c>
      <c r="AH732" s="79" t="s">
        <v>4336</v>
      </c>
      <c r="AI732" s="79">
        <v>25132</v>
      </c>
      <c r="AJ732" s="79">
        <v>26</v>
      </c>
      <c r="AK732" s="79">
        <v>596</v>
      </c>
      <c r="AL732" s="79">
        <v>0</v>
      </c>
      <c r="AM732" s="79" t="s">
        <v>2092</v>
      </c>
      <c r="AN732" s="114" t="str">
        <f>HYPERLINK("https://www.youtube.com/watch?v=lEj-kgtb-qE")</f>
        <v>https://www.youtube.com/watch?v=lEj-kgtb-qE</v>
      </c>
      <c r="AO732" s="78" t="str">
        <f>REPLACE(INDEX(GroupVertices[Group],MATCH(Vertices[[#This Row],[Vertex]],GroupVertices[Vertex],0)),1,1,"")</f>
        <v>ull Spectrum ABA</v>
      </c>
      <c r="AP732" s="2"/>
      <c r="AQ732" s="3"/>
      <c r="AR732" s="3"/>
      <c r="AS732" s="3"/>
      <c r="AT732" s="3"/>
    </row>
    <row r="733" spans="1:46" ht="15">
      <c r="A733" s="64" t="s">
        <v>2495</v>
      </c>
      <c r="B733" s="65"/>
      <c r="C733" s="65"/>
      <c r="D733" s="66">
        <v>150</v>
      </c>
      <c r="E733" s="102">
        <v>97.85714285714286</v>
      </c>
      <c r="F733" s="98" t="str">
        <f>HYPERLINK("https://i.ytimg.com/vi/BBhUhILLfkY/default.jpg")</f>
        <v>https://i.ytimg.com/vi/BBhUhILLfkY/default.jpg</v>
      </c>
      <c r="G733" s="100"/>
      <c r="H733" s="69" t="s">
        <v>2968</v>
      </c>
      <c r="I733" s="70"/>
      <c r="J733" s="104" t="s">
        <v>159</v>
      </c>
      <c r="K733" s="69" t="s">
        <v>2968</v>
      </c>
      <c r="L733" s="105">
        <v>1</v>
      </c>
      <c r="M733" s="74">
        <v>7892.4599609375</v>
      </c>
      <c r="N733" s="74">
        <v>8159.6064453125</v>
      </c>
      <c r="O733" s="75"/>
      <c r="P733" s="76"/>
      <c r="Q733" s="76"/>
      <c r="R733" s="106"/>
      <c r="S733" s="48">
        <v>1</v>
      </c>
      <c r="T733" s="48">
        <v>0</v>
      </c>
      <c r="U733" s="49">
        <v>0</v>
      </c>
      <c r="V733" s="49">
        <v>0.176793</v>
      </c>
      <c r="W733" s="107"/>
      <c r="X733" s="50"/>
      <c r="Y733" s="50"/>
      <c r="Z733" s="49">
        <v>0</v>
      </c>
      <c r="AA733" s="71">
        <v>733</v>
      </c>
      <c r="AB733" s="71"/>
      <c r="AC733" s="72"/>
      <c r="AD733" s="79" t="s">
        <v>2968</v>
      </c>
      <c r="AE733" s="79" t="s">
        <v>3394</v>
      </c>
      <c r="AF733" s="79"/>
      <c r="AG733" s="79" t="s">
        <v>3920</v>
      </c>
      <c r="AH733" s="79" t="s">
        <v>4337</v>
      </c>
      <c r="AI733" s="79">
        <v>8661</v>
      </c>
      <c r="AJ733" s="79">
        <v>21</v>
      </c>
      <c r="AK733" s="79">
        <v>192</v>
      </c>
      <c r="AL733" s="79">
        <v>0</v>
      </c>
      <c r="AM733" s="79" t="s">
        <v>2092</v>
      </c>
      <c r="AN733" s="114" t="str">
        <f>HYPERLINK("https://www.youtube.com/watch?v=BBhUhILLfkY")</f>
        <v>https://www.youtube.com/watch?v=BBhUhILLfkY</v>
      </c>
      <c r="AO733" s="78" t="str">
        <f>REPLACE(INDEX(GroupVertices[Group],MATCH(Vertices[[#This Row],[Vertex]],GroupVertices[Vertex],0)),1,1,"")</f>
        <v>onference on Crimes Against Women</v>
      </c>
      <c r="AP733" s="2"/>
      <c r="AQ733" s="3"/>
      <c r="AR733" s="3"/>
      <c r="AS733" s="3"/>
      <c r="AT733" s="3"/>
    </row>
    <row r="734" spans="1:46" ht="15">
      <c r="A734" s="64" t="s">
        <v>2496</v>
      </c>
      <c r="B734" s="65"/>
      <c r="C734" s="65"/>
      <c r="D734" s="66">
        <v>150</v>
      </c>
      <c r="E734" s="102">
        <v>97.85714285714286</v>
      </c>
      <c r="F734" s="98" t="str">
        <f>HYPERLINK("https://i.ytimg.com/vi/ZxVzXLVn_oE/default.jpg")</f>
        <v>https://i.ytimg.com/vi/ZxVzXLVn_oE/default.jpg</v>
      </c>
      <c r="G734" s="100"/>
      <c r="H734" s="69" t="s">
        <v>2969</v>
      </c>
      <c r="I734" s="70"/>
      <c r="J734" s="104" t="s">
        <v>159</v>
      </c>
      <c r="K734" s="69" t="s">
        <v>2969</v>
      </c>
      <c r="L734" s="105">
        <v>1</v>
      </c>
      <c r="M734" s="74">
        <v>8075.6240234375</v>
      </c>
      <c r="N734" s="74">
        <v>7758.990234375</v>
      </c>
      <c r="O734" s="75"/>
      <c r="P734" s="76"/>
      <c r="Q734" s="76"/>
      <c r="R734" s="106"/>
      <c r="S734" s="48">
        <v>1</v>
      </c>
      <c r="T734" s="48">
        <v>0</v>
      </c>
      <c r="U734" s="49">
        <v>0</v>
      </c>
      <c r="V734" s="49">
        <v>0.176793</v>
      </c>
      <c r="W734" s="107"/>
      <c r="X734" s="50"/>
      <c r="Y734" s="50"/>
      <c r="Z734" s="49">
        <v>0</v>
      </c>
      <c r="AA734" s="71">
        <v>734</v>
      </c>
      <c r="AB734" s="71"/>
      <c r="AC734" s="72"/>
      <c r="AD734" s="79" t="s">
        <v>2969</v>
      </c>
      <c r="AE734" s="79" t="s">
        <v>3395</v>
      </c>
      <c r="AF734" s="79" t="s">
        <v>3651</v>
      </c>
      <c r="AG734" s="79" t="s">
        <v>1582</v>
      </c>
      <c r="AH734" s="79" t="s">
        <v>4338</v>
      </c>
      <c r="AI734" s="79">
        <v>912853</v>
      </c>
      <c r="AJ734" s="79">
        <v>3334</v>
      </c>
      <c r="AK734" s="79">
        <v>45883</v>
      </c>
      <c r="AL734" s="79">
        <v>0</v>
      </c>
      <c r="AM734" s="79" t="s">
        <v>2092</v>
      </c>
      <c r="AN734" s="114" t="str">
        <f>HYPERLINK("https://www.youtube.com/watch?v=ZxVzXLVn_oE")</f>
        <v>https://www.youtube.com/watch?v=ZxVzXLVn_oE</v>
      </c>
      <c r="AO734" s="78" t="str">
        <f>REPLACE(INDEX(GroupVertices[Group],MATCH(Vertices[[#This Row],[Vertex]],GroupVertices[Vertex],0)),1,1,"")</f>
        <v>ultiplicityAndMe</v>
      </c>
      <c r="AP734" s="2"/>
      <c r="AQ734" s="3"/>
      <c r="AR734" s="3"/>
      <c r="AS734" s="3"/>
      <c r="AT734" s="3"/>
    </row>
    <row r="735" spans="1:46" ht="15">
      <c r="A735" s="64" t="s">
        <v>2497</v>
      </c>
      <c r="B735" s="65"/>
      <c r="C735" s="65"/>
      <c r="D735" s="66">
        <v>150</v>
      </c>
      <c r="E735" s="102">
        <v>97.85714285714286</v>
      </c>
      <c r="F735" s="98" t="str">
        <f>HYPERLINK("https://i.ytimg.com/vi/XBjdnM7c9KU/default.jpg")</f>
        <v>https://i.ytimg.com/vi/XBjdnM7c9KU/default.jpg</v>
      </c>
      <c r="G735" s="100"/>
      <c r="H735" s="69" t="s">
        <v>2970</v>
      </c>
      <c r="I735" s="70"/>
      <c r="J735" s="104" t="s">
        <v>159</v>
      </c>
      <c r="K735" s="69" t="s">
        <v>2970</v>
      </c>
      <c r="L735" s="105">
        <v>1</v>
      </c>
      <c r="M735" s="74">
        <v>8356.009765625</v>
      </c>
      <c r="N735" s="74">
        <v>7542.34912109375</v>
      </c>
      <c r="O735" s="75"/>
      <c r="P735" s="76"/>
      <c r="Q735" s="76"/>
      <c r="R735" s="106"/>
      <c r="S735" s="48">
        <v>1</v>
      </c>
      <c r="T735" s="48">
        <v>0</v>
      </c>
      <c r="U735" s="49">
        <v>0</v>
      </c>
      <c r="V735" s="49">
        <v>0.176793</v>
      </c>
      <c r="W735" s="107"/>
      <c r="X735" s="50"/>
      <c r="Y735" s="50"/>
      <c r="Z735" s="49">
        <v>0</v>
      </c>
      <c r="AA735" s="71">
        <v>735</v>
      </c>
      <c r="AB735" s="71"/>
      <c r="AC735" s="72"/>
      <c r="AD735" s="79" t="s">
        <v>2970</v>
      </c>
      <c r="AE735" s="79" t="s">
        <v>3396</v>
      </c>
      <c r="AF735" s="79" t="s">
        <v>1339</v>
      </c>
      <c r="AG735" s="79" t="s">
        <v>3921</v>
      </c>
      <c r="AH735" s="79" t="s">
        <v>4339</v>
      </c>
      <c r="AI735" s="79">
        <v>1108</v>
      </c>
      <c r="AJ735" s="79">
        <v>0</v>
      </c>
      <c r="AK735" s="79">
        <v>9</v>
      </c>
      <c r="AL735" s="79">
        <v>0</v>
      </c>
      <c r="AM735" s="79" t="s">
        <v>2092</v>
      </c>
      <c r="AN735" s="114" t="str">
        <f>HYPERLINK("https://www.youtube.com/watch?v=XBjdnM7c9KU")</f>
        <v>https://www.youtube.com/watch?v=XBjdnM7c9KU</v>
      </c>
      <c r="AO735" s="78" t="str">
        <f>REPLACE(INDEX(GroupVertices[Group],MATCH(Vertices[[#This Row],[Vertex]],GroupVertices[Vertex],0)),1,1,"")</f>
        <v>obert Leahy</v>
      </c>
      <c r="AP735" s="2"/>
      <c r="AQ735" s="3"/>
      <c r="AR735" s="3"/>
      <c r="AS735" s="3"/>
      <c r="AT735" s="3"/>
    </row>
    <row r="736" spans="1:46" ht="15">
      <c r="A736" s="64" t="s">
        <v>2498</v>
      </c>
      <c r="B736" s="65"/>
      <c r="C736" s="65"/>
      <c r="D736" s="66">
        <v>150</v>
      </c>
      <c r="E736" s="102">
        <v>97.85714285714286</v>
      </c>
      <c r="F736" s="98" t="str">
        <f>HYPERLINK("https://i.ytimg.com/vi/tXL38HTkR_0/default.jpg")</f>
        <v>https://i.ytimg.com/vi/tXL38HTkR_0/default.jpg</v>
      </c>
      <c r="G736" s="100"/>
      <c r="H736" s="69" t="s">
        <v>2971</v>
      </c>
      <c r="I736" s="70"/>
      <c r="J736" s="104" t="s">
        <v>159</v>
      </c>
      <c r="K736" s="69" t="s">
        <v>2971</v>
      </c>
      <c r="L736" s="105">
        <v>1</v>
      </c>
      <c r="M736" s="74">
        <v>8685.1640625</v>
      </c>
      <c r="N736" s="74">
        <v>8731.3037109375</v>
      </c>
      <c r="O736" s="75"/>
      <c r="P736" s="76"/>
      <c r="Q736" s="76"/>
      <c r="R736" s="106"/>
      <c r="S736" s="48">
        <v>1</v>
      </c>
      <c r="T736" s="48">
        <v>0</v>
      </c>
      <c r="U736" s="49">
        <v>0</v>
      </c>
      <c r="V736" s="49">
        <v>0.176793</v>
      </c>
      <c r="W736" s="107"/>
      <c r="X736" s="50"/>
      <c r="Y736" s="50"/>
      <c r="Z736" s="49">
        <v>0</v>
      </c>
      <c r="AA736" s="71">
        <v>736</v>
      </c>
      <c r="AB736" s="71"/>
      <c r="AC736" s="72"/>
      <c r="AD736" s="79" t="s">
        <v>2971</v>
      </c>
      <c r="AE736" s="79"/>
      <c r="AF736" s="79"/>
      <c r="AG736" s="79" t="s">
        <v>1541</v>
      </c>
      <c r="AH736" s="79" t="s">
        <v>4340</v>
      </c>
      <c r="AI736" s="79">
        <v>17883</v>
      </c>
      <c r="AJ736" s="79">
        <v>65</v>
      </c>
      <c r="AK736" s="79">
        <v>1177</v>
      </c>
      <c r="AL736" s="79">
        <v>0</v>
      </c>
      <c r="AM736" s="79" t="s">
        <v>2092</v>
      </c>
      <c r="AN736" s="114" t="str">
        <f>HYPERLINK("https://www.youtube.com/watch?v=tXL38HTkR_0")</f>
        <v>https://www.youtube.com/watch?v=tXL38HTkR_0</v>
      </c>
      <c r="AO736" s="78" t="str">
        <f>REPLACE(INDEX(GroupVertices[Group],MATCH(Vertices[[#This Row],[Vertex]],GroupVertices[Vertex],0)),1,1,"")</f>
        <v>ati Morton</v>
      </c>
      <c r="AP736" s="2"/>
      <c r="AQ736" s="3"/>
      <c r="AR736" s="3"/>
      <c r="AS736" s="3"/>
      <c r="AT736" s="3"/>
    </row>
    <row r="737" spans="1:46" ht="15">
      <c r="A737" s="64" t="s">
        <v>2499</v>
      </c>
      <c r="B737" s="65"/>
      <c r="C737" s="65"/>
      <c r="D737" s="66">
        <v>150</v>
      </c>
      <c r="E737" s="102">
        <v>97.85714285714286</v>
      </c>
      <c r="F737" s="98" t="str">
        <f>HYPERLINK("https://i.ytimg.com/vi/2E6xMnj3ABA/default.jpg")</f>
        <v>https://i.ytimg.com/vi/2E6xMnj3ABA/default.jpg</v>
      </c>
      <c r="G737" s="100"/>
      <c r="H737" s="69" t="s">
        <v>2972</v>
      </c>
      <c r="I737" s="70"/>
      <c r="J737" s="104" t="s">
        <v>159</v>
      </c>
      <c r="K737" s="69" t="s">
        <v>2972</v>
      </c>
      <c r="L737" s="105">
        <v>1</v>
      </c>
      <c r="M737" s="74">
        <v>8449.4716796875</v>
      </c>
      <c r="N737" s="74">
        <v>9665.966796875</v>
      </c>
      <c r="O737" s="75"/>
      <c r="P737" s="76"/>
      <c r="Q737" s="76"/>
      <c r="R737" s="106"/>
      <c r="S737" s="48">
        <v>1</v>
      </c>
      <c r="T737" s="48">
        <v>0</v>
      </c>
      <c r="U737" s="49">
        <v>0</v>
      </c>
      <c r="V737" s="49">
        <v>0.176793</v>
      </c>
      <c r="W737" s="107"/>
      <c r="X737" s="50"/>
      <c r="Y737" s="50"/>
      <c r="Z737" s="49">
        <v>0</v>
      </c>
      <c r="AA737" s="71">
        <v>737</v>
      </c>
      <c r="AB737" s="71"/>
      <c r="AC737" s="72"/>
      <c r="AD737" s="79" t="s">
        <v>2972</v>
      </c>
      <c r="AE737" s="79"/>
      <c r="AF737" s="79"/>
      <c r="AG737" s="79" t="s">
        <v>1541</v>
      </c>
      <c r="AH737" s="79" t="s">
        <v>4341</v>
      </c>
      <c r="AI737" s="79">
        <v>7471</v>
      </c>
      <c r="AJ737" s="79">
        <v>34</v>
      </c>
      <c r="AK737" s="79">
        <v>652</v>
      </c>
      <c r="AL737" s="79">
        <v>0</v>
      </c>
      <c r="AM737" s="79" t="s">
        <v>2092</v>
      </c>
      <c r="AN737" s="114" t="str">
        <f>HYPERLINK("https://www.youtube.com/watch?v=2E6xMnj3ABA")</f>
        <v>https://www.youtube.com/watch?v=2E6xMnj3ABA</v>
      </c>
      <c r="AO737" s="78" t="str">
        <f>REPLACE(INDEX(GroupVertices[Group],MATCH(Vertices[[#This Row],[Vertex]],GroupVertices[Vertex],0)),1,1,"")</f>
        <v>ati Morton</v>
      </c>
      <c r="AP737" s="2"/>
      <c r="AQ737" s="3"/>
      <c r="AR737" s="3"/>
      <c r="AS737" s="3"/>
      <c r="AT737" s="3"/>
    </row>
    <row r="738" spans="1:46" ht="15">
      <c r="A738" s="64" t="s">
        <v>2500</v>
      </c>
      <c r="B738" s="65"/>
      <c r="C738" s="65"/>
      <c r="D738" s="66">
        <v>150</v>
      </c>
      <c r="E738" s="102">
        <v>97.85714285714286</v>
      </c>
      <c r="F738" s="98" t="str">
        <f>HYPERLINK("https://i.ytimg.com/vi/5IGqabKbpy8/default.jpg")</f>
        <v>https://i.ytimg.com/vi/5IGqabKbpy8/default.jpg</v>
      </c>
      <c r="G738" s="100"/>
      <c r="H738" s="69" t="s">
        <v>2973</v>
      </c>
      <c r="I738" s="70"/>
      <c r="J738" s="104" t="s">
        <v>159</v>
      </c>
      <c r="K738" s="69" t="s">
        <v>2973</v>
      </c>
      <c r="L738" s="105">
        <v>1</v>
      </c>
      <c r="M738" s="74">
        <v>8789.9208984375</v>
      </c>
      <c r="N738" s="74">
        <v>9528.646484375</v>
      </c>
      <c r="O738" s="75"/>
      <c r="P738" s="76"/>
      <c r="Q738" s="76"/>
      <c r="R738" s="106"/>
      <c r="S738" s="48">
        <v>1</v>
      </c>
      <c r="T738" s="48">
        <v>0</v>
      </c>
      <c r="U738" s="49">
        <v>0</v>
      </c>
      <c r="V738" s="49">
        <v>0.176793</v>
      </c>
      <c r="W738" s="107"/>
      <c r="X738" s="50"/>
      <c r="Y738" s="50"/>
      <c r="Z738" s="49">
        <v>0</v>
      </c>
      <c r="AA738" s="71">
        <v>738</v>
      </c>
      <c r="AB738" s="71"/>
      <c r="AC738" s="72"/>
      <c r="AD738" s="79" t="s">
        <v>2973</v>
      </c>
      <c r="AE738" s="79"/>
      <c r="AF738" s="79"/>
      <c r="AG738" s="79" t="s">
        <v>1541</v>
      </c>
      <c r="AH738" s="79" t="s">
        <v>4342</v>
      </c>
      <c r="AI738" s="79">
        <v>10293</v>
      </c>
      <c r="AJ738" s="79">
        <v>35</v>
      </c>
      <c r="AK738" s="79">
        <v>713</v>
      </c>
      <c r="AL738" s="79">
        <v>0</v>
      </c>
      <c r="AM738" s="79" t="s">
        <v>2092</v>
      </c>
      <c r="AN738" s="114" t="str">
        <f>HYPERLINK("https://www.youtube.com/watch?v=5IGqabKbpy8")</f>
        <v>https://www.youtube.com/watch?v=5IGqabKbpy8</v>
      </c>
      <c r="AO738" s="78" t="str">
        <f>REPLACE(INDEX(GroupVertices[Group],MATCH(Vertices[[#This Row],[Vertex]],GroupVertices[Vertex],0)),1,1,"")</f>
        <v>ati Morton</v>
      </c>
      <c r="AP738" s="2"/>
      <c r="AQ738" s="3"/>
      <c r="AR738" s="3"/>
      <c r="AS738" s="3"/>
      <c r="AT738" s="3"/>
    </row>
    <row r="739" spans="1:46" ht="15">
      <c r="A739" s="64" t="s">
        <v>2501</v>
      </c>
      <c r="B739" s="65"/>
      <c r="C739" s="65"/>
      <c r="D739" s="66">
        <v>150</v>
      </c>
      <c r="E739" s="102">
        <v>97.85714285714286</v>
      </c>
      <c r="F739" s="98" t="str">
        <f>HYPERLINK("https://i.ytimg.com/vi/OtwOz1GVkDg/default.jpg")</f>
        <v>https://i.ytimg.com/vi/OtwOz1GVkDg/default.jpg</v>
      </c>
      <c r="G739" s="100"/>
      <c r="H739" s="69" t="s">
        <v>2974</v>
      </c>
      <c r="I739" s="70"/>
      <c r="J739" s="104" t="s">
        <v>159</v>
      </c>
      <c r="K739" s="69" t="s">
        <v>2974</v>
      </c>
      <c r="L739" s="105">
        <v>1</v>
      </c>
      <c r="M739" s="74">
        <v>8061.294921875</v>
      </c>
      <c r="N739" s="74">
        <v>9202.4248046875</v>
      </c>
      <c r="O739" s="75"/>
      <c r="P739" s="76"/>
      <c r="Q739" s="76"/>
      <c r="R739" s="106"/>
      <c r="S739" s="48">
        <v>1</v>
      </c>
      <c r="T739" s="48">
        <v>0</v>
      </c>
      <c r="U739" s="49">
        <v>0</v>
      </c>
      <c r="V739" s="49">
        <v>0.176793</v>
      </c>
      <c r="W739" s="107"/>
      <c r="X739" s="50"/>
      <c r="Y739" s="50"/>
      <c r="Z739" s="49">
        <v>0</v>
      </c>
      <c r="AA739" s="71">
        <v>739</v>
      </c>
      <c r="AB739" s="71"/>
      <c r="AC739" s="72"/>
      <c r="AD739" s="79" t="s">
        <v>2974</v>
      </c>
      <c r="AE739" s="79" t="s">
        <v>3397</v>
      </c>
      <c r="AF739" s="79" t="s">
        <v>3652</v>
      </c>
      <c r="AG739" s="79" t="s">
        <v>3922</v>
      </c>
      <c r="AH739" s="79" t="s">
        <v>4343</v>
      </c>
      <c r="AI739" s="79">
        <v>610896</v>
      </c>
      <c r="AJ739" s="79">
        <v>952</v>
      </c>
      <c r="AK739" s="79">
        <v>12477</v>
      </c>
      <c r="AL739" s="79">
        <v>0</v>
      </c>
      <c r="AM739" s="79" t="s">
        <v>2092</v>
      </c>
      <c r="AN739" s="114" t="str">
        <f>HYPERLINK("https://www.youtube.com/watch?v=OtwOz1GVkDg")</f>
        <v>https://www.youtube.com/watch?v=OtwOz1GVkDg</v>
      </c>
      <c r="AO739" s="78" t="str">
        <f>REPLACE(INDEX(GroupVertices[Group],MATCH(Vertices[[#This Row],[Vertex]],GroupVertices[Vertex],0)),1,1,"")</f>
        <v>he Guardian</v>
      </c>
      <c r="AP739" s="2"/>
      <c r="AQ739" s="3"/>
      <c r="AR739" s="3"/>
      <c r="AS739" s="3"/>
      <c r="AT739" s="3"/>
    </row>
    <row r="740" spans="1:46" ht="15">
      <c r="A740" s="64" t="s">
        <v>590</v>
      </c>
      <c r="B740" s="65"/>
      <c r="C740" s="65"/>
      <c r="D740" s="66">
        <v>150</v>
      </c>
      <c r="E740" s="102">
        <v>97.85714285714286</v>
      </c>
      <c r="F740" s="98" t="str">
        <f>HYPERLINK("https://i.ytimg.com/vi/dy_lJEdsEmE/default.jpg")</f>
        <v>https://i.ytimg.com/vi/dy_lJEdsEmE/default.jpg</v>
      </c>
      <c r="G740" s="100"/>
      <c r="H740" s="69" t="s">
        <v>1014</v>
      </c>
      <c r="I740" s="70"/>
      <c r="J740" s="104" t="s">
        <v>159</v>
      </c>
      <c r="K740" s="69" t="s">
        <v>1014</v>
      </c>
      <c r="L740" s="105">
        <v>1</v>
      </c>
      <c r="M740" s="74">
        <v>7938.05859375</v>
      </c>
      <c r="N740" s="74">
        <v>8716.1083984375</v>
      </c>
      <c r="O740" s="75"/>
      <c r="P740" s="76"/>
      <c r="Q740" s="76"/>
      <c r="R740" s="106"/>
      <c r="S740" s="48">
        <v>1</v>
      </c>
      <c r="T740" s="48">
        <v>0</v>
      </c>
      <c r="U740" s="49">
        <v>0</v>
      </c>
      <c r="V740" s="49">
        <v>0.176793</v>
      </c>
      <c r="W740" s="107"/>
      <c r="X740" s="50"/>
      <c r="Y740" s="50"/>
      <c r="Z740" s="49">
        <v>0</v>
      </c>
      <c r="AA740" s="71">
        <v>740</v>
      </c>
      <c r="AB740" s="71"/>
      <c r="AC740" s="72"/>
      <c r="AD740" s="79" t="s">
        <v>1014</v>
      </c>
      <c r="AE740" s="79" t="s">
        <v>1284</v>
      </c>
      <c r="AF740" s="79" t="s">
        <v>1468</v>
      </c>
      <c r="AG740" s="79" t="s">
        <v>1541</v>
      </c>
      <c r="AH740" s="79" t="s">
        <v>2071</v>
      </c>
      <c r="AI740" s="79">
        <v>6736</v>
      </c>
      <c r="AJ740" s="79">
        <v>34</v>
      </c>
      <c r="AK740" s="79">
        <v>634</v>
      </c>
      <c r="AL740" s="79">
        <v>0</v>
      </c>
      <c r="AM740" s="79" t="s">
        <v>2092</v>
      </c>
      <c r="AN740" s="114" t="str">
        <f>HYPERLINK("https://www.youtube.com/watch?v=dy_lJEdsEmE")</f>
        <v>https://www.youtube.com/watch?v=dy_lJEdsEmE</v>
      </c>
      <c r="AO740" s="78" t="str">
        <f>REPLACE(INDEX(GroupVertices[Group],MATCH(Vertices[[#This Row],[Vertex]],GroupVertices[Vertex],0)),1,1,"")</f>
        <v>ati Morton</v>
      </c>
      <c r="AP740" s="2"/>
      <c r="AQ740" s="3"/>
      <c r="AR740" s="3"/>
      <c r="AS740" s="3"/>
      <c r="AT740" s="3"/>
    </row>
    <row r="741" spans="1:46" ht="15">
      <c r="A741" s="64" t="s">
        <v>2502</v>
      </c>
      <c r="B741" s="65"/>
      <c r="C741" s="65"/>
      <c r="D741" s="66">
        <v>150</v>
      </c>
      <c r="E741" s="102">
        <v>97.85714285714286</v>
      </c>
      <c r="F741" s="98" t="str">
        <f>HYPERLINK("https://i.ytimg.com/vi/MrGuOclU9hU/default.jpg")</f>
        <v>https://i.ytimg.com/vi/MrGuOclU9hU/default.jpg</v>
      </c>
      <c r="G741" s="100"/>
      <c r="H741" s="69" t="s">
        <v>2975</v>
      </c>
      <c r="I741" s="70"/>
      <c r="J741" s="104" t="s">
        <v>159</v>
      </c>
      <c r="K741" s="69" t="s">
        <v>2975</v>
      </c>
      <c r="L741" s="105">
        <v>1</v>
      </c>
      <c r="M741" s="74">
        <v>8439.2578125</v>
      </c>
      <c r="N741" s="74">
        <v>9341.3759765625</v>
      </c>
      <c r="O741" s="75"/>
      <c r="P741" s="76"/>
      <c r="Q741" s="76"/>
      <c r="R741" s="106"/>
      <c r="S741" s="48">
        <v>1</v>
      </c>
      <c r="T741" s="48">
        <v>0</v>
      </c>
      <c r="U741" s="49">
        <v>0</v>
      </c>
      <c r="V741" s="49">
        <v>0.176793</v>
      </c>
      <c r="W741" s="107"/>
      <c r="X741" s="50"/>
      <c r="Y741" s="50"/>
      <c r="Z741" s="49">
        <v>0</v>
      </c>
      <c r="AA741" s="71">
        <v>741</v>
      </c>
      <c r="AB741" s="71"/>
      <c r="AC741" s="72"/>
      <c r="AD741" s="79" t="s">
        <v>2975</v>
      </c>
      <c r="AE741" s="79"/>
      <c r="AF741" s="79"/>
      <c r="AG741" s="79" t="s">
        <v>1541</v>
      </c>
      <c r="AH741" s="79" t="s">
        <v>4344</v>
      </c>
      <c r="AI741" s="79">
        <v>6170</v>
      </c>
      <c r="AJ741" s="79">
        <v>16</v>
      </c>
      <c r="AK741" s="79">
        <v>636</v>
      </c>
      <c r="AL741" s="79">
        <v>0</v>
      </c>
      <c r="AM741" s="79" t="s">
        <v>2092</v>
      </c>
      <c r="AN741" s="114" t="str">
        <f>HYPERLINK("https://www.youtube.com/watch?v=MrGuOclU9hU")</f>
        <v>https://www.youtube.com/watch?v=MrGuOclU9hU</v>
      </c>
      <c r="AO741" s="78" t="str">
        <f>REPLACE(INDEX(GroupVertices[Group],MATCH(Vertices[[#This Row],[Vertex]],GroupVertices[Vertex],0)),1,1,"")</f>
        <v>ati Morton</v>
      </c>
      <c r="AP741" s="2"/>
      <c r="AQ741" s="3"/>
      <c r="AR741" s="3"/>
      <c r="AS741" s="3"/>
      <c r="AT741" s="3"/>
    </row>
    <row r="742" spans="1:46" ht="15">
      <c r="A742" s="64" t="s">
        <v>2503</v>
      </c>
      <c r="B742" s="65"/>
      <c r="C742" s="65"/>
      <c r="D742" s="66">
        <v>150</v>
      </c>
      <c r="E742" s="102">
        <v>97.85714285714286</v>
      </c>
      <c r="F742" s="98" t="str">
        <f>HYPERLINK("https://i.ytimg.com/vi/OeuqK5E6eLM/default.jpg")</f>
        <v>https://i.ytimg.com/vi/OeuqK5E6eLM/default.jpg</v>
      </c>
      <c r="G742" s="100"/>
      <c r="H742" s="69" t="s">
        <v>2976</v>
      </c>
      <c r="I742" s="70"/>
      <c r="J742" s="104" t="s">
        <v>159</v>
      </c>
      <c r="K742" s="69" t="s">
        <v>2976</v>
      </c>
      <c r="L742" s="105">
        <v>1</v>
      </c>
      <c r="M742" s="74">
        <v>8495.9716796875</v>
      </c>
      <c r="N742" s="74">
        <v>7549.919921875</v>
      </c>
      <c r="O742" s="75"/>
      <c r="P742" s="76"/>
      <c r="Q742" s="76"/>
      <c r="R742" s="106"/>
      <c r="S742" s="48">
        <v>1</v>
      </c>
      <c r="T742" s="48">
        <v>0</v>
      </c>
      <c r="U742" s="49">
        <v>0</v>
      </c>
      <c r="V742" s="49">
        <v>0.176793</v>
      </c>
      <c r="W742" s="107"/>
      <c r="X742" s="50"/>
      <c r="Y742" s="50"/>
      <c r="Z742" s="49">
        <v>0</v>
      </c>
      <c r="AA742" s="71">
        <v>742</v>
      </c>
      <c r="AB742" s="71"/>
      <c r="AC742" s="72"/>
      <c r="AD742" s="79" t="s">
        <v>2976</v>
      </c>
      <c r="AE742" s="79"/>
      <c r="AF742" s="79"/>
      <c r="AG742" s="79" t="s">
        <v>1541</v>
      </c>
      <c r="AH742" s="79" t="s">
        <v>4345</v>
      </c>
      <c r="AI742" s="79">
        <v>9910</v>
      </c>
      <c r="AJ742" s="79">
        <v>18</v>
      </c>
      <c r="AK742" s="79">
        <v>557</v>
      </c>
      <c r="AL742" s="79">
        <v>0</v>
      </c>
      <c r="AM742" s="79" t="s">
        <v>2092</v>
      </c>
      <c r="AN742" s="114" t="str">
        <f>HYPERLINK("https://www.youtube.com/watch?v=OeuqK5E6eLM")</f>
        <v>https://www.youtube.com/watch?v=OeuqK5E6eLM</v>
      </c>
      <c r="AO742" s="78" t="str">
        <f>REPLACE(INDEX(GroupVertices[Group],MATCH(Vertices[[#This Row],[Vertex]],GroupVertices[Vertex],0)),1,1,"")</f>
        <v>ati Morton</v>
      </c>
      <c r="AP742" s="2"/>
      <c r="AQ742" s="3"/>
      <c r="AR742" s="3"/>
      <c r="AS742" s="3"/>
      <c r="AT742" s="3"/>
    </row>
    <row r="743" spans="1:46" ht="15">
      <c r="A743" s="64" t="s">
        <v>2504</v>
      </c>
      <c r="B743" s="65"/>
      <c r="C743" s="65"/>
      <c r="D743" s="66">
        <v>150</v>
      </c>
      <c r="E743" s="102">
        <v>97.85714285714286</v>
      </c>
      <c r="F743" s="98" t="str">
        <f>HYPERLINK("https://i.ytimg.com/vi/jxKplTTaojE/default.jpg")</f>
        <v>https://i.ytimg.com/vi/jxKplTTaojE/default.jpg</v>
      </c>
      <c r="G743" s="100"/>
      <c r="H743" s="69" t="s">
        <v>2977</v>
      </c>
      <c r="I743" s="70"/>
      <c r="J743" s="104" t="s">
        <v>159</v>
      </c>
      <c r="K743" s="69" t="s">
        <v>2977</v>
      </c>
      <c r="L743" s="105">
        <v>1</v>
      </c>
      <c r="M743" s="74">
        <v>7831.5029296875</v>
      </c>
      <c r="N743" s="74">
        <v>8854.2822265625</v>
      </c>
      <c r="O743" s="75"/>
      <c r="P743" s="76"/>
      <c r="Q743" s="76"/>
      <c r="R743" s="106"/>
      <c r="S743" s="48">
        <v>1</v>
      </c>
      <c r="T743" s="48">
        <v>0</v>
      </c>
      <c r="U743" s="49">
        <v>0</v>
      </c>
      <c r="V743" s="49">
        <v>0.176793</v>
      </c>
      <c r="W743" s="107"/>
      <c r="X743" s="50"/>
      <c r="Y743" s="50"/>
      <c r="Z743" s="49">
        <v>0</v>
      </c>
      <c r="AA743" s="71">
        <v>743</v>
      </c>
      <c r="AB743" s="71"/>
      <c r="AC743" s="72"/>
      <c r="AD743" s="79" t="s">
        <v>2977</v>
      </c>
      <c r="AE743" s="79" t="s">
        <v>3398</v>
      </c>
      <c r="AF743" s="79" t="s">
        <v>3653</v>
      </c>
      <c r="AG743" s="79" t="s">
        <v>1541</v>
      </c>
      <c r="AH743" s="79" t="s">
        <v>4346</v>
      </c>
      <c r="AI743" s="79">
        <v>8043</v>
      </c>
      <c r="AJ743" s="79">
        <v>83</v>
      </c>
      <c r="AK743" s="79">
        <v>456</v>
      </c>
      <c r="AL743" s="79">
        <v>0</v>
      </c>
      <c r="AM743" s="79" t="s">
        <v>2092</v>
      </c>
      <c r="AN743" s="114" t="str">
        <f>HYPERLINK("https://www.youtube.com/watch?v=jxKplTTaojE")</f>
        <v>https://www.youtube.com/watch?v=jxKplTTaojE</v>
      </c>
      <c r="AO743" s="78" t="str">
        <f>REPLACE(INDEX(GroupVertices[Group],MATCH(Vertices[[#This Row],[Vertex]],GroupVertices[Vertex],0)),1,1,"")</f>
        <v>ati Morton</v>
      </c>
      <c r="AP743" s="2"/>
      <c r="AQ743" s="3"/>
      <c r="AR743" s="3"/>
      <c r="AS743" s="3"/>
      <c r="AT743" s="3"/>
    </row>
    <row r="744" spans="1:46" ht="15">
      <c r="A744" s="64" t="s">
        <v>592</v>
      </c>
      <c r="B744" s="65"/>
      <c r="C744" s="65"/>
      <c r="D744" s="66">
        <v>150</v>
      </c>
      <c r="E744" s="102">
        <v>97.85714285714286</v>
      </c>
      <c r="F744" s="98" t="str">
        <f>HYPERLINK("https://i.ytimg.com/vi/qK2X1u4-bHM/default.jpg")</f>
        <v>https://i.ytimg.com/vi/qK2X1u4-bHM/default.jpg</v>
      </c>
      <c r="G744" s="100"/>
      <c r="H744" s="69" t="s">
        <v>1016</v>
      </c>
      <c r="I744" s="70"/>
      <c r="J744" s="104" t="s">
        <v>159</v>
      </c>
      <c r="K744" s="69" t="s">
        <v>1016</v>
      </c>
      <c r="L744" s="105">
        <v>1</v>
      </c>
      <c r="M744" s="74">
        <v>8284.9755859375</v>
      </c>
      <c r="N744" s="74">
        <v>9015.900390625</v>
      </c>
      <c r="O744" s="75"/>
      <c r="P744" s="76"/>
      <c r="Q744" s="76"/>
      <c r="R744" s="106"/>
      <c r="S744" s="48">
        <v>1</v>
      </c>
      <c r="T744" s="48">
        <v>0</v>
      </c>
      <c r="U744" s="49">
        <v>0</v>
      </c>
      <c r="V744" s="49">
        <v>0.176793</v>
      </c>
      <c r="W744" s="107"/>
      <c r="X744" s="50"/>
      <c r="Y744" s="50"/>
      <c r="Z744" s="49">
        <v>0</v>
      </c>
      <c r="AA744" s="71">
        <v>744</v>
      </c>
      <c r="AB744" s="71"/>
      <c r="AC744" s="72"/>
      <c r="AD744" s="79" t="s">
        <v>1016</v>
      </c>
      <c r="AE744" s="79" t="s">
        <v>1285</v>
      </c>
      <c r="AF744" s="79" t="s">
        <v>1469</v>
      </c>
      <c r="AG744" s="79" t="s">
        <v>1541</v>
      </c>
      <c r="AH744" s="79" t="s">
        <v>2073</v>
      </c>
      <c r="AI744" s="79">
        <v>11608</v>
      </c>
      <c r="AJ744" s="79">
        <v>20</v>
      </c>
      <c r="AK744" s="79">
        <v>698</v>
      </c>
      <c r="AL744" s="79">
        <v>0</v>
      </c>
      <c r="AM744" s="79" t="s">
        <v>2092</v>
      </c>
      <c r="AN744" s="114" t="str">
        <f>HYPERLINK("https://www.youtube.com/watch?v=qK2X1u4-bHM")</f>
        <v>https://www.youtube.com/watch?v=qK2X1u4-bHM</v>
      </c>
      <c r="AO744" s="78" t="str">
        <f>REPLACE(INDEX(GroupVertices[Group],MATCH(Vertices[[#This Row],[Vertex]],GroupVertices[Vertex],0)),1,1,"")</f>
        <v>ati Morton</v>
      </c>
      <c r="AP744" s="2"/>
      <c r="AQ744" s="3"/>
      <c r="AR744" s="3"/>
      <c r="AS744" s="3"/>
      <c r="AT744" s="3"/>
    </row>
    <row r="745" spans="1:46" ht="15">
      <c r="A745" s="64" t="s">
        <v>2505</v>
      </c>
      <c r="B745" s="65"/>
      <c r="C745" s="65"/>
      <c r="D745" s="66">
        <v>150</v>
      </c>
      <c r="E745" s="102">
        <v>97.85714285714286</v>
      </c>
      <c r="F745" s="98" t="str">
        <f>HYPERLINK("https://i.ytimg.com/vi/NQYiw1rB_Gs/default.jpg")</f>
        <v>https://i.ytimg.com/vi/NQYiw1rB_Gs/default.jpg</v>
      </c>
      <c r="G745" s="100"/>
      <c r="H745" s="69" t="s">
        <v>2978</v>
      </c>
      <c r="I745" s="70"/>
      <c r="J745" s="104" t="s">
        <v>159</v>
      </c>
      <c r="K745" s="69" t="s">
        <v>2978</v>
      </c>
      <c r="L745" s="105">
        <v>1</v>
      </c>
      <c r="M745" s="74">
        <v>8544.7666015625</v>
      </c>
      <c r="N745" s="74">
        <v>8391.19921875</v>
      </c>
      <c r="O745" s="75"/>
      <c r="P745" s="76"/>
      <c r="Q745" s="76"/>
      <c r="R745" s="106"/>
      <c r="S745" s="48">
        <v>1</v>
      </c>
      <c r="T745" s="48">
        <v>0</v>
      </c>
      <c r="U745" s="49">
        <v>0</v>
      </c>
      <c r="V745" s="49">
        <v>0.176793</v>
      </c>
      <c r="W745" s="107"/>
      <c r="X745" s="50"/>
      <c r="Y745" s="50"/>
      <c r="Z745" s="49">
        <v>0</v>
      </c>
      <c r="AA745" s="71">
        <v>745</v>
      </c>
      <c r="AB745" s="71"/>
      <c r="AC745" s="72"/>
      <c r="AD745" s="79" t="s">
        <v>2978</v>
      </c>
      <c r="AE745" s="79" t="s">
        <v>3399</v>
      </c>
      <c r="AF745" s="79" t="s">
        <v>3654</v>
      </c>
      <c r="AG745" s="79" t="s">
        <v>1570</v>
      </c>
      <c r="AH745" s="79" t="s">
        <v>4347</v>
      </c>
      <c r="AI745" s="79">
        <v>7440</v>
      </c>
      <c r="AJ745" s="79">
        <v>11</v>
      </c>
      <c r="AK745" s="79">
        <v>121</v>
      </c>
      <c r="AL745" s="79">
        <v>0</v>
      </c>
      <c r="AM745" s="79" t="s">
        <v>2092</v>
      </c>
      <c r="AN745" s="114" t="str">
        <f>HYPERLINK("https://www.youtube.com/watch?v=NQYiw1rB_Gs")</f>
        <v>https://www.youtube.com/watch?v=NQYiw1rB_Gs</v>
      </c>
      <c r="AO745" s="78" t="str">
        <f>REPLACE(INDEX(GroupVertices[Group],MATCH(Vertices[[#This Row],[Vertex]],GroupVertices[Vertex],0)),1,1,"")</f>
        <v>r. Aaron Norton</v>
      </c>
      <c r="AP745" s="2"/>
      <c r="AQ745" s="3"/>
      <c r="AR745" s="3"/>
      <c r="AS745" s="3"/>
      <c r="AT745" s="3"/>
    </row>
    <row r="746" spans="1:46" ht="15">
      <c r="A746" s="64" t="s">
        <v>2506</v>
      </c>
      <c r="B746" s="65"/>
      <c r="C746" s="65"/>
      <c r="D746" s="66">
        <v>150</v>
      </c>
      <c r="E746" s="102">
        <v>97.85714285714286</v>
      </c>
      <c r="F746" s="98" t="str">
        <f>HYPERLINK("https://i.ytimg.com/vi/y433uE6q52M/default.jpg")</f>
        <v>https://i.ytimg.com/vi/y433uE6q52M/default.jpg</v>
      </c>
      <c r="G746" s="100"/>
      <c r="H746" s="69" t="s">
        <v>2979</v>
      </c>
      <c r="I746" s="70"/>
      <c r="J746" s="104" t="s">
        <v>159</v>
      </c>
      <c r="K746" s="69" t="s">
        <v>2979</v>
      </c>
      <c r="L746" s="105">
        <v>1</v>
      </c>
      <c r="M746" s="74">
        <v>8622.2119140625</v>
      </c>
      <c r="N746" s="74">
        <v>7630.49951171875</v>
      </c>
      <c r="O746" s="75"/>
      <c r="P746" s="76"/>
      <c r="Q746" s="76"/>
      <c r="R746" s="106"/>
      <c r="S746" s="48">
        <v>1</v>
      </c>
      <c r="T746" s="48">
        <v>0</v>
      </c>
      <c r="U746" s="49">
        <v>0</v>
      </c>
      <c r="V746" s="49">
        <v>0.176793</v>
      </c>
      <c r="W746" s="107"/>
      <c r="X746" s="50"/>
      <c r="Y746" s="50"/>
      <c r="Z746" s="49">
        <v>0</v>
      </c>
      <c r="AA746" s="71">
        <v>746</v>
      </c>
      <c r="AB746" s="71"/>
      <c r="AC746" s="72"/>
      <c r="AD746" s="79" t="s">
        <v>2979</v>
      </c>
      <c r="AE746" s="79"/>
      <c r="AF746" s="79"/>
      <c r="AG746" s="79" t="s">
        <v>1541</v>
      </c>
      <c r="AH746" s="79" t="s">
        <v>4348</v>
      </c>
      <c r="AI746" s="79">
        <v>9860</v>
      </c>
      <c r="AJ746" s="79">
        <v>58</v>
      </c>
      <c r="AK746" s="79">
        <v>775</v>
      </c>
      <c r="AL746" s="79">
        <v>0</v>
      </c>
      <c r="AM746" s="79" t="s">
        <v>2092</v>
      </c>
      <c r="AN746" s="114" t="str">
        <f>HYPERLINK("https://www.youtube.com/watch?v=y433uE6q52M")</f>
        <v>https://www.youtube.com/watch?v=y433uE6q52M</v>
      </c>
      <c r="AO746" s="78" t="str">
        <f>REPLACE(INDEX(GroupVertices[Group],MATCH(Vertices[[#This Row],[Vertex]],GroupVertices[Vertex],0)),1,1,"")</f>
        <v>ati Morton</v>
      </c>
      <c r="AP746" s="2"/>
      <c r="AQ746" s="3"/>
      <c r="AR746" s="3"/>
      <c r="AS746" s="3"/>
      <c r="AT746" s="3"/>
    </row>
    <row r="747" spans="1:46" ht="15">
      <c r="A747" s="64" t="s">
        <v>2507</v>
      </c>
      <c r="B747" s="65"/>
      <c r="C747" s="65"/>
      <c r="D747" s="66">
        <v>150</v>
      </c>
      <c r="E747" s="102">
        <v>97.85714285714286</v>
      </c>
      <c r="F747" s="98" t="str">
        <f>HYPERLINK("https://i.ytimg.com/vi/OLerTAy1xpc/default.jpg")</f>
        <v>https://i.ytimg.com/vi/OLerTAy1xpc/default.jpg</v>
      </c>
      <c r="G747" s="100"/>
      <c r="H747" s="69" t="s">
        <v>2980</v>
      </c>
      <c r="I747" s="70"/>
      <c r="J747" s="104" t="s">
        <v>159</v>
      </c>
      <c r="K747" s="69" t="s">
        <v>2980</v>
      </c>
      <c r="L747" s="105">
        <v>1</v>
      </c>
      <c r="M747" s="74">
        <v>7933.41796875</v>
      </c>
      <c r="N747" s="74">
        <v>9349.31640625</v>
      </c>
      <c r="O747" s="75"/>
      <c r="P747" s="76"/>
      <c r="Q747" s="76"/>
      <c r="R747" s="106"/>
      <c r="S747" s="48">
        <v>1</v>
      </c>
      <c r="T747" s="48">
        <v>0</v>
      </c>
      <c r="U747" s="49">
        <v>0</v>
      </c>
      <c r="V747" s="49">
        <v>0.176793</v>
      </c>
      <c r="W747" s="107"/>
      <c r="X747" s="50"/>
      <c r="Y747" s="50"/>
      <c r="Z747" s="49">
        <v>0</v>
      </c>
      <c r="AA747" s="71">
        <v>747</v>
      </c>
      <c r="AB747" s="71"/>
      <c r="AC747" s="72"/>
      <c r="AD747" s="79" t="s">
        <v>2980</v>
      </c>
      <c r="AE747" s="79" t="s">
        <v>3400</v>
      </c>
      <c r="AF747" s="79" t="s">
        <v>3655</v>
      </c>
      <c r="AG747" s="79" t="s">
        <v>1541</v>
      </c>
      <c r="AH747" s="79" t="s">
        <v>4349</v>
      </c>
      <c r="AI747" s="79">
        <v>13661</v>
      </c>
      <c r="AJ747" s="79">
        <v>25</v>
      </c>
      <c r="AK747" s="79">
        <v>734</v>
      </c>
      <c r="AL747" s="79">
        <v>0</v>
      </c>
      <c r="AM747" s="79" t="s">
        <v>2092</v>
      </c>
      <c r="AN747" s="114" t="str">
        <f>HYPERLINK("https://www.youtube.com/watch?v=OLerTAy1xpc")</f>
        <v>https://www.youtube.com/watch?v=OLerTAy1xpc</v>
      </c>
      <c r="AO747" s="78" t="str">
        <f>REPLACE(INDEX(GroupVertices[Group],MATCH(Vertices[[#This Row],[Vertex]],GroupVertices[Vertex],0)),1,1,"")</f>
        <v>ati Morton</v>
      </c>
      <c r="AP747" s="2"/>
      <c r="AQ747" s="3"/>
      <c r="AR747" s="3"/>
      <c r="AS747" s="3"/>
      <c r="AT747" s="3"/>
    </row>
    <row r="748" spans="1:46" ht="15">
      <c r="A748" s="64" t="s">
        <v>594</v>
      </c>
      <c r="B748" s="65"/>
      <c r="C748" s="65"/>
      <c r="D748" s="66">
        <v>150</v>
      </c>
      <c r="E748" s="102">
        <v>97.85714285714286</v>
      </c>
      <c r="F748" s="98" t="str">
        <f>HYPERLINK("https://i.ytimg.com/vi/zJ6yegVE7WM/default.jpg")</f>
        <v>https://i.ytimg.com/vi/zJ6yegVE7WM/default.jpg</v>
      </c>
      <c r="G748" s="100"/>
      <c r="H748" s="69" t="s">
        <v>1018</v>
      </c>
      <c r="I748" s="70"/>
      <c r="J748" s="104" t="s">
        <v>159</v>
      </c>
      <c r="K748" s="69" t="s">
        <v>1018</v>
      </c>
      <c r="L748" s="105">
        <v>1</v>
      </c>
      <c r="M748" s="74">
        <v>8590.7890625</v>
      </c>
      <c r="N748" s="74">
        <v>7998.52734375</v>
      </c>
      <c r="O748" s="75"/>
      <c r="P748" s="76"/>
      <c r="Q748" s="76"/>
      <c r="R748" s="106"/>
      <c r="S748" s="48">
        <v>1</v>
      </c>
      <c r="T748" s="48">
        <v>0</v>
      </c>
      <c r="U748" s="49">
        <v>0</v>
      </c>
      <c r="V748" s="49">
        <v>0.176793</v>
      </c>
      <c r="W748" s="107"/>
      <c r="X748" s="50"/>
      <c r="Y748" s="50"/>
      <c r="Z748" s="49">
        <v>0</v>
      </c>
      <c r="AA748" s="71">
        <v>748</v>
      </c>
      <c r="AB748" s="71"/>
      <c r="AC748" s="72"/>
      <c r="AD748" s="79" t="s">
        <v>1018</v>
      </c>
      <c r="AE748" s="79"/>
      <c r="AF748" s="79"/>
      <c r="AG748" s="79" t="s">
        <v>1541</v>
      </c>
      <c r="AH748" s="79" t="s">
        <v>2075</v>
      </c>
      <c r="AI748" s="79">
        <v>14785</v>
      </c>
      <c r="AJ748" s="79">
        <v>91</v>
      </c>
      <c r="AK748" s="79">
        <v>1005</v>
      </c>
      <c r="AL748" s="79">
        <v>0</v>
      </c>
      <c r="AM748" s="79" t="s">
        <v>2092</v>
      </c>
      <c r="AN748" s="114" t="str">
        <f>HYPERLINK("https://www.youtube.com/watch?v=zJ6yegVE7WM")</f>
        <v>https://www.youtube.com/watch?v=zJ6yegVE7WM</v>
      </c>
      <c r="AO748" s="78" t="str">
        <f>REPLACE(INDEX(GroupVertices[Group],MATCH(Vertices[[#This Row],[Vertex]],GroupVertices[Vertex],0)),1,1,"")</f>
        <v>ati Morton</v>
      </c>
      <c r="AP748" s="2"/>
      <c r="AQ748" s="3"/>
      <c r="AR748" s="3"/>
      <c r="AS748" s="3"/>
      <c r="AT748" s="3"/>
    </row>
    <row r="749" spans="1:46" ht="15">
      <c r="A749" s="64" t="s">
        <v>268</v>
      </c>
      <c r="B749" s="65"/>
      <c r="C749" s="65"/>
      <c r="D749" s="66">
        <v>150</v>
      </c>
      <c r="E749" s="102">
        <v>97.85714285714286</v>
      </c>
      <c r="F749" s="98" t="str">
        <f>HYPERLINK("https://i.ytimg.com/vi/I197x8cVcpI/default.jpg")</f>
        <v>https://i.ytimg.com/vi/I197x8cVcpI/default.jpg</v>
      </c>
      <c r="G749" s="100"/>
      <c r="H749" s="69" t="s">
        <v>652</v>
      </c>
      <c r="I749" s="70"/>
      <c r="J749" s="104" t="s">
        <v>159</v>
      </c>
      <c r="K749" s="69" t="s">
        <v>652</v>
      </c>
      <c r="L749" s="105">
        <v>1</v>
      </c>
      <c r="M749" s="74">
        <v>8201.220703125</v>
      </c>
      <c r="N749" s="74">
        <v>7602.93115234375</v>
      </c>
      <c r="O749" s="75"/>
      <c r="P749" s="76"/>
      <c r="Q749" s="76"/>
      <c r="R749" s="106"/>
      <c r="S749" s="48">
        <v>1</v>
      </c>
      <c r="T749" s="48">
        <v>0</v>
      </c>
      <c r="U749" s="49">
        <v>0</v>
      </c>
      <c r="V749" s="49">
        <v>0.176793</v>
      </c>
      <c r="W749" s="107"/>
      <c r="X749" s="50"/>
      <c r="Y749" s="50"/>
      <c r="Z749" s="49">
        <v>0</v>
      </c>
      <c r="AA749" s="71">
        <v>749</v>
      </c>
      <c r="AB749" s="71"/>
      <c r="AC749" s="72"/>
      <c r="AD749" s="79" t="s">
        <v>652</v>
      </c>
      <c r="AE749" s="79" t="s">
        <v>1052</v>
      </c>
      <c r="AF749" s="79" t="s">
        <v>1314</v>
      </c>
      <c r="AG749" s="79" t="s">
        <v>1521</v>
      </c>
      <c r="AH749" s="79" t="s">
        <v>1708</v>
      </c>
      <c r="AI749" s="79">
        <v>992132</v>
      </c>
      <c r="AJ749" s="79">
        <v>2612</v>
      </c>
      <c r="AK749" s="79">
        <v>31182</v>
      </c>
      <c r="AL749" s="79">
        <v>0</v>
      </c>
      <c r="AM749" s="79" t="s">
        <v>2092</v>
      </c>
      <c r="AN749" s="114" t="str">
        <f>HYPERLINK("https://www.youtube.com/watch?v=I197x8cVcpI")</f>
        <v>https://www.youtube.com/watch?v=I197x8cVcpI</v>
      </c>
      <c r="AO749" s="78" t="str">
        <f>REPLACE(INDEX(GroupVertices[Group],MATCH(Vertices[[#This Row],[Vertex]],GroupVertices[Vertex],0)),1,1,"")</f>
        <v>ractical Psychology</v>
      </c>
      <c r="AP749" s="2"/>
      <c r="AQ749" s="3"/>
      <c r="AR749" s="3"/>
      <c r="AS749" s="3"/>
      <c r="AT749" s="3"/>
    </row>
    <row r="750" spans="1:46" ht="15">
      <c r="A750" s="64" t="s">
        <v>2508</v>
      </c>
      <c r="B750" s="65"/>
      <c r="C750" s="65"/>
      <c r="D750" s="66">
        <v>150</v>
      </c>
      <c r="E750" s="102">
        <v>97.85714285714286</v>
      </c>
      <c r="F750" s="98" t="str">
        <f>HYPERLINK("https://i.ytimg.com/vi/mrJEIzYHzbU/default.jpg")</f>
        <v>https://i.ytimg.com/vi/mrJEIzYHzbU/default.jpg</v>
      </c>
      <c r="G750" s="100"/>
      <c r="H750" s="69" t="s">
        <v>2981</v>
      </c>
      <c r="I750" s="70"/>
      <c r="J750" s="104" t="s">
        <v>159</v>
      </c>
      <c r="K750" s="69" t="s">
        <v>2981</v>
      </c>
      <c r="L750" s="105">
        <v>1</v>
      </c>
      <c r="M750" s="74">
        <v>7830.5419921875</v>
      </c>
      <c r="N750" s="74">
        <v>8503.490234375</v>
      </c>
      <c r="O750" s="75"/>
      <c r="P750" s="76"/>
      <c r="Q750" s="76"/>
      <c r="R750" s="106"/>
      <c r="S750" s="48">
        <v>1</v>
      </c>
      <c r="T750" s="48">
        <v>0</v>
      </c>
      <c r="U750" s="49">
        <v>0</v>
      </c>
      <c r="V750" s="49">
        <v>0.176793</v>
      </c>
      <c r="W750" s="107"/>
      <c r="X750" s="50"/>
      <c r="Y750" s="50"/>
      <c r="Z750" s="49">
        <v>0</v>
      </c>
      <c r="AA750" s="71">
        <v>750</v>
      </c>
      <c r="AB750" s="71"/>
      <c r="AC750" s="72"/>
      <c r="AD750" s="79" t="s">
        <v>2981</v>
      </c>
      <c r="AE750" s="79" t="s">
        <v>3401</v>
      </c>
      <c r="AF750" s="79" t="s">
        <v>3656</v>
      </c>
      <c r="AG750" s="79" t="s">
        <v>1541</v>
      </c>
      <c r="AH750" s="79" t="s">
        <v>4350</v>
      </c>
      <c r="AI750" s="79">
        <v>7674</v>
      </c>
      <c r="AJ750" s="79">
        <v>97</v>
      </c>
      <c r="AK750" s="79">
        <v>530</v>
      </c>
      <c r="AL750" s="79">
        <v>0</v>
      </c>
      <c r="AM750" s="79" t="s">
        <v>2092</v>
      </c>
      <c r="AN750" s="114" t="str">
        <f>HYPERLINK("https://www.youtube.com/watch?v=mrJEIzYHzbU")</f>
        <v>https://www.youtube.com/watch?v=mrJEIzYHzbU</v>
      </c>
      <c r="AO750" s="78" t="str">
        <f>REPLACE(INDEX(GroupVertices[Group],MATCH(Vertices[[#This Row],[Vertex]],GroupVertices[Vertex],0)),1,1,"")</f>
        <v>ati Morton</v>
      </c>
      <c r="AP750" s="2"/>
      <c r="AQ750" s="3"/>
      <c r="AR750" s="3"/>
      <c r="AS750" s="3"/>
      <c r="AT750" s="3"/>
    </row>
    <row r="751" spans="1:46" ht="15">
      <c r="A751" s="64" t="s">
        <v>557</v>
      </c>
      <c r="B751" s="65"/>
      <c r="C751" s="65"/>
      <c r="D751" s="66">
        <v>150</v>
      </c>
      <c r="E751" s="102">
        <v>97.85714285714286</v>
      </c>
      <c r="F751" s="98" t="str">
        <f>HYPERLINK("https://i.ytimg.com/vi/bQXOPITY9XM/default.jpg")</f>
        <v>https://i.ytimg.com/vi/bQXOPITY9XM/default.jpg</v>
      </c>
      <c r="G751" s="100"/>
      <c r="H751" s="69" t="s">
        <v>980</v>
      </c>
      <c r="I751" s="70"/>
      <c r="J751" s="104" t="s">
        <v>159</v>
      </c>
      <c r="K751" s="69" t="s">
        <v>980</v>
      </c>
      <c r="L751" s="105">
        <v>1</v>
      </c>
      <c r="M751" s="74">
        <v>8163.31982421875</v>
      </c>
      <c r="N751" s="74">
        <v>8478.2626953125</v>
      </c>
      <c r="O751" s="75"/>
      <c r="P751" s="76"/>
      <c r="Q751" s="76"/>
      <c r="R751" s="106"/>
      <c r="S751" s="48">
        <v>1</v>
      </c>
      <c r="T751" s="48">
        <v>0</v>
      </c>
      <c r="U751" s="49">
        <v>0</v>
      </c>
      <c r="V751" s="49">
        <v>0.176793</v>
      </c>
      <c r="W751" s="107"/>
      <c r="X751" s="50"/>
      <c r="Y751" s="50"/>
      <c r="Z751" s="49">
        <v>0</v>
      </c>
      <c r="AA751" s="71">
        <v>751</v>
      </c>
      <c r="AB751" s="71"/>
      <c r="AC751" s="72"/>
      <c r="AD751" s="79" t="s">
        <v>980</v>
      </c>
      <c r="AE751" s="79" t="s">
        <v>1261</v>
      </c>
      <c r="AF751" s="79" t="s">
        <v>1455</v>
      </c>
      <c r="AG751" s="79" t="s">
        <v>1559</v>
      </c>
      <c r="AH751" s="79" t="s">
        <v>2036</v>
      </c>
      <c r="AI751" s="79">
        <v>71919</v>
      </c>
      <c r="AJ751" s="79">
        <v>37</v>
      </c>
      <c r="AK751" s="79">
        <v>713</v>
      </c>
      <c r="AL751" s="79">
        <v>0</v>
      </c>
      <c r="AM751" s="79" t="s">
        <v>2092</v>
      </c>
      <c r="AN751" s="114" t="str">
        <f>HYPERLINK("https://www.youtube.com/watch?v=bQXOPITY9XM")</f>
        <v>https://www.youtube.com/watch?v=bQXOPITY9XM</v>
      </c>
      <c r="AO751" s="78" t="str">
        <f>REPLACE(INDEX(GroupVertices[Group],MATCH(Vertices[[#This Row],[Vertex]],GroupVertices[Vertex],0)),1,1,"")</f>
        <v>aul Bolin, M.D.</v>
      </c>
      <c r="AP751" s="2"/>
      <c r="AQ751" s="3"/>
      <c r="AR751" s="3"/>
      <c r="AS751" s="3"/>
      <c r="AT751" s="3"/>
    </row>
    <row r="752" spans="1:46" ht="15">
      <c r="A752" s="64" t="s">
        <v>591</v>
      </c>
      <c r="B752" s="65"/>
      <c r="C752" s="65"/>
      <c r="D752" s="66">
        <v>150</v>
      </c>
      <c r="E752" s="102">
        <v>97.85714285714286</v>
      </c>
      <c r="F752" s="98" t="str">
        <f>HYPERLINK("https://i.ytimg.com/vi/nv2dnysNRtw/default.jpg")</f>
        <v>https://i.ytimg.com/vi/nv2dnysNRtw/default.jpg</v>
      </c>
      <c r="G752" s="100"/>
      <c r="H752" s="69" t="s">
        <v>1015</v>
      </c>
      <c r="I752" s="70"/>
      <c r="J752" s="104" t="s">
        <v>159</v>
      </c>
      <c r="K752" s="69" t="s">
        <v>1015</v>
      </c>
      <c r="L752" s="105">
        <v>1</v>
      </c>
      <c r="M752" s="74">
        <v>8261.7001953125</v>
      </c>
      <c r="N752" s="74">
        <v>7838.35595703125</v>
      </c>
      <c r="O752" s="75"/>
      <c r="P752" s="76"/>
      <c r="Q752" s="76"/>
      <c r="R752" s="106"/>
      <c r="S752" s="48">
        <v>1</v>
      </c>
      <c r="T752" s="48">
        <v>0</v>
      </c>
      <c r="U752" s="49">
        <v>0</v>
      </c>
      <c r="V752" s="49">
        <v>0.176793</v>
      </c>
      <c r="W752" s="107"/>
      <c r="X752" s="50"/>
      <c r="Y752" s="50"/>
      <c r="Z752" s="49">
        <v>0</v>
      </c>
      <c r="AA752" s="71">
        <v>752</v>
      </c>
      <c r="AB752" s="71"/>
      <c r="AC752" s="72"/>
      <c r="AD752" s="79" t="s">
        <v>1015</v>
      </c>
      <c r="AE752" s="79"/>
      <c r="AF752" s="79"/>
      <c r="AG752" s="79" t="s">
        <v>1541</v>
      </c>
      <c r="AH752" s="79" t="s">
        <v>2072</v>
      </c>
      <c r="AI752" s="79">
        <v>7837</v>
      </c>
      <c r="AJ752" s="79">
        <v>21</v>
      </c>
      <c r="AK752" s="79">
        <v>755</v>
      </c>
      <c r="AL752" s="79">
        <v>0</v>
      </c>
      <c r="AM752" s="79" t="s">
        <v>2092</v>
      </c>
      <c r="AN752" s="114" t="str">
        <f>HYPERLINK("https://www.youtube.com/watch?v=nv2dnysNRtw")</f>
        <v>https://www.youtube.com/watch?v=nv2dnysNRtw</v>
      </c>
      <c r="AO752" s="78" t="str">
        <f>REPLACE(INDEX(GroupVertices[Group],MATCH(Vertices[[#This Row],[Vertex]],GroupVertices[Vertex],0)),1,1,"")</f>
        <v>ati Morton</v>
      </c>
      <c r="AP752" s="2"/>
      <c r="AQ752" s="3"/>
      <c r="AR752" s="3"/>
      <c r="AS752" s="3"/>
      <c r="AT752" s="3"/>
    </row>
    <row r="753" spans="1:46" ht="15">
      <c r="A753" s="64" t="s">
        <v>593</v>
      </c>
      <c r="B753" s="65"/>
      <c r="C753" s="65"/>
      <c r="D753" s="66">
        <v>150</v>
      </c>
      <c r="E753" s="102">
        <v>97.85714285714286</v>
      </c>
      <c r="F753" s="98" t="str">
        <f>HYPERLINK("https://i.ytimg.com/vi/1Eb4lxjTq_E/default.jpg")</f>
        <v>https://i.ytimg.com/vi/1Eb4lxjTq_E/default.jpg</v>
      </c>
      <c r="G753" s="100"/>
      <c r="H753" s="69" t="s">
        <v>1017</v>
      </c>
      <c r="I753" s="70"/>
      <c r="J753" s="104" t="s">
        <v>159</v>
      </c>
      <c r="K753" s="69" t="s">
        <v>1017</v>
      </c>
      <c r="L753" s="105">
        <v>1</v>
      </c>
      <c r="M753" s="74">
        <v>8671.9052734375</v>
      </c>
      <c r="N753" s="74">
        <v>9689.841796875</v>
      </c>
      <c r="O753" s="75"/>
      <c r="P753" s="76"/>
      <c r="Q753" s="76"/>
      <c r="R753" s="106"/>
      <c r="S753" s="48">
        <v>1</v>
      </c>
      <c r="T753" s="48">
        <v>0</v>
      </c>
      <c r="U753" s="49">
        <v>0</v>
      </c>
      <c r="V753" s="49">
        <v>0.176793</v>
      </c>
      <c r="W753" s="107"/>
      <c r="X753" s="50"/>
      <c r="Y753" s="50"/>
      <c r="Z753" s="49">
        <v>0</v>
      </c>
      <c r="AA753" s="71">
        <v>753</v>
      </c>
      <c r="AB753" s="71"/>
      <c r="AC753" s="72"/>
      <c r="AD753" s="79" t="s">
        <v>1017</v>
      </c>
      <c r="AE753" s="79" t="s">
        <v>1286</v>
      </c>
      <c r="AF753" s="79" t="s">
        <v>1470</v>
      </c>
      <c r="AG753" s="79" t="s">
        <v>1676</v>
      </c>
      <c r="AH753" s="79" t="s">
        <v>2074</v>
      </c>
      <c r="AI753" s="79">
        <v>229264</v>
      </c>
      <c r="AJ753" s="79">
        <v>424</v>
      </c>
      <c r="AK753" s="79">
        <v>5386</v>
      </c>
      <c r="AL753" s="79">
        <v>0</v>
      </c>
      <c r="AM753" s="79" t="s">
        <v>2092</v>
      </c>
      <c r="AN753" s="114" t="str">
        <f>HYPERLINK("https://www.youtube.com/watch?v=1Eb4lxjTq_E")</f>
        <v>https://www.youtube.com/watch?v=1Eb4lxjTq_E</v>
      </c>
      <c r="AO753" s="78" t="str">
        <f>REPLACE(INDEX(GroupVertices[Group],MATCH(Vertices[[#This Row],[Vertex]],GroupVertices[Vertex],0)),1,1,"")</f>
        <v>ebMD</v>
      </c>
      <c r="AP753" s="2"/>
      <c r="AQ753" s="3"/>
      <c r="AR753" s="3"/>
      <c r="AS753" s="3"/>
      <c r="AT753" s="3"/>
    </row>
    <row r="754" spans="1:46" ht="15">
      <c r="A754" s="64" t="s">
        <v>2509</v>
      </c>
      <c r="B754" s="65"/>
      <c r="C754" s="65"/>
      <c r="D754" s="66">
        <v>150</v>
      </c>
      <c r="E754" s="102">
        <v>97.85714285714286</v>
      </c>
      <c r="F754" s="98" t="str">
        <f>HYPERLINK("https://i.ytimg.com/vi/4bSOrMBNwz8/default.jpg")</f>
        <v>https://i.ytimg.com/vi/4bSOrMBNwz8/default.jpg</v>
      </c>
      <c r="G754" s="100"/>
      <c r="H754" s="69" t="s">
        <v>2982</v>
      </c>
      <c r="I754" s="70"/>
      <c r="J754" s="104" t="s">
        <v>159</v>
      </c>
      <c r="K754" s="69" t="s">
        <v>2982</v>
      </c>
      <c r="L754" s="105">
        <v>1</v>
      </c>
      <c r="M754" s="74">
        <v>8661.3681640625</v>
      </c>
      <c r="N754" s="74">
        <v>9377.337890625</v>
      </c>
      <c r="O754" s="75"/>
      <c r="P754" s="76"/>
      <c r="Q754" s="76"/>
      <c r="R754" s="106"/>
      <c r="S754" s="48">
        <v>1</v>
      </c>
      <c r="T754" s="48">
        <v>0</v>
      </c>
      <c r="U754" s="49">
        <v>0</v>
      </c>
      <c r="V754" s="49">
        <v>0.176793</v>
      </c>
      <c r="W754" s="107"/>
      <c r="X754" s="50"/>
      <c r="Y754" s="50"/>
      <c r="Z754" s="49">
        <v>0</v>
      </c>
      <c r="AA754" s="71">
        <v>754</v>
      </c>
      <c r="AB754" s="71"/>
      <c r="AC754" s="72"/>
      <c r="AD754" s="79" t="s">
        <v>2982</v>
      </c>
      <c r="AE754" s="79" t="s">
        <v>3402</v>
      </c>
      <c r="AF754" s="79" t="s">
        <v>3657</v>
      </c>
      <c r="AG754" s="79" t="s">
        <v>1541</v>
      </c>
      <c r="AH754" s="79" t="s">
        <v>4351</v>
      </c>
      <c r="AI754" s="79">
        <v>18072</v>
      </c>
      <c r="AJ754" s="79">
        <v>201</v>
      </c>
      <c r="AK754" s="79">
        <v>1184</v>
      </c>
      <c r="AL754" s="79">
        <v>0</v>
      </c>
      <c r="AM754" s="79" t="s">
        <v>2092</v>
      </c>
      <c r="AN754" s="114" t="str">
        <f>HYPERLINK("https://www.youtube.com/watch?v=4bSOrMBNwz8")</f>
        <v>https://www.youtube.com/watch?v=4bSOrMBNwz8</v>
      </c>
      <c r="AO754" s="78" t="str">
        <f>REPLACE(INDEX(GroupVertices[Group],MATCH(Vertices[[#This Row],[Vertex]],GroupVertices[Vertex],0)),1,1,"")</f>
        <v>ati Morton</v>
      </c>
      <c r="AP754" s="2"/>
      <c r="AQ754" s="3"/>
      <c r="AR754" s="3"/>
      <c r="AS754" s="3"/>
      <c r="AT754" s="3"/>
    </row>
    <row r="755" spans="1:46" ht="15">
      <c r="A755" s="64" t="s">
        <v>2510</v>
      </c>
      <c r="B755" s="65"/>
      <c r="C755" s="65"/>
      <c r="D755" s="66">
        <v>150</v>
      </c>
      <c r="E755" s="102">
        <v>97.85714285714286</v>
      </c>
      <c r="F755" s="98" t="str">
        <f>HYPERLINK("https://i.ytimg.com/vi/grU6Jflkcn4/default.jpg")</f>
        <v>https://i.ytimg.com/vi/grU6Jflkcn4/default.jpg</v>
      </c>
      <c r="G755" s="100"/>
      <c r="H755" s="69" t="s">
        <v>2983</v>
      </c>
      <c r="I755" s="70"/>
      <c r="J755" s="104" t="s">
        <v>159</v>
      </c>
      <c r="K755" s="69" t="s">
        <v>2983</v>
      </c>
      <c r="L755" s="105">
        <v>1</v>
      </c>
      <c r="M755" s="74">
        <v>8754.978515625</v>
      </c>
      <c r="N755" s="74">
        <v>8114.80322265625</v>
      </c>
      <c r="O755" s="75"/>
      <c r="P755" s="76"/>
      <c r="Q755" s="76"/>
      <c r="R755" s="106"/>
      <c r="S755" s="48">
        <v>1</v>
      </c>
      <c r="T755" s="48">
        <v>0</v>
      </c>
      <c r="U755" s="49">
        <v>0</v>
      </c>
      <c r="V755" s="49">
        <v>0.176793</v>
      </c>
      <c r="W755" s="107"/>
      <c r="X755" s="50"/>
      <c r="Y755" s="50"/>
      <c r="Z755" s="49">
        <v>0</v>
      </c>
      <c r="AA755" s="71">
        <v>755</v>
      </c>
      <c r="AB755" s="71"/>
      <c r="AC755" s="72"/>
      <c r="AD755" s="79" t="s">
        <v>2983</v>
      </c>
      <c r="AE755" s="79"/>
      <c r="AF755" s="79"/>
      <c r="AG755" s="79" t="s">
        <v>1541</v>
      </c>
      <c r="AH755" s="79" t="s">
        <v>4352</v>
      </c>
      <c r="AI755" s="79">
        <v>8551</v>
      </c>
      <c r="AJ755" s="79">
        <v>64</v>
      </c>
      <c r="AK755" s="79">
        <v>984</v>
      </c>
      <c r="AL755" s="79">
        <v>0</v>
      </c>
      <c r="AM755" s="79" t="s">
        <v>2092</v>
      </c>
      <c r="AN755" s="114" t="str">
        <f>HYPERLINK("https://www.youtube.com/watch?v=grU6Jflkcn4")</f>
        <v>https://www.youtube.com/watch?v=grU6Jflkcn4</v>
      </c>
      <c r="AO755" s="78" t="str">
        <f>REPLACE(INDEX(GroupVertices[Group],MATCH(Vertices[[#This Row],[Vertex]],GroupVertices[Vertex],0)),1,1,"")</f>
        <v>ati Morton</v>
      </c>
      <c r="AP755" s="2"/>
      <c r="AQ755" s="3"/>
      <c r="AR755" s="3"/>
      <c r="AS755" s="3"/>
      <c r="AT755" s="3"/>
    </row>
    <row r="756" spans="1:46" ht="15">
      <c r="A756" s="64" t="s">
        <v>2511</v>
      </c>
      <c r="B756" s="65"/>
      <c r="C756" s="65"/>
      <c r="D756" s="66">
        <v>150</v>
      </c>
      <c r="E756" s="102">
        <v>97.85714285714286</v>
      </c>
      <c r="F756" s="98" t="str">
        <f>HYPERLINK("https://i.ytimg.com/vi/kt8NTPktMwQ/default.jpg")</f>
        <v>https://i.ytimg.com/vi/kt8NTPktMwQ/default.jpg</v>
      </c>
      <c r="G756" s="100"/>
      <c r="H756" s="69" t="s">
        <v>2984</v>
      </c>
      <c r="I756" s="70"/>
      <c r="J756" s="104" t="s">
        <v>159</v>
      </c>
      <c r="K756" s="69" t="s">
        <v>2984</v>
      </c>
      <c r="L756" s="105">
        <v>1</v>
      </c>
      <c r="M756" s="74">
        <v>8251.2451171875</v>
      </c>
      <c r="N756" s="74">
        <v>9769.7841796875</v>
      </c>
      <c r="O756" s="75"/>
      <c r="P756" s="76"/>
      <c r="Q756" s="76"/>
      <c r="R756" s="106"/>
      <c r="S756" s="48">
        <v>1</v>
      </c>
      <c r="T756" s="48">
        <v>0</v>
      </c>
      <c r="U756" s="49">
        <v>0</v>
      </c>
      <c r="V756" s="49">
        <v>0.176793</v>
      </c>
      <c r="W756" s="107"/>
      <c r="X756" s="50"/>
      <c r="Y756" s="50"/>
      <c r="Z756" s="49">
        <v>0</v>
      </c>
      <c r="AA756" s="71">
        <v>756</v>
      </c>
      <c r="AB756" s="71"/>
      <c r="AC756" s="72"/>
      <c r="AD756" s="79" t="s">
        <v>2984</v>
      </c>
      <c r="AE756" s="79" t="s">
        <v>3403</v>
      </c>
      <c r="AF756" s="79" t="s">
        <v>1468</v>
      </c>
      <c r="AG756" s="79" t="s">
        <v>1541</v>
      </c>
      <c r="AH756" s="79" t="s">
        <v>4353</v>
      </c>
      <c r="AI756" s="79">
        <v>40745</v>
      </c>
      <c r="AJ756" s="79">
        <v>364</v>
      </c>
      <c r="AK756" s="79">
        <v>3167</v>
      </c>
      <c r="AL756" s="79">
        <v>0</v>
      </c>
      <c r="AM756" s="79" t="s">
        <v>2092</v>
      </c>
      <c r="AN756" s="114" t="str">
        <f>HYPERLINK("https://www.youtube.com/watch?v=kt8NTPktMwQ")</f>
        <v>https://www.youtube.com/watch?v=kt8NTPktMwQ</v>
      </c>
      <c r="AO756" s="78" t="str">
        <f>REPLACE(INDEX(GroupVertices[Group],MATCH(Vertices[[#This Row],[Vertex]],GroupVertices[Vertex],0)),1,1,"")</f>
        <v>ati Morton</v>
      </c>
      <c r="AP756" s="2"/>
      <c r="AQ756" s="3"/>
      <c r="AR756" s="3"/>
      <c r="AS756" s="3"/>
      <c r="AT756" s="3"/>
    </row>
    <row r="757" spans="1:46" ht="15">
      <c r="A757" s="64" t="s">
        <v>2512</v>
      </c>
      <c r="B757" s="65"/>
      <c r="C757" s="65"/>
      <c r="D757" s="66">
        <v>150</v>
      </c>
      <c r="E757" s="102">
        <v>97.85714285714286</v>
      </c>
      <c r="F757" s="98" t="str">
        <f>HYPERLINK("https://i.ytimg.com/vi/p541zGLfhyQ/default.jpg")</f>
        <v>https://i.ytimg.com/vi/p541zGLfhyQ/default.jpg</v>
      </c>
      <c r="G757" s="100"/>
      <c r="H757" s="69" t="s">
        <v>2985</v>
      </c>
      <c r="I757" s="70"/>
      <c r="J757" s="104" t="s">
        <v>159</v>
      </c>
      <c r="K757" s="69" t="s">
        <v>2985</v>
      </c>
      <c r="L757" s="105">
        <v>1</v>
      </c>
      <c r="M757" s="74">
        <v>7881.3310546875</v>
      </c>
      <c r="N757" s="74">
        <v>9101.3525390625</v>
      </c>
      <c r="O757" s="75"/>
      <c r="P757" s="76"/>
      <c r="Q757" s="76"/>
      <c r="R757" s="106"/>
      <c r="S757" s="48">
        <v>1</v>
      </c>
      <c r="T757" s="48">
        <v>0</v>
      </c>
      <c r="U757" s="49">
        <v>0</v>
      </c>
      <c r="V757" s="49">
        <v>0.176793</v>
      </c>
      <c r="W757" s="107"/>
      <c r="X757" s="50"/>
      <c r="Y757" s="50"/>
      <c r="Z757" s="49">
        <v>0</v>
      </c>
      <c r="AA757" s="71">
        <v>757</v>
      </c>
      <c r="AB757" s="71"/>
      <c r="AC757" s="72"/>
      <c r="AD757" s="79" t="s">
        <v>2985</v>
      </c>
      <c r="AE757" s="79" t="s">
        <v>3404</v>
      </c>
      <c r="AF757" s="79" t="s">
        <v>3658</v>
      </c>
      <c r="AG757" s="79" t="s">
        <v>1541</v>
      </c>
      <c r="AH757" s="79" t="s">
        <v>4354</v>
      </c>
      <c r="AI757" s="79">
        <v>10851</v>
      </c>
      <c r="AJ757" s="79">
        <v>157</v>
      </c>
      <c r="AK757" s="79">
        <v>1051</v>
      </c>
      <c r="AL757" s="79">
        <v>0</v>
      </c>
      <c r="AM757" s="79" t="s">
        <v>2092</v>
      </c>
      <c r="AN757" s="114" t="str">
        <f>HYPERLINK("https://www.youtube.com/watch?v=p541zGLfhyQ")</f>
        <v>https://www.youtube.com/watch?v=p541zGLfhyQ</v>
      </c>
      <c r="AO757" s="78" t="str">
        <f>REPLACE(INDEX(GroupVertices[Group],MATCH(Vertices[[#This Row],[Vertex]],GroupVertices[Vertex],0)),1,1,"")</f>
        <v>ati Morton</v>
      </c>
      <c r="AP757" s="2"/>
      <c r="AQ757" s="3"/>
      <c r="AR757" s="3"/>
      <c r="AS757" s="3"/>
      <c r="AT757" s="3"/>
    </row>
    <row r="758" spans="1:46" ht="15">
      <c r="A758" s="64" t="s">
        <v>2513</v>
      </c>
      <c r="B758" s="65"/>
      <c r="C758" s="65"/>
      <c r="D758" s="66">
        <v>150</v>
      </c>
      <c r="E758" s="102">
        <v>97.85714285714286</v>
      </c>
      <c r="F758" s="98" t="str">
        <f>HYPERLINK("https://i.ytimg.com/vi/Ze6YB1gCDYQ/default.jpg")</f>
        <v>https://i.ytimg.com/vi/Ze6YB1gCDYQ/default.jpg</v>
      </c>
      <c r="G758" s="100"/>
      <c r="H758" s="69" t="s">
        <v>2986</v>
      </c>
      <c r="I758" s="70"/>
      <c r="J758" s="104" t="s">
        <v>159</v>
      </c>
      <c r="K758" s="69" t="s">
        <v>2986</v>
      </c>
      <c r="L758" s="105">
        <v>1</v>
      </c>
      <c r="M758" s="74">
        <v>8796.9580078125</v>
      </c>
      <c r="N758" s="74">
        <v>8480.572265625</v>
      </c>
      <c r="O758" s="75"/>
      <c r="P758" s="76"/>
      <c r="Q758" s="76"/>
      <c r="R758" s="106"/>
      <c r="S758" s="48">
        <v>1</v>
      </c>
      <c r="T758" s="48">
        <v>0</v>
      </c>
      <c r="U758" s="49">
        <v>0</v>
      </c>
      <c r="V758" s="49">
        <v>0.176793</v>
      </c>
      <c r="W758" s="107"/>
      <c r="X758" s="50"/>
      <c r="Y758" s="50"/>
      <c r="Z758" s="49">
        <v>0</v>
      </c>
      <c r="AA758" s="71">
        <v>758</v>
      </c>
      <c r="AB758" s="71"/>
      <c r="AC758" s="72"/>
      <c r="AD758" s="79" t="s">
        <v>2986</v>
      </c>
      <c r="AE758" s="79" t="s">
        <v>3405</v>
      </c>
      <c r="AF758" s="79" t="s">
        <v>3659</v>
      </c>
      <c r="AG758" s="79" t="s">
        <v>1541</v>
      </c>
      <c r="AH758" s="79" t="s">
        <v>4355</v>
      </c>
      <c r="AI758" s="79">
        <v>133883</v>
      </c>
      <c r="AJ758" s="79">
        <v>681</v>
      </c>
      <c r="AK758" s="79">
        <v>5419</v>
      </c>
      <c r="AL758" s="79">
        <v>0</v>
      </c>
      <c r="AM758" s="79" t="s">
        <v>2092</v>
      </c>
      <c r="AN758" s="114" t="str">
        <f>HYPERLINK("https://www.youtube.com/watch?v=Ze6YB1gCDYQ")</f>
        <v>https://www.youtube.com/watch?v=Ze6YB1gCDYQ</v>
      </c>
      <c r="AO758" s="78" t="str">
        <f>REPLACE(INDEX(GroupVertices[Group],MATCH(Vertices[[#This Row],[Vertex]],GroupVertices[Vertex],0)),1,1,"")</f>
        <v>ati Morton</v>
      </c>
      <c r="AP758" s="2"/>
      <c r="AQ758" s="3"/>
      <c r="AR758" s="3"/>
      <c r="AS758" s="3"/>
      <c r="AT758" s="3"/>
    </row>
    <row r="759" spans="1:46" ht="15">
      <c r="A759" s="64" t="s">
        <v>285</v>
      </c>
      <c r="B759" s="65"/>
      <c r="C759" s="65"/>
      <c r="D759" s="66">
        <v>150</v>
      </c>
      <c r="E759" s="102">
        <v>97.85714285714286</v>
      </c>
      <c r="F759" s="98" t="str">
        <f>HYPERLINK("https://i.ytimg.com/vi/QiCQxKHYv6Q/default.jpg")</f>
        <v>https://i.ytimg.com/vi/QiCQxKHYv6Q/default.jpg</v>
      </c>
      <c r="G759" s="100"/>
      <c r="H759" s="69" t="s">
        <v>658</v>
      </c>
      <c r="I759" s="70"/>
      <c r="J759" s="104" t="s">
        <v>159</v>
      </c>
      <c r="K759" s="69" t="s">
        <v>658</v>
      </c>
      <c r="L759" s="105">
        <v>1</v>
      </c>
      <c r="M759" s="74">
        <v>8099.35009765625</v>
      </c>
      <c r="N759" s="74">
        <v>8845.0869140625</v>
      </c>
      <c r="O759" s="75"/>
      <c r="P759" s="76"/>
      <c r="Q759" s="76"/>
      <c r="R759" s="106"/>
      <c r="S759" s="48">
        <v>1</v>
      </c>
      <c r="T759" s="48">
        <v>0</v>
      </c>
      <c r="U759" s="49">
        <v>0</v>
      </c>
      <c r="V759" s="49">
        <v>0.176793</v>
      </c>
      <c r="W759" s="107"/>
      <c r="X759" s="50"/>
      <c r="Y759" s="50"/>
      <c r="Z759" s="49">
        <v>0</v>
      </c>
      <c r="AA759" s="71">
        <v>759</v>
      </c>
      <c r="AB759" s="71"/>
      <c r="AC759" s="72"/>
      <c r="AD759" s="79" t="s">
        <v>658</v>
      </c>
      <c r="AE759" s="79" t="s">
        <v>1068</v>
      </c>
      <c r="AF759" s="79" t="s">
        <v>1331</v>
      </c>
      <c r="AG759" s="79" t="s">
        <v>1541</v>
      </c>
      <c r="AH759" s="79" t="s">
        <v>1731</v>
      </c>
      <c r="AI759" s="79">
        <v>248534</v>
      </c>
      <c r="AJ759" s="79">
        <v>1000</v>
      </c>
      <c r="AK759" s="79">
        <v>5768</v>
      </c>
      <c r="AL759" s="79">
        <v>0</v>
      </c>
      <c r="AM759" s="79" t="s">
        <v>2092</v>
      </c>
      <c r="AN759" s="114" t="str">
        <f>HYPERLINK("https://www.youtube.com/watch?v=QiCQxKHYv6Q")</f>
        <v>https://www.youtube.com/watch?v=QiCQxKHYv6Q</v>
      </c>
      <c r="AO759" s="78" t="str">
        <f>REPLACE(INDEX(GroupVertices[Group],MATCH(Vertices[[#This Row],[Vertex]],GroupVertices[Vertex],0)),1,1,"")</f>
        <v>ati Morton</v>
      </c>
      <c r="AP759" s="2"/>
      <c r="AQ759" s="3"/>
      <c r="AR759" s="3"/>
      <c r="AS759" s="3"/>
      <c r="AT759" s="3"/>
    </row>
    <row r="760" spans="1:46" ht="15">
      <c r="A760" s="64" t="s">
        <v>2514</v>
      </c>
      <c r="B760" s="65"/>
      <c r="C760" s="65"/>
      <c r="D760" s="66">
        <v>150</v>
      </c>
      <c r="E760" s="102">
        <v>97.85714285714286</v>
      </c>
      <c r="F760" s="98" t="str">
        <f>HYPERLINK("https://i.ytimg.com/vi/7PGoYtQmECE/default.jpg")</f>
        <v>https://i.ytimg.com/vi/7PGoYtQmECE/default.jpg</v>
      </c>
      <c r="G760" s="100"/>
      <c r="H760" s="69" t="s">
        <v>2987</v>
      </c>
      <c r="I760" s="70"/>
      <c r="J760" s="104" t="s">
        <v>159</v>
      </c>
      <c r="K760" s="69" t="s">
        <v>2987</v>
      </c>
      <c r="L760" s="105">
        <v>1</v>
      </c>
      <c r="M760" s="74">
        <v>666.3820190429688</v>
      </c>
      <c r="N760" s="74">
        <v>8623.751953125</v>
      </c>
      <c r="O760" s="75"/>
      <c r="P760" s="76"/>
      <c r="Q760" s="76"/>
      <c r="R760" s="106"/>
      <c r="S760" s="48">
        <v>1</v>
      </c>
      <c r="T760" s="48">
        <v>0</v>
      </c>
      <c r="U760" s="49">
        <v>0</v>
      </c>
      <c r="V760" s="49">
        <v>0.18166</v>
      </c>
      <c r="W760" s="107"/>
      <c r="X760" s="50"/>
      <c r="Y760" s="50"/>
      <c r="Z760" s="49">
        <v>0</v>
      </c>
      <c r="AA760" s="71">
        <v>760</v>
      </c>
      <c r="AB760" s="71"/>
      <c r="AC760" s="72"/>
      <c r="AD760" s="79" t="s">
        <v>2987</v>
      </c>
      <c r="AE760" s="79" t="s">
        <v>3407</v>
      </c>
      <c r="AF760" s="79"/>
      <c r="AG760" s="79" t="s">
        <v>3923</v>
      </c>
      <c r="AH760" s="79" t="s">
        <v>4356</v>
      </c>
      <c r="AI760" s="79">
        <v>112</v>
      </c>
      <c r="AJ760" s="79">
        <v>0</v>
      </c>
      <c r="AK760" s="79">
        <v>4</v>
      </c>
      <c r="AL760" s="79">
        <v>0</v>
      </c>
      <c r="AM760" s="79" t="s">
        <v>2092</v>
      </c>
      <c r="AN760" s="114" t="str">
        <f>HYPERLINK("https://www.youtube.com/watch?v=7PGoYtQmECE")</f>
        <v>https://www.youtube.com/watch?v=7PGoYtQmECE</v>
      </c>
      <c r="AO760" s="78" t="str">
        <f>REPLACE(INDEX(GroupVertices[Group],MATCH(Vertices[[#This Row],[Vertex]],GroupVertices[Vertex],0)),1,1,"")</f>
        <v>ylie Nelson-Marois</v>
      </c>
      <c r="AP760" s="2"/>
      <c r="AQ760" s="3"/>
      <c r="AR760" s="3"/>
      <c r="AS760" s="3"/>
      <c r="AT760" s="3"/>
    </row>
    <row r="761" spans="1:46" ht="15">
      <c r="A761" s="64" t="s">
        <v>2515</v>
      </c>
      <c r="B761" s="65"/>
      <c r="C761" s="65"/>
      <c r="D761" s="66">
        <v>150</v>
      </c>
      <c r="E761" s="102">
        <v>97.85714285714286</v>
      </c>
      <c r="F761" s="98" t="str">
        <f>HYPERLINK("https://i.ytimg.com/vi/gNNYLS3myyk/default.jpg")</f>
        <v>https://i.ytimg.com/vi/gNNYLS3myyk/default.jpg</v>
      </c>
      <c r="G761" s="100"/>
      <c r="H761" s="69" t="s">
        <v>2988</v>
      </c>
      <c r="I761" s="70"/>
      <c r="J761" s="104" t="s">
        <v>159</v>
      </c>
      <c r="K761" s="69" t="s">
        <v>2988</v>
      </c>
      <c r="L761" s="105">
        <v>1</v>
      </c>
      <c r="M761" s="74">
        <v>504.65301513671875</v>
      </c>
      <c r="N761" s="74">
        <v>6775.5419921875</v>
      </c>
      <c r="O761" s="75"/>
      <c r="P761" s="76"/>
      <c r="Q761" s="76"/>
      <c r="R761" s="106"/>
      <c r="S761" s="48">
        <v>1</v>
      </c>
      <c r="T761" s="48">
        <v>0</v>
      </c>
      <c r="U761" s="49">
        <v>0</v>
      </c>
      <c r="V761" s="49">
        <v>0.18166</v>
      </c>
      <c r="W761" s="107"/>
      <c r="X761" s="50"/>
      <c r="Y761" s="50"/>
      <c r="Z761" s="49">
        <v>0</v>
      </c>
      <c r="AA761" s="71">
        <v>761</v>
      </c>
      <c r="AB761" s="71"/>
      <c r="AC761" s="72"/>
      <c r="AD761" s="79" t="s">
        <v>2988</v>
      </c>
      <c r="AE761" s="79"/>
      <c r="AF761" s="79"/>
      <c r="AG761" s="79" t="s">
        <v>3924</v>
      </c>
      <c r="AH761" s="79" t="s">
        <v>4357</v>
      </c>
      <c r="AI761" s="79">
        <v>393</v>
      </c>
      <c r="AJ761" s="79">
        <v>0</v>
      </c>
      <c r="AK761" s="79">
        <v>0</v>
      </c>
      <c r="AL761" s="79">
        <v>0</v>
      </c>
      <c r="AM761" s="79" t="s">
        <v>2092</v>
      </c>
      <c r="AN761" s="114" t="str">
        <f>HYPERLINK("https://www.youtube.com/watch?v=gNNYLS3myyk")</f>
        <v>https://www.youtube.com/watch?v=gNNYLS3myyk</v>
      </c>
      <c r="AO761" s="78" t="str">
        <f>REPLACE(INDEX(GroupVertices[Group],MATCH(Vertices[[#This Row],[Vertex]],GroupVertices[Vertex],0)),1,1,"")</f>
        <v>ndigenous Health</v>
      </c>
      <c r="AP761" s="2"/>
      <c r="AQ761" s="3"/>
      <c r="AR761" s="3"/>
      <c r="AS761" s="3"/>
      <c r="AT761" s="3"/>
    </row>
    <row r="762" spans="1:46" ht="15">
      <c r="A762" s="64" t="s">
        <v>2516</v>
      </c>
      <c r="B762" s="65"/>
      <c r="C762" s="65"/>
      <c r="D762" s="66">
        <v>150</v>
      </c>
      <c r="E762" s="102">
        <v>97.85714285714286</v>
      </c>
      <c r="F762" s="98" t="str">
        <f>HYPERLINK("https://i.ytimg.com/vi/8Z1eIr8JS7Q/default.jpg")</f>
        <v>https://i.ytimg.com/vi/8Z1eIr8JS7Q/default.jpg</v>
      </c>
      <c r="G762" s="100"/>
      <c r="H762" s="69" t="s">
        <v>2989</v>
      </c>
      <c r="I762" s="70"/>
      <c r="J762" s="104" t="s">
        <v>159</v>
      </c>
      <c r="K762" s="69" t="s">
        <v>2989</v>
      </c>
      <c r="L762" s="105">
        <v>1</v>
      </c>
      <c r="M762" s="74">
        <v>496.3022766113281</v>
      </c>
      <c r="N762" s="74">
        <v>7280.38916015625</v>
      </c>
      <c r="O762" s="75"/>
      <c r="P762" s="76"/>
      <c r="Q762" s="76"/>
      <c r="R762" s="106"/>
      <c r="S762" s="48">
        <v>1</v>
      </c>
      <c r="T762" s="48">
        <v>0</v>
      </c>
      <c r="U762" s="49">
        <v>0</v>
      </c>
      <c r="V762" s="49">
        <v>0.18166</v>
      </c>
      <c r="W762" s="107"/>
      <c r="X762" s="50"/>
      <c r="Y762" s="50"/>
      <c r="Z762" s="49">
        <v>0</v>
      </c>
      <c r="AA762" s="71">
        <v>762</v>
      </c>
      <c r="AB762" s="71"/>
      <c r="AC762" s="72"/>
      <c r="AD762" s="79" t="s">
        <v>2989</v>
      </c>
      <c r="AE762" s="79" t="s">
        <v>3408</v>
      </c>
      <c r="AF762" s="79"/>
      <c r="AG762" s="79" t="s">
        <v>3925</v>
      </c>
      <c r="AH762" s="79" t="s">
        <v>4358</v>
      </c>
      <c r="AI762" s="79">
        <v>9</v>
      </c>
      <c r="AJ762" s="79">
        <v>0</v>
      </c>
      <c r="AK762" s="79">
        <v>0</v>
      </c>
      <c r="AL762" s="79">
        <v>0</v>
      </c>
      <c r="AM762" s="79" t="s">
        <v>2092</v>
      </c>
      <c r="AN762" s="114" t="str">
        <f>HYPERLINK("https://www.youtube.com/watch?v=8Z1eIr8JS7Q")</f>
        <v>https://www.youtube.com/watch?v=8Z1eIr8JS7Q</v>
      </c>
      <c r="AO762" s="78" t="str">
        <f>REPLACE(INDEX(GroupVertices[Group],MATCH(Vertices[[#This Row],[Vertex]],GroupVertices[Vertex],0)),1,1,"")</f>
        <v>TchannelYT</v>
      </c>
      <c r="AP762" s="2"/>
      <c r="AQ762" s="3"/>
      <c r="AR762" s="3"/>
      <c r="AS762" s="3"/>
      <c r="AT762" s="3"/>
    </row>
    <row r="763" spans="1:46" ht="15">
      <c r="A763" s="64" t="s">
        <v>2517</v>
      </c>
      <c r="B763" s="65"/>
      <c r="C763" s="65"/>
      <c r="D763" s="66">
        <v>150</v>
      </c>
      <c r="E763" s="102">
        <v>97.85714285714286</v>
      </c>
      <c r="F763" s="98" t="str">
        <f>HYPERLINK("https://i.ytimg.com/vi/Qsp1xxg-qpI/default.jpg")</f>
        <v>https://i.ytimg.com/vi/Qsp1xxg-qpI/default.jpg</v>
      </c>
      <c r="G763" s="100"/>
      <c r="H763" s="69" t="s">
        <v>2990</v>
      </c>
      <c r="I763" s="70"/>
      <c r="J763" s="104" t="s">
        <v>159</v>
      </c>
      <c r="K763" s="69" t="s">
        <v>2990</v>
      </c>
      <c r="L763" s="105">
        <v>1</v>
      </c>
      <c r="M763" s="74">
        <v>298.13214111328125</v>
      </c>
      <c r="N763" s="74">
        <v>7153.3876953125</v>
      </c>
      <c r="O763" s="75"/>
      <c r="P763" s="76"/>
      <c r="Q763" s="76"/>
      <c r="R763" s="106"/>
      <c r="S763" s="48">
        <v>1</v>
      </c>
      <c r="T763" s="48">
        <v>0</v>
      </c>
      <c r="U763" s="49">
        <v>0</v>
      </c>
      <c r="V763" s="49">
        <v>0.18166</v>
      </c>
      <c r="W763" s="107"/>
      <c r="X763" s="50"/>
      <c r="Y763" s="50"/>
      <c r="Z763" s="49">
        <v>0</v>
      </c>
      <c r="AA763" s="71">
        <v>763</v>
      </c>
      <c r="AB763" s="71"/>
      <c r="AC763" s="72"/>
      <c r="AD763" s="79" t="s">
        <v>2990</v>
      </c>
      <c r="AE763" s="79"/>
      <c r="AF763" s="79"/>
      <c r="AG763" s="79" t="s">
        <v>3926</v>
      </c>
      <c r="AH763" s="79" t="s">
        <v>4359</v>
      </c>
      <c r="AI763" s="79">
        <v>50</v>
      </c>
      <c r="AJ763" s="79">
        <v>0</v>
      </c>
      <c r="AK763" s="79">
        <v>0</v>
      </c>
      <c r="AL763" s="79">
        <v>0</v>
      </c>
      <c r="AM763" s="79" t="s">
        <v>2092</v>
      </c>
      <c r="AN763" s="114" t="str">
        <f>HYPERLINK("https://www.youtube.com/watch?v=Qsp1xxg-qpI")</f>
        <v>https://www.youtube.com/watch?v=Qsp1xxg-qpI</v>
      </c>
      <c r="AO763" s="78" t="str">
        <f>REPLACE(INDEX(GroupVertices[Group],MATCH(Vertices[[#This Row],[Vertex]],GroupVertices[Vertex],0)),1,1,"")</f>
        <v>ughes' Views</v>
      </c>
      <c r="AP763" s="2"/>
      <c r="AQ763" s="3"/>
      <c r="AR763" s="3"/>
      <c r="AS763" s="3"/>
      <c r="AT763" s="3"/>
    </row>
    <row r="764" spans="1:46" ht="15">
      <c r="A764" s="64" t="s">
        <v>2518</v>
      </c>
      <c r="B764" s="65"/>
      <c r="C764" s="65"/>
      <c r="D764" s="66">
        <v>150</v>
      </c>
      <c r="E764" s="102">
        <v>97.85714285714286</v>
      </c>
      <c r="F764" s="98" t="str">
        <f>HYPERLINK("https://i.ytimg.com/vi/0ULm1_OdfXI/default.jpg")</f>
        <v>https://i.ytimg.com/vi/0ULm1_OdfXI/default.jpg</v>
      </c>
      <c r="G764" s="100"/>
      <c r="H764" s="69" t="s">
        <v>2991</v>
      </c>
      <c r="I764" s="70"/>
      <c r="J764" s="104" t="s">
        <v>159</v>
      </c>
      <c r="K764" s="69" t="s">
        <v>2991</v>
      </c>
      <c r="L764" s="105">
        <v>1</v>
      </c>
      <c r="M764" s="74">
        <v>785.4193725585938</v>
      </c>
      <c r="N764" s="74">
        <v>8981.1220703125</v>
      </c>
      <c r="O764" s="75"/>
      <c r="P764" s="76"/>
      <c r="Q764" s="76"/>
      <c r="R764" s="106"/>
      <c r="S764" s="48">
        <v>1</v>
      </c>
      <c r="T764" s="48">
        <v>0</v>
      </c>
      <c r="U764" s="49">
        <v>0</v>
      </c>
      <c r="V764" s="49">
        <v>0.18166</v>
      </c>
      <c r="W764" s="107"/>
      <c r="X764" s="50"/>
      <c r="Y764" s="50"/>
      <c r="Z764" s="49">
        <v>0</v>
      </c>
      <c r="AA764" s="71">
        <v>764</v>
      </c>
      <c r="AB764" s="71"/>
      <c r="AC764" s="72"/>
      <c r="AD764" s="79" t="s">
        <v>2991</v>
      </c>
      <c r="AE764" s="79" t="s">
        <v>3409</v>
      </c>
      <c r="AF764" s="79" t="s">
        <v>3660</v>
      </c>
      <c r="AG764" s="79" t="s">
        <v>3927</v>
      </c>
      <c r="AH764" s="79" t="s">
        <v>4360</v>
      </c>
      <c r="AI764" s="79">
        <v>15</v>
      </c>
      <c r="AJ764" s="79">
        <v>0</v>
      </c>
      <c r="AK764" s="79">
        <v>1</v>
      </c>
      <c r="AL764" s="79">
        <v>0</v>
      </c>
      <c r="AM764" s="79" t="s">
        <v>2092</v>
      </c>
      <c r="AN764" s="114" t="str">
        <f>HYPERLINK("https://www.youtube.com/watch?v=0ULm1_OdfXI")</f>
        <v>https://www.youtube.com/watch?v=0ULm1_OdfXI</v>
      </c>
      <c r="AO764" s="78" t="str">
        <f>REPLACE(INDEX(GroupVertices[Group],MATCH(Vertices[[#This Row],[Vertex]],GroupVertices[Vertex],0)),1,1,"")</f>
        <v>nri Marini</v>
      </c>
      <c r="AP764" s="2"/>
      <c r="AQ764" s="3"/>
      <c r="AR764" s="3"/>
      <c r="AS764" s="3"/>
      <c r="AT764" s="3"/>
    </row>
    <row r="765" spans="1:46" ht="15">
      <c r="A765" s="64" t="s">
        <v>2519</v>
      </c>
      <c r="B765" s="65"/>
      <c r="C765" s="65"/>
      <c r="D765" s="66">
        <v>150</v>
      </c>
      <c r="E765" s="102">
        <v>97.85714285714286</v>
      </c>
      <c r="F765" s="98" t="str">
        <f>HYPERLINK("https://i.ytimg.com/vi/vsdUdfWjgo4/default.jpg")</f>
        <v>https://i.ytimg.com/vi/vsdUdfWjgo4/default.jpg</v>
      </c>
      <c r="G765" s="100"/>
      <c r="H765" s="69" t="s">
        <v>2992</v>
      </c>
      <c r="I765" s="70"/>
      <c r="J765" s="104" t="s">
        <v>159</v>
      </c>
      <c r="K765" s="69" t="s">
        <v>2992</v>
      </c>
      <c r="L765" s="105">
        <v>1</v>
      </c>
      <c r="M765" s="74">
        <v>663.2400512695312</v>
      </c>
      <c r="N765" s="74">
        <v>7523.33984375</v>
      </c>
      <c r="O765" s="75"/>
      <c r="P765" s="76"/>
      <c r="Q765" s="76"/>
      <c r="R765" s="106"/>
      <c r="S765" s="48">
        <v>1</v>
      </c>
      <c r="T765" s="48">
        <v>0</v>
      </c>
      <c r="U765" s="49">
        <v>0</v>
      </c>
      <c r="V765" s="49">
        <v>0.18166</v>
      </c>
      <c r="W765" s="107"/>
      <c r="X765" s="50"/>
      <c r="Y765" s="50"/>
      <c r="Z765" s="49">
        <v>0</v>
      </c>
      <c r="AA765" s="71">
        <v>765</v>
      </c>
      <c r="AB765" s="71"/>
      <c r="AC765" s="72"/>
      <c r="AD765" s="79" t="s">
        <v>2992</v>
      </c>
      <c r="AE765" s="79"/>
      <c r="AF765" s="79"/>
      <c r="AG765" s="79" t="s">
        <v>3928</v>
      </c>
      <c r="AH765" s="79" t="s">
        <v>4361</v>
      </c>
      <c r="AI765" s="79">
        <v>147</v>
      </c>
      <c r="AJ765" s="79">
        <v>0</v>
      </c>
      <c r="AK765" s="79">
        <v>0</v>
      </c>
      <c r="AL765" s="79">
        <v>0</v>
      </c>
      <c r="AM765" s="79" t="s">
        <v>2092</v>
      </c>
      <c r="AN765" s="114" t="str">
        <f>HYPERLINK("https://www.youtube.com/watch?v=vsdUdfWjgo4")</f>
        <v>https://www.youtube.com/watch?v=vsdUdfWjgo4</v>
      </c>
      <c r="AO765" s="78" t="str">
        <f>REPLACE(INDEX(GroupVertices[Group],MATCH(Vertices[[#This Row],[Vertex]],GroupVertices[Vertex],0)),1,1,"")</f>
        <v>iME - This is My Earth</v>
      </c>
      <c r="AP765" s="2"/>
      <c r="AQ765" s="3"/>
      <c r="AR765" s="3"/>
      <c r="AS765" s="3"/>
      <c r="AT765" s="3"/>
    </row>
    <row r="766" spans="1:46" ht="15">
      <c r="A766" s="64" t="s">
        <v>2520</v>
      </c>
      <c r="B766" s="65"/>
      <c r="C766" s="65"/>
      <c r="D766" s="66">
        <v>150</v>
      </c>
      <c r="E766" s="102">
        <v>97.85714285714286</v>
      </c>
      <c r="F766" s="98" t="str">
        <f>HYPERLINK("https://i.ytimg.com/vi/-wyZFIwKWFs/default.jpg")</f>
        <v>https://i.ytimg.com/vi/-wyZFIwKWFs/default.jpg</v>
      </c>
      <c r="G766" s="100"/>
      <c r="H766" s="69" t="s">
        <v>2993</v>
      </c>
      <c r="I766" s="70"/>
      <c r="J766" s="104" t="s">
        <v>159</v>
      </c>
      <c r="K766" s="69" t="s">
        <v>2993</v>
      </c>
      <c r="L766" s="105">
        <v>1</v>
      </c>
      <c r="M766" s="74">
        <v>914.703369140625</v>
      </c>
      <c r="N766" s="74">
        <v>9252.1767578125</v>
      </c>
      <c r="O766" s="75"/>
      <c r="P766" s="76"/>
      <c r="Q766" s="76"/>
      <c r="R766" s="106"/>
      <c r="S766" s="48">
        <v>1</v>
      </c>
      <c r="T766" s="48">
        <v>0</v>
      </c>
      <c r="U766" s="49">
        <v>0</v>
      </c>
      <c r="V766" s="49">
        <v>0.18166</v>
      </c>
      <c r="W766" s="107"/>
      <c r="X766" s="50"/>
      <c r="Y766" s="50"/>
      <c r="Z766" s="49">
        <v>0</v>
      </c>
      <c r="AA766" s="71">
        <v>766</v>
      </c>
      <c r="AB766" s="71"/>
      <c r="AC766" s="72"/>
      <c r="AD766" s="79" t="s">
        <v>2993</v>
      </c>
      <c r="AE766" s="79" t="s">
        <v>3410</v>
      </c>
      <c r="AF766" s="79" t="s">
        <v>3661</v>
      </c>
      <c r="AG766" s="79" t="s">
        <v>3929</v>
      </c>
      <c r="AH766" s="79" t="s">
        <v>4362</v>
      </c>
      <c r="AI766" s="79">
        <v>49</v>
      </c>
      <c r="AJ766" s="79">
        <v>0</v>
      </c>
      <c r="AK766" s="79">
        <v>3</v>
      </c>
      <c r="AL766" s="79">
        <v>0</v>
      </c>
      <c r="AM766" s="79" t="s">
        <v>2092</v>
      </c>
      <c r="AN766" s="114" t="str">
        <f>HYPERLINK("https://www.youtube.com/watch?v=-wyZFIwKWFs")</f>
        <v>https://www.youtube.com/watch?v=-wyZFIwKWFs</v>
      </c>
      <c r="AO766" s="78" t="str">
        <f>REPLACE(INDEX(GroupVertices[Group],MATCH(Vertices[[#This Row],[Vertex]],GroupVertices[Vertex],0)),1,1,"")</f>
        <v>HP: Mental Health Peace</v>
      </c>
      <c r="AP766" s="2"/>
      <c r="AQ766" s="3"/>
      <c r="AR766" s="3"/>
      <c r="AS766" s="3"/>
      <c r="AT766" s="3"/>
    </row>
    <row r="767" spans="1:46" ht="15">
      <c r="A767" s="64" t="s">
        <v>2521</v>
      </c>
      <c r="B767" s="65"/>
      <c r="C767" s="65"/>
      <c r="D767" s="66">
        <v>150</v>
      </c>
      <c r="E767" s="102">
        <v>97.85714285714286</v>
      </c>
      <c r="F767" s="98" t="str">
        <f>HYPERLINK("https://i.ytimg.com/vi/DGx7QzSo2a4/default.jpg")</f>
        <v>https://i.ytimg.com/vi/DGx7QzSo2a4/default.jpg</v>
      </c>
      <c r="G767" s="100"/>
      <c r="H767" s="69" t="s">
        <v>2994</v>
      </c>
      <c r="I767" s="70"/>
      <c r="J767" s="104" t="s">
        <v>159</v>
      </c>
      <c r="K767" s="69" t="s">
        <v>2994</v>
      </c>
      <c r="L767" s="105">
        <v>1</v>
      </c>
      <c r="M767" s="74">
        <v>1036.2701416015625</v>
      </c>
      <c r="N767" s="74">
        <v>9806.158203125</v>
      </c>
      <c r="O767" s="75"/>
      <c r="P767" s="76"/>
      <c r="Q767" s="76"/>
      <c r="R767" s="106"/>
      <c r="S767" s="48">
        <v>1</v>
      </c>
      <c r="T767" s="48">
        <v>0</v>
      </c>
      <c r="U767" s="49">
        <v>0</v>
      </c>
      <c r="V767" s="49">
        <v>0.18166</v>
      </c>
      <c r="W767" s="107"/>
      <c r="X767" s="50"/>
      <c r="Y767" s="50"/>
      <c r="Z767" s="49">
        <v>0</v>
      </c>
      <c r="AA767" s="71">
        <v>767</v>
      </c>
      <c r="AB767" s="71"/>
      <c r="AC767" s="72"/>
      <c r="AD767" s="79" t="s">
        <v>2994</v>
      </c>
      <c r="AE767" s="79"/>
      <c r="AF767" s="79"/>
      <c r="AG767" s="79" t="s">
        <v>3930</v>
      </c>
      <c r="AH767" s="79" t="s">
        <v>4363</v>
      </c>
      <c r="AI767" s="79">
        <v>3</v>
      </c>
      <c r="AJ767" s="79">
        <v>0</v>
      </c>
      <c r="AK767" s="79">
        <v>0</v>
      </c>
      <c r="AL767" s="79">
        <v>0</v>
      </c>
      <c r="AM767" s="79" t="s">
        <v>2092</v>
      </c>
      <c r="AN767" s="114" t="str">
        <f>HYPERLINK("https://www.youtube.com/watch?v=DGx7QzSo2a4")</f>
        <v>https://www.youtube.com/watch?v=DGx7QzSo2a4</v>
      </c>
      <c r="AO767" s="78" t="str">
        <f>REPLACE(INDEX(GroupVertices[Group],MATCH(Vertices[[#This Row],[Vertex]],GroupVertices[Vertex],0)),1,1,"")</f>
        <v>erri Bowser</v>
      </c>
      <c r="AP767" s="2"/>
      <c r="AQ767" s="3"/>
      <c r="AR767" s="3"/>
      <c r="AS767" s="3"/>
      <c r="AT767" s="3"/>
    </row>
    <row r="768" spans="1:46" ht="15">
      <c r="A768" s="64" t="s">
        <v>2522</v>
      </c>
      <c r="B768" s="65"/>
      <c r="C768" s="65"/>
      <c r="D768" s="66">
        <v>150</v>
      </c>
      <c r="E768" s="102">
        <v>97.85714285714286</v>
      </c>
      <c r="F768" s="98" t="str">
        <f>HYPERLINK("https://i.ytimg.com/vi/J4WMXJHWbzw/default.jpg")</f>
        <v>https://i.ytimg.com/vi/J4WMXJHWbzw/default.jpg</v>
      </c>
      <c r="G768" s="100"/>
      <c r="H768" s="69" t="s">
        <v>2995</v>
      </c>
      <c r="I768" s="70"/>
      <c r="J768" s="104" t="s">
        <v>159</v>
      </c>
      <c r="K768" s="69" t="s">
        <v>2995</v>
      </c>
      <c r="L768" s="105">
        <v>1</v>
      </c>
      <c r="M768" s="74">
        <v>632.9236450195312</v>
      </c>
      <c r="N768" s="74">
        <v>6952.2001953125</v>
      </c>
      <c r="O768" s="75"/>
      <c r="P768" s="76"/>
      <c r="Q768" s="76"/>
      <c r="R768" s="106"/>
      <c r="S768" s="48">
        <v>1</v>
      </c>
      <c r="T768" s="48">
        <v>0</v>
      </c>
      <c r="U768" s="49">
        <v>0</v>
      </c>
      <c r="V768" s="49">
        <v>0.18166</v>
      </c>
      <c r="W768" s="107"/>
      <c r="X768" s="50"/>
      <c r="Y768" s="50"/>
      <c r="Z768" s="49">
        <v>0</v>
      </c>
      <c r="AA768" s="71">
        <v>768</v>
      </c>
      <c r="AB768" s="71"/>
      <c r="AC768" s="72"/>
      <c r="AD768" s="79" t="s">
        <v>2995</v>
      </c>
      <c r="AE768" s="79" t="s">
        <v>3411</v>
      </c>
      <c r="AF768" s="79"/>
      <c r="AG768" s="79" t="s">
        <v>3931</v>
      </c>
      <c r="AH768" s="79" t="s">
        <v>4364</v>
      </c>
      <c r="AI768" s="79">
        <v>9</v>
      </c>
      <c r="AJ768" s="79">
        <v>0</v>
      </c>
      <c r="AK768" s="79">
        <v>1</v>
      </c>
      <c r="AL768" s="79">
        <v>0</v>
      </c>
      <c r="AM768" s="79" t="s">
        <v>2092</v>
      </c>
      <c r="AN768" s="114" t="str">
        <f>HYPERLINK("https://www.youtube.com/watch?v=J4WMXJHWbzw")</f>
        <v>https://www.youtube.com/watch?v=J4WMXJHWbzw</v>
      </c>
      <c r="AO768" s="78" t="str">
        <f>REPLACE(INDEX(GroupVertices[Group],MATCH(Vertices[[#This Row],[Vertex]],GroupVertices[Vertex],0)),1,1,"")</f>
        <v>ising Phoenix Mental Health</v>
      </c>
      <c r="AP768" s="2"/>
      <c r="AQ768" s="3"/>
      <c r="AR768" s="3"/>
      <c r="AS768" s="3"/>
      <c r="AT768" s="3"/>
    </row>
    <row r="769" spans="1:46" ht="15">
      <c r="A769" s="64" t="s">
        <v>2523</v>
      </c>
      <c r="B769" s="65"/>
      <c r="C769" s="65"/>
      <c r="D769" s="66">
        <v>150</v>
      </c>
      <c r="E769" s="102">
        <v>97.85714285714286</v>
      </c>
      <c r="F769" s="98" t="str">
        <f>HYPERLINK("https://i.ytimg.com/vi/6tmYtU327N8/default_live.jpg")</f>
        <v>https://i.ytimg.com/vi/6tmYtU327N8/default_live.jpg</v>
      </c>
      <c r="G769" s="100"/>
      <c r="H769" s="69" t="s">
        <v>2996</v>
      </c>
      <c r="I769" s="70"/>
      <c r="J769" s="104" t="s">
        <v>159</v>
      </c>
      <c r="K769" s="69" t="s">
        <v>2996</v>
      </c>
      <c r="L769" s="105">
        <v>1</v>
      </c>
      <c r="M769" s="74">
        <v>133.8554229736328</v>
      </c>
      <c r="N769" s="74">
        <v>8084.8818359375</v>
      </c>
      <c r="O769" s="75"/>
      <c r="P769" s="76"/>
      <c r="Q769" s="76"/>
      <c r="R769" s="106"/>
      <c r="S769" s="48">
        <v>1</v>
      </c>
      <c r="T769" s="48">
        <v>0</v>
      </c>
      <c r="U769" s="49">
        <v>0</v>
      </c>
      <c r="V769" s="49">
        <v>0.18166</v>
      </c>
      <c r="W769" s="107"/>
      <c r="X769" s="50"/>
      <c r="Y769" s="50"/>
      <c r="Z769" s="49">
        <v>0</v>
      </c>
      <c r="AA769" s="71">
        <v>769</v>
      </c>
      <c r="AB769" s="71"/>
      <c r="AC769" s="72"/>
      <c r="AD769" s="79" t="s">
        <v>2996</v>
      </c>
      <c r="AE769" s="79" t="s">
        <v>3412</v>
      </c>
      <c r="AF769" s="79" t="s">
        <v>3662</v>
      </c>
      <c r="AG769" s="79" t="s">
        <v>3932</v>
      </c>
      <c r="AH769" s="79" t="s">
        <v>4365</v>
      </c>
      <c r="AI769" s="79">
        <v>81</v>
      </c>
      <c r="AJ769" s="79">
        <v>0</v>
      </c>
      <c r="AK769" s="79">
        <v>7</v>
      </c>
      <c r="AL769" s="79">
        <v>0</v>
      </c>
      <c r="AM769" s="79" t="s">
        <v>2092</v>
      </c>
      <c r="AN769" s="114" t="str">
        <f>HYPERLINK("https://www.youtube.com/watch?v=6tmYtU327N8")</f>
        <v>https://www.youtube.com/watch?v=6tmYtU327N8</v>
      </c>
      <c r="AO769" s="78" t="str">
        <f>REPLACE(INDEX(GroupVertices[Group],MATCH(Vertices[[#This Row],[Vertex]],GroupVertices[Vertex],0)),1,1,"")</f>
        <v>TN NIGERIA</v>
      </c>
      <c r="AP769" s="2"/>
      <c r="AQ769" s="3"/>
      <c r="AR769" s="3"/>
      <c r="AS769" s="3"/>
      <c r="AT769" s="3"/>
    </row>
    <row r="770" spans="1:46" ht="15">
      <c r="A770" s="64" t="s">
        <v>2524</v>
      </c>
      <c r="B770" s="65"/>
      <c r="C770" s="65"/>
      <c r="D770" s="66">
        <v>150</v>
      </c>
      <c r="E770" s="102">
        <v>97.85714285714286</v>
      </c>
      <c r="F770" s="98" t="str">
        <f>HYPERLINK("https://i.ytimg.com/vi/YU9MhrYofLo/default.jpg")</f>
        <v>https://i.ytimg.com/vi/YU9MhrYofLo/default.jpg</v>
      </c>
      <c r="G770" s="100"/>
      <c r="H770" s="69" t="s">
        <v>2997</v>
      </c>
      <c r="I770" s="70"/>
      <c r="J770" s="104" t="s">
        <v>159</v>
      </c>
      <c r="K770" s="69" t="s">
        <v>2997</v>
      </c>
      <c r="L770" s="105">
        <v>1</v>
      </c>
      <c r="M770" s="74">
        <v>332.8749084472656</v>
      </c>
      <c r="N770" s="74">
        <v>8109.25048828125</v>
      </c>
      <c r="O770" s="75"/>
      <c r="P770" s="76"/>
      <c r="Q770" s="76"/>
      <c r="R770" s="106"/>
      <c r="S770" s="48">
        <v>1</v>
      </c>
      <c r="T770" s="48">
        <v>0</v>
      </c>
      <c r="U770" s="49">
        <v>0</v>
      </c>
      <c r="V770" s="49">
        <v>0.18166</v>
      </c>
      <c r="W770" s="107"/>
      <c r="X770" s="50"/>
      <c r="Y770" s="50"/>
      <c r="Z770" s="49">
        <v>0</v>
      </c>
      <c r="AA770" s="71">
        <v>770</v>
      </c>
      <c r="AB770" s="71"/>
      <c r="AC770" s="72"/>
      <c r="AD770" s="79" t="s">
        <v>2997</v>
      </c>
      <c r="AE770" s="79" t="s">
        <v>3413</v>
      </c>
      <c r="AF770" s="79" t="s">
        <v>3663</v>
      </c>
      <c r="AG770" s="79" t="s">
        <v>3933</v>
      </c>
      <c r="AH770" s="79" t="s">
        <v>4366</v>
      </c>
      <c r="AI770" s="79">
        <v>3145</v>
      </c>
      <c r="AJ770" s="79">
        <v>0</v>
      </c>
      <c r="AK770" s="79">
        <v>4</v>
      </c>
      <c r="AL770" s="79">
        <v>0</v>
      </c>
      <c r="AM770" s="79" t="s">
        <v>2092</v>
      </c>
      <c r="AN770" s="114" t="str">
        <f>HYPERLINK("https://www.youtube.com/watch?v=YU9MhrYofLo")</f>
        <v>https://www.youtube.com/watch?v=YU9MhrYofLo</v>
      </c>
      <c r="AO770" s="78" t="str">
        <f>REPLACE(INDEX(GroupVertices[Group],MATCH(Vertices[[#This Row],[Vertex]],GroupVertices[Vertex],0)),1,1,"")</f>
        <v>ewswise Live Events</v>
      </c>
      <c r="AP770" s="2"/>
      <c r="AQ770" s="3"/>
      <c r="AR770" s="3"/>
      <c r="AS770" s="3"/>
      <c r="AT770" s="3"/>
    </row>
    <row r="771" spans="1:46" ht="15">
      <c r="A771" s="64" t="s">
        <v>2525</v>
      </c>
      <c r="B771" s="65"/>
      <c r="C771" s="65"/>
      <c r="D771" s="66">
        <v>150</v>
      </c>
      <c r="E771" s="102">
        <v>97.85714285714286</v>
      </c>
      <c r="F771" s="98" t="str">
        <f>HYPERLINK("https://i.ytimg.com/vi/nvEGlePDZsM/default.jpg")</f>
        <v>https://i.ytimg.com/vi/nvEGlePDZsM/default.jpg</v>
      </c>
      <c r="G771" s="100"/>
      <c r="H771" s="69" t="s">
        <v>2998</v>
      </c>
      <c r="I771" s="70"/>
      <c r="J771" s="104" t="s">
        <v>159</v>
      </c>
      <c r="K771" s="69" t="s">
        <v>2998</v>
      </c>
      <c r="L771" s="105">
        <v>1</v>
      </c>
      <c r="M771" s="74">
        <v>281.6030578613281</v>
      </c>
      <c r="N771" s="74">
        <v>7401.68505859375</v>
      </c>
      <c r="O771" s="75"/>
      <c r="P771" s="76"/>
      <c r="Q771" s="76"/>
      <c r="R771" s="106"/>
      <c r="S771" s="48">
        <v>1</v>
      </c>
      <c r="T771" s="48">
        <v>0</v>
      </c>
      <c r="U771" s="49">
        <v>0</v>
      </c>
      <c r="V771" s="49">
        <v>0.18166</v>
      </c>
      <c r="W771" s="107"/>
      <c r="X771" s="50"/>
      <c r="Y771" s="50"/>
      <c r="Z771" s="49">
        <v>0</v>
      </c>
      <c r="AA771" s="71">
        <v>771</v>
      </c>
      <c r="AB771" s="71"/>
      <c r="AC771" s="72"/>
      <c r="AD771" s="79" t="s">
        <v>2998</v>
      </c>
      <c r="AE771" s="79" t="s">
        <v>3414</v>
      </c>
      <c r="AF771" s="79" t="s">
        <v>3664</v>
      </c>
      <c r="AG771" s="79" t="s">
        <v>3934</v>
      </c>
      <c r="AH771" s="79" t="s">
        <v>4367</v>
      </c>
      <c r="AI771" s="79">
        <v>763</v>
      </c>
      <c r="AJ771" s="79">
        <v>0</v>
      </c>
      <c r="AK771" s="79">
        <v>6</v>
      </c>
      <c r="AL771" s="79">
        <v>0</v>
      </c>
      <c r="AM771" s="79" t="s">
        <v>2092</v>
      </c>
      <c r="AN771" s="114" t="str">
        <f>HYPERLINK("https://www.youtube.com/watch?v=nvEGlePDZsM")</f>
        <v>https://www.youtube.com/watch?v=nvEGlePDZsM</v>
      </c>
      <c r="AO771" s="78" t="str">
        <f>REPLACE(INDEX(GroupVertices[Group],MATCH(Vertices[[#This Row],[Vertex]],GroupVertices[Vertex],0)),1,1,"")</f>
        <v>ISE</v>
      </c>
      <c r="AP771" s="2"/>
      <c r="AQ771" s="3"/>
      <c r="AR771" s="3"/>
      <c r="AS771" s="3"/>
      <c r="AT771" s="3"/>
    </row>
    <row r="772" spans="1:46" ht="15">
      <c r="A772" s="64" t="s">
        <v>2526</v>
      </c>
      <c r="B772" s="65"/>
      <c r="C772" s="65"/>
      <c r="D772" s="66">
        <v>150</v>
      </c>
      <c r="E772" s="102">
        <v>97.85714285714286</v>
      </c>
      <c r="F772" s="98" t="str">
        <f>HYPERLINK("https://i.ytimg.com/vi/ib2UN-wjgj8/default.jpg")</f>
        <v>https://i.ytimg.com/vi/ib2UN-wjgj8/default.jpg</v>
      </c>
      <c r="G772" s="100"/>
      <c r="H772" s="69" t="s">
        <v>2999</v>
      </c>
      <c r="I772" s="70"/>
      <c r="J772" s="104" t="s">
        <v>159</v>
      </c>
      <c r="K772" s="69" t="s">
        <v>2999</v>
      </c>
      <c r="L772" s="105">
        <v>1</v>
      </c>
      <c r="M772" s="74">
        <v>395.497802734375</v>
      </c>
      <c r="N772" s="74">
        <v>8516.5146484375</v>
      </c>
      <c r="O772" s="75"/>
      <c r="P772" s="76"/>
      <c r="Q772" s="76"/>
      <c r="R772" s="106"/>
      <c r="S772" s="48">
        <v>1</v>
      </c>
      <c r="T772" s="48">
        <v>0</v>
      </c>
      <c r="U772" s="49">
        <v>0</v>
      </c>
      <c r="V772" s="49">
        <v>0.18166</v>
      </c>
      <c r="W772" s="107"/>
      <c r="X772" s="50"/>
      <c r="Y772" s="50"/>
      <c r="Z772" s="49">
        <v>0</v>
      </c>
      <c r="AA772" s="71">
        <v>772</v>
      </c>
      <c r="AB772" s="71"/>
      <c r="AC772" s="72"/>
      <c r="AD772" s="79" t="s">
        <v>2999</v>
      </c>
      <c r="AE772" s="79" t="s">
        <v>3415</v>
      </c>
      <c r="AF772" s="79" t="s">
        <v>3665</v>
      </c>
      <c r="AG772" s="79" t="s">
        <v>3935</v>
      </c>
      <c r="AH772" s="79" t="s">
        <v>4368</v>
      </c>
      <c r="AI772" s="79">
        <v>25</v>
      </c>
      <c r="AJ772" s="79">
        <v>1</v>
      </c>
      <c r="AK772" s="79">
        <v>2</v>
      </c>
      <c r="AL772" s="79">
        <v>0</v>
      </c>
      <c r="AM772" s="79" t="s">
        <v>2092</v>
      </c>
      <c r="AN772" s="114" t="str">
        <f>HYPERLINK("https://www.youtube.com/watch?v=ib2UN-wjgj8")</f>
        <v>https://www.youtube.com/watch?v=ib2UN-wjgj8</v>
      </c>
      <c r="AO772" s="78" t="str">
        <f>REPLACE(INDEX(GroupVertices[Group],MATCH(Vertices[[#This Row],[Vertex]],GroupVertices[Vertex],0)),1,1,"")</f>
        <v>ruscan Diagnostics</v>
      </c>
      <c r="AP772" s="2"/>
      <c r="AQ772" s="3"/>
      <c r="AR772" s="3"/>
      <c r="AS772" s="3"/>
      <c r="AT772" s="3"/>
    </row>
    <row r="773" spans="1:46" ht="15">
      <c r="A773" s="64" t="s">
        <v>2527</v>
      </c>
      <c r="B773" s="65"/>
      <c r="C773" s="65"/>
      <c r="D773" s="66">
        <v>150</v>
      </c>
      <c r="E773" s="102">
        <v>97.85714285714286</v>
      </c>
      <c r="F773" s="98" t="str">
        <f>HYPERLINK("https://i.ytimg.com/vi/XOL1TsN5O1E/default.jpg")</f>
        <v>https://i.ytimg.com/vi/XOL1TsN5O1E/default.jpg</v>
      </c>
      <c r="G773" s="100"/>
      <c r="H773" s="69" t="s">
        <v>3000</v>
      </c>
      <c r="I773" s="70"/>
      <c r="J773" s="104" t="s">
        <v>159</v>
      </c>
      <c r="K773" s="69" t="s">
        <v>3000</v>
      </c>
      <c r="L773" s="105">
        <v>1</v>
      </c>
      <c r="M773" s="74">
        <v>504.1717834472656</v>
      </c>
      <c r="N773" s="74">
        <v>9557.89453125</v>
      </c>
      <c r="O773" s="75"/>
      <c r="P773" s="76"/>
      <c r="Q773" s="76"/>
      <c r="R773" s="106"/>
      <c r="S773" s="48">
        <v>1</v>
      </c>
      <c r="T773" s="48">
        <v>0</v>
      </c>
      <c r="U773" s="49">
        <v>0</v>
      </c>
      <c r="V773" s="49">
        <v>0.18166</v>
      </c>
      <c r="W773" s="107"/>
      <c r="X773" s="50"/>
      <c r="Y773" s="50"/>
      <c r="Z773" s="49">
        <v>0</v>
      </c>
      <c r="AA773" s="71">
        <v>773</v>
      </c>
      <c r="AB773" s="71"/>
      <c r="AC773" s="72"/>
      <c r="AD773" s="79" t="s">
        <v>3000</v>
      </c>
      <c r="AE773" s="79" t="s">
        <v>3416</v>
      </c>
      <c r="AF773" s="79"/>
      <c r="AG773" s="79" t="s">
        <v>3936</v>
      </c>
      <c r="AH773" s="79" t="s">
        <v>4369</v>
      </c>
      <c r="AI773" s="79">
        <v>138</v>
      </c>
      <c r="AJ773" s="79">
        <v>0</v>
      </c>
      <c r="AK773" s="79">
        <v>0</v>
      </c>
      <c r="AL773" s="79">
        <v>0</v>
      </c>
      <c r="AM773" s="79" t="s">
        <v>2092</v>
      </c>
      <c r="AN773" s="114" t="str">
        <f>HYPERLINK("https://www.youtube.com/watch?v=XOL1TsN5O1E")</f>
        <v>https://www.youtube.com/watch?v=XOL1TsN5O1E</v>
      </c>
      <c r="AO773" s="78" t="str">
        <f>REPLACE(INDEX(GroupVertices[Group],MATCH(Vertices[[#This Row],[Vertex]],GroupVertices[Vertex],0)),1,1,"")</f>
        <v>CCORDS Research</v>
      </c>
      <c r="AP773" s="2"/>
      <c r="AQ773" s="3"/>
      <c r="AR773" s="3"/>
      <c r="AS773" s="3"/>
      <c r="AT773" s="3"/>
    </row>
    <row r="774" spans="1:46" ht="15">
      <c r="A774" s="64" t="s">
        <v>2528</v>
      </c>
      <c r="B774" s="65"/>
      <c r="C774" s="65"/>
      <c r="D774" s="66">
        <v>150</v>
      </c>
      <c r="E774" s="102">
        <v>97.85714285714286</v>
      </c>
      <c r="F774" s="98" t="str">
        <f>HYPERLINK("https://i.ytimg.com/vi/bhnljbIlXAc/default.jpg")</f>
        <v>https://i.ytimg.com/vi/bhnljbIlXAc/default.jpg</v>
      </c>
      <c r="G774" s="100"/>
      <c r="H774" s="69" t="s">
        <v>3001</v>
      </c>
      <c r="I774" s="70"/>
      <c r="J774" s="104" t="s">
        <v>159</v>
      </c>
      <c r="K774" s="69" t="s">
        <v>3001</v>
      </c>
      <c r="L774" s="105">
        <v>1</v>
      </c>
      <c r="M774" s="74">
        <v>410.5054626464844</v>
      </c>
      <c r="N774" s="74">
        <v>9361.4716796875</v>
      </c>
      <c r="O774" s="75"/>
      <c r="P774" s="76"/>
      <c r="Q774" s="76"/>
      <c r="R774" s="106"/>
      <c r="S774" s="48">
        <v>1</v>
      </c>
      <c r="T774" s="48">
        <v>0</v>
      </c>
      <c r="U774" s="49">
        <v>0</v>
      </c>
      <c r="V774" s="49">
        <v>0.18166</v>
      </c>
      <c r="W774" s="107"/>
      <c r="X774" s="50"/>
      <c r="Y774" s="50"/>
      <c r="Z774" s="49">
        <v>0</v>
      </c>
      <c r="AA774" s="71">
        <v>774</v>
      </c>
      <c r="AB774" s="71"/>
      <c r="AC774" s="72"/>
      <c r="AD774" s="79" t="s">
        <v>3001</v>
      </c>
      <c r="AE774" s="79" t="s">
        <v>3417</v>
      </c>
      <c r="AF774" s="79" t="s">
        <v>3666</v>
      </c>
      <c r="AG774" s="79" t="s">
        <v>3937</v>
      </c>
      <c r="AH774" s="79" t="s">
        <v>4370</v>
      </c>
      <c r="AI774" s="79">
        <v>492</v>
      </c>
      <c r="AJ774" s="79">
        <v>1</v>
      </c>
      <c r="AK774" s="79">
        <v>11</v>
      </c>
      <c r="AL774" s="79">
        <v>0</v>
      </c>
      <c r="AM774" s="79" t="s">
        <v>2092</v>
      </c>
      <c r="AN774" s="114" t="str">
        <f>HYPERLINK("https://www.youtube.com/watch?v=bhnljbIlXAc")</f>
        <v>https://www.youtube.com/watch?v=bhnljbIlXAc</v>
      </c>
      <c r="AO774" s="78" t="str">
        <f>REPLACE(INDEX(GroupVertices[Group],MATCH(Vertices[[#This Row],[Vertex]],GroupVertices[Vertex],0)),1,1,"")</f>
        <v>DforLives</v>
      </c>
      <c r="AP774" s="2"/>
      <c r="AQ774" s="3"/>
      <c r="AR774" s="3"/>
      <c r="AS774" s="3"/>
      <c r="AT774" s="3"/>
    </row>
    <row r="775" spans="1:46" ht="15">
      <c r="A775" s="64" t="s">
        <v>2529</v>
      </c>
      <c r="B775" s="65"/>
      <c r="C775" s="65"/>
      <c r="D775" s="66">
        <v>150</v>
      </c>
      <c r="E775" s="102">
        <v>97.85714285714286</v>
      </c>
      <c r="F775" s="98" t="str">
        <f>HYPERLINK("https://i.ytimg.com/vi/3ijr2ECLTME/default.jpg")</f>
        <v>https://i.ytimg.com/vi/3ijr2ECLTME/default.jpg</v>
      </c>
      <c r="G775" s="100"/>
      <c r="H775" s="69" t="s">
        <v>3002</v>
      </c>
      <c r="I775" s="70"/>
      <c r="J775" s="104" t="s">
        <v>159</v>
      </c>
      <c r="K775" s="69" t="s">
        <v>3002</v>
      </c>
      <c r="L775" s="105">
        <v>1</v>
      </c>
      <c r="M775" s="74">
        <v>167.82965087890625</v>
      </c>
      <c r="N775" s="74">
        <v>7830.05224609375</v>
      </c>
      <c r="O775" s="75"/>
      <c r="P775" s="76"/>
      <c r="Q775" s="76"/>
      <c r="R775" s="106"/>
      <c r="S775" s="48">
        <v>1</v>
      </c>
      <c r="T775" s="48">
        <v>0</v>
      </c>
      <c r="U775" s="49">
        <v>0</v>
      </c>
      <c r="V775" s="49">
        <v>0.18166</v>
      </c>
      <c r="W775" s="107"/>
      <c r="X775" s="50"/>
      <c r="Y775" s="50"/>
      <c r="Z775" s="49">
        <v>0</v>
      </c>
      <c r="AA775" s="71">
        <v>775</v>
      </c>
      <c r="AB775" s="71"/>
      <c r="AC775" s="72"/>
      <c r="AD775" s="79" t="s">
        <v>3002</v>
      </c>
      <c r="AE775" s="79" t="s">
        <v>3418</v>
      </c>
      <c r="AF775" s="79" t="s">
        <v>1472</v>
      </c>
      <c r="AG775" s="79" t="s">
        <v>1510</v>
      </c>
      <c r="AH775" s="79" t="s">
        <v>2077</v>
      </c>
      <c r="AI775" s="79">
        <v>182</v>
      </c>
      <c r="AJ775" s="79">
        <v>1</v>
      </c>
      <c r="AK775" s="79">
        <v>2</v>
      </c>
      <c r="AL775" s="79">
        <v>0</v>
      </c>
      <c r="AM775" s="79" t="s">
        <v>2092</v>
      </c>
      <c r="AN775" s="114" t="str">
        <f>HYPERLINK("https://www.youtube.com/watch?v=3ijr2ECLTME")</f>
        <v>https://www.youtube.com/watch?v=3ijr2ECLTME</v>
      </c>
      <c r="AO775" s="78" t="str">
        <f>REPLACE(INDEX(GroupVertices[Group],MATCH(Vertices[[#This Row],[Vertex]],GroupVertices[Vertex],0)),1,1,"")</f>
        <v>emystifying Medicine McMaster</v>
      </c>
      <c r="AP775" s="2"/>
      <c r="AQ775" s="3"/>
      <c r="AR775" s="3"/>
      <c r="AS775" s="3"/>
      <c r="AT775" s="3"/>
    </row>
    <row r="776" spans="1:46" ht="15">
      <c r="A776" s="64" t="s">
        <v>2530</v>
      </c>
      <c r="B776" s="65"/>
      <c r="C776" s="65"/>
      <c r="D776" s="66">
        <v>150</v>
      </c>
      <c r="E776" s="102">
        <v>97.85714285714286</v>
      </c>
      <c r="F776" s="98" t="str">
        <f>HYPERLINK("https://i.ytimg.com/vi/8n2tw8J2lHA/default.jpg")</f>
        <v>https://i.ytimg.com/vi/8n2tw8J2lHA/default.jpg</v>
      </c>
      <c r="G776" s="100"/>
      <c r="H776" s="69" t="s">
        <v>3003</v>
      </c>
      <c r="I776" s="70"/>
      <c r="J776" s="104" t="s">
        <v>159</v>
      </c>
      <c r="K776" s="69" t="s">
        <v>3003</v>
      </c>
      <c r="L776" s="105">
        <v>1</v>
      </c>
      <c r="M776" s="74">
        <v>544.92236328125</v>
      </c>
      <c r="N776" s="74">
        <v>8975.44921875</v>
      </c>
      <c r="O776" s="75"/>
      <c r="P776" s="76"/>
      <c r="Q776" s="76"/>
      <c r="R776" s="106"/>
      <c r="S776" s="48">
        <v>1</v>
      </c>
      <c r="T776" s="48">
        <v>0</v>
      </c>
      <c r="U776" s="49">
        <v>0</v>
      </c>
      <c r="V776" s="49">
        <v>0.18166</v>
      </c>
      <c r="W776" s="107"/>
      <c r="X776" s="50"/>
      <c r="Y776" s="50"/>
      <c r="Z776" s="49">
        <v>0</v>
      </c>
      <c r="AA776" s="71">
        <v>776</v>
      </c>
      <c r="AB776" s="71"/>
      <c r="AC776" s="72"/>
      <c r="AD776" s="79" t="s">
        <v>3003</v>
      </c>
      <c r="AE776" s="79" t="s">
        <v>3419</v>
      </c>
      <c r="AF776" s="79"/>
      <c r="AG776" s="79" t="s">
        <v>3938</v>
      </c>
      <c r="AH776" s="79" t="s">
        <v>4371</v>
      </c>
      <c r="AI776" s="79">
        <v>2161</v>
      </c>
      <c r="AJ776" s="79">
        <v>2</v>
      </c>
      <c r="AK776" s="79">
        <v>72</v>
      </c>
      <c r="AL776" s="79">
        <v>0</v>
      </c>
      <c r="AM776" s="79" t="s">
        <v>2092</v>
      </c>
      <c r="AN776" s="114" t="str">
        <f>HYPERLINK("https://www.youtube.com/watch?v=8n2tw8J2lHA")</f>
        <v>https://www.youtube.com/watch?v=8n2tw8J2lHA</v>
      </c>
      <c r="AO776" s="78" t="str">
        <f>REPLACE(INDEX(GroupVertices[Group],MATCH(Vertices[[#This Row],[Vertex]],GroupVertices[Vertex],0)),1,1,"")</f>
        <v>usan Paolin</v>
      </c>
      <c r="AP776" s="2"/>
      <c r="AQ776" s="3"/>
      <c r="AR776" s="3"/>
      <c r="AS776" s="3"/>
      <c r="AT776" s="3"/>
    </row>
    <row r="777" spans="1:46" ht="15">
      <c r="A777" s="64" t="s">
        <v>2531</v>
      </c>
      <c r="B777" s="65"/>
      <c r="C777" s="65"/>
      <c r="D777" s="66">
        <v>150</v>
      </c>
      <c r="E777" s="102">
        <v>97.85714285714286</v>
      </c>
      <c r="F777" s="98" t="str">
        <f>HYPERLINK("https://i.ytimg.com/vi/TpKnIoL776A/default.jpg")</f>
        <v>https://i.ytimg.com/vi/TpKnIoL776A/default.jpg</v>
      </c>
      <c r="G777" s="100"/>
      <c r="H777" s="69" t="s">
        <v>3004</v>
      </c>
      <c r="I777" s="70"/>
      <c r="J777" s="104" t="s">
        <v>159</v>
      </c>
      <c r="K777" s="69" t="s">
        <v>3004</v>
      </c>
      <c r="L777" s="105">
        <v>1</v>
      </c>
      <c r="M777" s="74">
        <v>780.1843872070312</v>
      </c>
      <c r="N777" s="74">
        <v>6624.91845703125</v>
      </c>
      <c r="O777" s="75"/>
      <c r="P777" s="76"/>
      <c r="Q777" s="76"/>
      <c r="R777" s="106"/>
      <c r="S777" s="48">
        <v>1</v>
      </c>
      <c r="T777" s="48">
        <v>0</v>
      </c>
      <c r="U777" s="49">
        <v>0</v>
      </c>
      <c r="V777" s="49">
        <v>0.18166</v>
      </c>
      <c r="W777" s="107"/>
      <c r="X777" s="50"/>
      <c r="Y777" s="50"/>
      <c r="Z777" s="49">
        <v>0</v>
      </c>
      <c r="AA777" s="71">
        <v>777</v>
      </c>
      <c r="AB777" s="71"/>
      <c r="AC777" s="72"/>
      <c r="AD777" s="79" t="s">
        <v>3004</v>
      </c>
      <c r="AE777" s="79" t="s">
        <v>3420</v>
      </c>
      <c r="AF777" s="79" t="s">
        <v>3667</v>
      </c>
      <c r="AG777" s="79" t="s">
        <v>1510</v>
      </c>
      <c r="AH777" s="79" t="s">
        <v>4372</v>
      </c>
      <c r="AI777" s="79">
        <v>109</v>
      </c>
      <c r="AJ777" s="79">
        <v>0</v>
      </c>
      <c r="AK777" s="79">
        <v>7</v>
      </c>
      <c r="AL777" s="79">
        <v>0</v>
      </c>
      <c r="AM777" s="79" t="s">
        <v>2092</v>
      </c>
      <c r="AN777" s="114" t="str">
        <f>HYPERLINK("https://www.youtube.com/watch?v=TpKnIoL776A")</f>
        <v>https://www.youtube.com/watch?v=TpKnIoL776A</v>
      </c>
      <c r="AO777" s="78" t="str">
        <f>REPLACE(INDEX(GroupVertices[Group],MATCH(Vertices[[#This Row],[Vertex]],GroupVertices[Vertex],0)),1,1,"")</f>
        <v>emystifying Medicine McMaster</v>
      </c>
      <c r="AP777" s="2"/>
      <c r="AQ777" s="3"/>
      <c r="AR777" s="3"/>
      <c r="AS777" s="3"/>
      <c r="AT777" s="3"/>
    </row>
    <row r="778" spans="1:46" ht="15">
      <c r="A778" s="64" t="s">
        <v>2532</v>
      </c>
      <c r="B778" s="65"/>
      <c r="C778" s="65"/>
      <c r="D778" s="66">
        <v>150</v>
      </c>
      <c r="E778" s="102">
        <v>97.85714285714286</v>
      </c>
      <c r="F778" s="98" t="str">
        <f>HYPERLINK("https://i.ytimg.com/vi/IY2wmqlfBBw/default.jpg")</f>
        <v>https://i.ytimg.com/vi/IY2wmqlfBBw/default.jpg</v>
      </c>
      <c r="G778" s="100"/>
      <c r="H778" s="69" t="s">
        <v>3005</v>
      </c>
      <c r="I778" s="70"/>
      <c r="J778" s="104" t="s">
        <v>159</v>
      </c>
      <c r="K778" s="69" t="s">
        <v>3005</v>
      </c>
      <c r="L778" s="105">
        <v>1</v>
      </c>
      <c r="M778" s="74">
        <v>762.9652709960938</v>
      </c>
      <c r="N778" s="74">
        <v>9813.1962890625</v>
      </c>
      <c r="O778" s="75"/>
      <c r="P778" s="76"/>
      <c r="Q778" s="76"/>
      <c r="R778" s="106"/>
      <c r="S778" s="48">
        <v>1</v>
      </c>
      <c r="T778" s="48">
        <v>0</v>
      </c>
      <c r="U778" s="49">
        <v>0</v>
      </c>
      <c r="V778" s="49">
        <v>0.18166</v>
      </c>
      <c r="W778" s="107"/>
      <c r="X778" s="50"/>
      <c r="Y778" s="50"/>
      <c r="Z778" s="49">
        <v>0</v>
      </c>
      <c r="AA778" s="71">
        <v>778</v>
      </c>
      <c r="AB778" s="71"/>
      <c r="AC778" s="72"/>
      <c r="AD778" s="79" t="s">
        <v>3005</v>
      </c>
      <c r="AE778" s="79" t="s">
        <v>3421</v>
      </c>
      <c r="AF778" s="79" t="s">
        <v>3668</v>
      </c>
      <c r="AG778" s="79" t="s">
        <v>1510</v>
      </c>
      <c r="AH778" s="79" t="s">
        <v>4373</v>
      </c>
      <c r="AI778" s="79">
        <v>137</v>
      </c>
      <c r="AJ778" s="79">
        <v>0</v>
      </c>
      <c r="AK778" s="79">
        <v>3</v>
      </c>
      <c r="AL778" s="79">
        <v>0</v>
      </c>
      <c r="AM778" s="79" t="s">
        <v>2092</v>
      </c>
      <c r="AN778" s="114" t="str">
        <f>HYPERLINK("https://www.youtube.com/watch?v=IY2wmqlfBBw")</f>
        <v>https://www.youtube.com/watch?v=IY2wmqlfBBw</v>
      </c>
      <c r="AO778" s="78" t="str">
        <f>REPLACE(INDEX(GroupVertices[Group],MATCH(Vertices[[#This Row],[Vertex]],GroupVertices[Vertex],0)),1,1,"")</f>
        <v>emystifying Medicine McMaster</v>
      </c>
      <c r="AP778" s="2"/>
      <c r="AQ778" s="3"/>
      <c r="AR778" s="3"/>
      <c r="AS778" s="3"/>
      <c r="AT778" s="3"/>
    </row>
    <row r="779" spans="1:46" ht="15">
      <c r="A779" s="64" t="s">
        <v>2533</v>
      </c>
      <c r="B779" s="65"/>
      <c r="C779" s="65"/>
      <c r="D779" s="66">
        <v>150</v>
      </c>
      <c r="E779" s="102">
        <v>97.85714285714286</v>
      </c>
      <c r="F779" s="98" t="str">
        <f>HYPERLINK("https://i.ytimg.com/vi/IkthHNQ32UA/default.jpg")</f>
        <v>https://i.ytimg.com/vi/IkthHNQ32UA/default.jpg</v>
      </c>
      <c r="G779" s="100"/>
      <c r="H779" s="69" t="s">
        <v>3006</v>
      </c>
      <c r="I779" s="70"/>
      <c r="J779" s="104" t="s">
        <v>159</v>
      </c>
      <c r="K779" s="69" t="s">
        <v>3006</v>
      </c>
      <c r="L779" s="105">
        <v>1</v>
      </c>
      <c r="M779" s="74">
        <v>181.48301696777344</v>
      </c>
      <c r="N779" s="74">
        <v>7572.60400390625</v>
      </c>
      <c r="O779" s="75"/>
      <c r="P779" s="76"/>
      <c r="Q779" s="76"/>
      <c r="R779" s="106"/>
      <c r="S779" s="48">
        <v>1</v>
      </c>
      <c r="T779" s="48">
        <v>0</v>
      </c>
      <c r="U779" s="49">
        <v>0</v>
      </c>
      <c r="V779" s="49">
        <v>0.18166</v>
      </c>
      <c r="W779" s="107"/>
      <c r="X779" s="50"/>
      <c r="Y779" s="50"/>
      <c r="Z779" s="49">
        <v>0</v>
      </c>
      <c r="AA779" s="71">
        <v>779</v>
      </c>
      <c r="AB779" s="71"/>
      <c r="AC779" s="72"/>
      <c r="AD779" s="79" t="s">
        <v>3006</v>
      </c>
      <c r="AE779" s="79" t="s">
        <v>3422</v>
      </c>
      <c r="AF779" s="79" t="s">
        <v>3669</v>
      </c>
      <c r="AG779" s="79" t="s">
        <v>1510</v>
      </c>
      <c r="AH779" s="79" t="s">
        <v>4374</v>
      </c>
      <c r="AI779" s="79">
        <v>371</v>
      </c>
      <c r="AJ779" s="79">
        <v>0</v>
      </c>
      <c r="AK779" s="79">
        <v>19</v>
      </c>
      <c r="AL779" s="79">
        <v>0</v>
      </c>
      <c r="AM779" s="79" t="s">
        <v>2092</v>
      </c>
      <c r="AN779" s="114" t="str">
        <f>HYPERLINK("https://www.youtube.com/watch?v=IkthHNQ32UA")</f>
        <v>https://www.youtube.com/watch?v=IkthHNQ32UA</v>
      </c>
      <c r="AO779" s="78" t="str">
        <f>REPLACE(INDEX(GroupVertices[Group],MATCH(Vertices[[#This Row],[Vertex]],GroupVertices[Vertex],0)),1,1,"")</f>
        <v>emystifying Medicine McMaster</v>
      </c>
      <c r="AP779" s="2"/>
      <c r="AQ779" s="3"/>
      <c r="AR779" s="3"/>
      <c r="AS779" s="3"/>
      <c r="AT779" s="3"/>
    </row>
    <row r="780" spans="1:46" ht="15">
      <c r="A780" s="64" t="s">
        <v>2534</v>
      </c>
      <c r="B780" s="65"/>
      <c r="C780" s="65"/>
      <c r="D780" s="66">
        <v>150</v>
      </c>
      <c r="E780" s="102">
        <v>97.85714285714286</v>
      </c>
      <c r="F780" s="98" t="str">
        <f>HYPERLINK("https://i.ytimg.com/vi/Mvj6clMW5Lw/default.jpg")</f>
        <v>https://i.ytimg.com/vi/Mvj6clMW5Lw/default.jpg</v>
      </c>
      <c r="G780" s="100"/>
      <c r="H780" s="69" t="s">
        <v>3007</v>
      </c>
      <c r="I780" s="70"/>
      <c r="J780" s="104" t="s">
        <v>159</v>
      </c>
      <c r="K780" s="69" t="s">
        <v>3007</v>
      </c>
      <c r="L780" s="105">
        <v>1</v>
      </c>
      <c r="M780" s="74">
        <v>832.0121459960938</v>
      </c>
      <c r="N780" s="74">
        <v>9538.8876953125</v>
      </c>
      <c r="O780" s="75"/>
      <c r="P780" s="76"/>
      <c r="Q780" s="76"/>
      <c r="R780" s="106"/>
      <c r="S780" s="48">
        <v>1</v>
      </c>
      <c r="T780" s="48">
        <v>0</v>
      </c>
      <c r="U780" s="49">
        <v>0</v>
      </c>
      <c r="V780" s="49">
        <v>0.18166</v>
      </c>
      <c r="W780" s="107"/>
      <c r="X780" s="50"/>
      <c r="Y780" s="50"/>
      <c r="Z780" s="49">
        <v>0</v>
      </c>
      <c r="AA780" s="71">
        <v>780</v>
      </c>
      <c r="AB780" s="71"/>
      <c r="AC780" s="72"/>
      <c r="AD780" s="79" t="s">
        <v>3007</v>
      </c>
      <c r="AE780" s="79" t="s">
        <v>3423</v>
      </c>
      <c r="AF780" s="79" t="s">
        <v>1474</v>
      </c>
      <c r="AG780" s="79" t="s">
        <v>1510</v>
      </c>
      <c r="AH780" s="79" t="s">
        <v>4375</v>
      </c>
      <c r="AI780" s="79">
        <v>155</v>
      </c>
      <c r="AJ780" s="79">
        <v>1</v>
      </c>
      <c r="AK780" s="79">
        <v>7</v>
      </c>
      <c r="AL780" s="79">
        <v>0</v>
      </c>
      <c r="AM780" s="79" t="s">
        <v>2092</v>
      </c>
      <c r="AN780" s="114" t="str">
        <f>HYPERLINK("https://www.youtube.com/watch?v=Mvj6clMW5Lw")</f>
        <v>https://www.youtube.com/watch?v=Mvj6clMW5Lw</v>
      </c>
      <c r="AO780" s="78" t="str">
        <f>REPLACE(INDEX(GroupVertices[Group],MATCH(Vertices[[#This Row],[Vertex]],GroupVertices[Vertex],0)),1,1,"")</f>
        <v>emystifying Medicine McMaster</v>
      </c>
      <c r="AP780" s="2"/>
      <c r="AQ780" s="3"/>
      <c r="AR780" s="3"/>
      <c r="AS780" s="3"/>
      <c r="AT780" s="3"/>
    </row>
    <row r="781" spans="1:46" ht="15">
      <c r="A781" s="64" t="s">
        <v>2535</v>
      </c>
      <c r="B781" s="65"/>
      <c r="C781" s="65"/>
      <c r="D781" s="66">
        <v>150</v>
      </c>
      <c r="E781" s="102">
        <v>97.85714285714286</v>
      </c>
      <c r="F781" s="98" t="str">
        <f>HYPERLINK("https://i.ytimg.com/vi/F_RHoq8qkXU/default.jpg")</f>
        <v>https://i.ytimg.com/vi/F_RHoq8qkXU/default.jpg</v>
      </c>
      <c r="G781" s="100"/>
      <c r="H781" s="69" t="s">
        <v>3008</v>
      </c>
      <c r="I781" s="70"/>
      <c r="J781" s="104" t="s">
        <v>159</v>
      </c>
      <c r="K781" s="69" t="s">
        <v>3008</v>
      </c>
      <c r="L781" s="105">
        <v>1</v>
      </c>
      <c r="M781" s="74">
        <v>572.0741577148438</v>
      </c>
      <c r="N781" s="74">
        <v>8250.75390625</v>
      </c>
      <c r="O781" s="75"/>
      <c r="P781" s="76"/>
      <c r="Q781" s="76"/>
      <c r="R781" s="106"/>
      <c r="S781" s="48">
        <v>1</v>
      </c>
      <c r="T781" s="48">
        <v>0</v>
      </c>
      <c r="U781" s="49">
        <v>0</v>
      </c>
      <c r="V781" s="49">
        <v>0.18166</v>
      </c>
      <c r="W781" s="107"/>
      <c r="X781" s="50"/>
      <c r="Y781" s="50"/>
      <c r="Z781" s="49">
        <v>0</v>
      </c>
      <c r="AA781" s="71">
        <v>781</v>
      </c>
      <c r="AB781" s="71"/>
      <c r="AC781" s="72"/>
      <c r="AD781" s="79" t="s">
        <v>3008</v>
      </c>
      <c r="AE781" s="79" t="s">
        <v>3424</v>
      </c>
      <c r="AF781" s="79" t="s">
        <v>3670</v>
      </c>
      <c r="AG781" s="79" t="s">
        <v>1510</v>
      </c>
      <c r="AH781" s="79" t="s">
        <v>4376</v>
      </c>
      <c r="AI781" s="79">
        <v>120</v>
      </c>
      <c r="AJ781" s="79">
        <v>1</v>
      </c>
      <c r="AK781" s="79">
        <v>5</v>
      </c>
      <c r="AL781" s="79">
        <v>0</v>
      </c>
      <c r="AM781" s="79" t="s">
        <v>2092</v>
      </c>
      <c r="AN781" s="114" t="str">
        <f>HYPERLINK("https://www.youtube.com/watch?v=F_RHoq8qkXU")</f>
        <v>https://www.youtube.com/watch?v=F_RHoq8qkXU</v>
      </c>
      <c r="AO781" s="78" t="str">
        <f>REPLACE(INDEX(GroupVertices[Group],MATCH(Vertices[[#This Row],[Vertex]],GroupVertices[Vertex],0)),1,1,"")</f>
        <v>emystifying Medicine McMaster</v>
      </c>
      <c r="AP781" s="2"/>
      <c r="AQ781" s="3"/>
      <c r="AR781" s="3"/>
      <c r="AS781" s="3"/>
      <c r="AT781" s="3"/>
    </row>
    <row r="782" spans="1:46" ht="15">
      <c r="A782" s="64" t="s">
        <v>360</v>
      </c>
      <c r="B782" s="65"/>
      <c r="C782" s="65"/>
      <c r="D782" s="66">
        <v>150</v>
      </c>
      <c r="E782" s="102">
        <v>97.85714285714286</v>
      </c>
      <c r="F782" s="98" t="str">
        <f>HYPERLINK("https://i.ytimg.com/vi/DGqdIGQnia8/default.jpg")</f>
        <v>https://i.ytimg.com/vi/DGqdIGQnia8/default.jpg</v>
      </c>
      <c r="G782" s="100"/>
      <c r="H782" s="69" t="s">
        <v>765</v>
      </c>
      <c r="I782" s="70"/>
      <c r="J782" s="104" t="s">
        <v>159</v>
      </c>
      <c r="K782" s="69" t="s">
        <v>765</v>
      </c>
      <c r="L782" s="105">
        <v>1</v>
      </c>
      <c r="M782" s="74">
        <v>644.8511962890625</v>
      </c>
      <c r="N782" s="74">
        <v>6639.70068359375</v>
      </c>
      <c r="O782" s="75"/>
      <c r="P782" s="76"/>
      <c r="Q782" s="76"/>
      <c r="R782" s="106"/>
      <c r="S782" s="48">
        <v>1</v>
      </c>
      <c r="T782" s="48">
        <v>0</v>
      </c>
      <c r="U782" s="49">
        <v>0</v>
      </c>
      <c r="V782" s="49">
        <v>0.18166</v>
      </c>
      <c r="W782" s="107"/>
      <c r="X782" s="50"/>
      <c r="Y782" s="50"/>
      <c r="Z782" s="49">
        <v>0</v>
      </c>
      <c r="AA782" s="71">
        <v>782</v>
      </c>
      <c r="AB782" s="71"/>
      <c r="AC782" s="72"/>
      <c r="AD782" s="79" t="s">
        <v>765</v>
      </c>
      <c r="AE782" s="79" t="s">
        <v>3425</v>
      </c>
      <c r="AF782" s="79" t="s">
        <v>1361</v>
      </c>
      <c r="AG782" s="79" t="s">
        <v>1498</v>
      </c>
      <c r="AH782" s="79" t="s">
        <v>1821</v>
      </c>
      <c r="AI782" s="79">
        <v>37881</v>
      </c>
      <c r="AJ782" s="79">
        <v>47</v>
      </c>
      <c r="AK782" s="79">
        <v>1281</v>
      </c>
      <c r="AL782" s="79">
        <v>0</v>
      </c>
      <c r="AM782" s="79" t="s">
        <v>2092</v>
      </c>
      <c r="AN782" s="114" t="str">
        <f>HYPERLINK("https://www.youtube.com/watch?v=DGqdIGQnia8")</f>
        <v>https://www.youtube.com/watch?v=DGqdIGQnia8</v>
      </c>
      <c r="AO782" s="78" t="str">
        <f>REPLACE(INDEX(GroupVertices[Group],MATCH(Vertices[[#This Row],[Vertex]],GroupVertices[Vertex],0)),1,1,"")</f>
        <v>r. Todd Grande</v>
      </c>
      <c r="AP782" s="2"/>
      <c r="AQ782" s="3"/>
      <c r="AR782" s="3"/>
      <c r="AS782" s="3"/>
      <c r="AT782" s="3"/>
    </row>
    <row r="783" spans="1:46" ht="15">
      <c r="A783" s="64" t="s">
        <v>362</v>
      </c>
      <c r="B783" s="65"/>
      <c r="C783" s="65"/>
      <c r="D783" s="66">
        <v>150</v>
      </c>
      <c r="E783" s="102">
        <v>95.71428571428571</v>
      </c>
      <c r="F783" s="98" t="str">
        <f>HYPERLINK("https://i.ytimg.com/vi/s6BtgBV0Nm8/default.jpg")</f>
        <v>https://i.ytimg.com/vi/s6BtgBV0Nm8/default.jpg</v>
      </c>
      <c r="G783" s="100"/>
      <c r="H783" s="69" t="s">
        <v>768</v>
      </c>
      <c r="I783" s="70"/>
      <c r="J783" s="104" t="s">
        <v>159</v>
      </c>
      <c r="K783" s="69" t="s">
        <v>768</v>
      </c>
      <c r="L783" s="105">
        <v>1</v>
      </c>
      <c r="M783" s="74">
        <v>1327.91064453125</v>
      </c>
      <c r="N783" s="74">
        <v>8406.232421875</v>
      </c>
      <c r="O783" s="75"/>
      <c r="P783" s="76"/>
      <c r="Q783" s="76"/>
      <c r="R783" s="106"/>
      <c r="S783" s="48">
        <v>2</v>
      </c>
      <c r="T783" s="48">
        <v>0</v>
      </c>
      <c r="U783" s="49">
        <v>0</v>
      </c>
      <c r="V783" s="49">
        <v>0.194384</v>
      </c>
      <c r="W783" s="107"/>
      <c r="X783" s="50"/>
      <c r="Y783" s="50"/>
      <c r="Z783" s="49">
        <v>0</v>
      </c>
      <c r="AA783" s="71">
        <v>783</v>
      </c>
      <c r="AB783" s="71"/>
      <c r="AC783" s="72"/>
      <c r="AD783" s="79" t="s">
        <v>768</v>
      </c>
      <c r="AE783" s="79" t="s">
        <v>1117</v>
      </c>
      <c r="AF783" s="79" t="s">
        <v>1364</v>
      </c>
      <c r="AG783" s="79" t="s">
        <v>1557</v>
      </c>
      <c r="AH783" s="79" t="s">
        <v>1824</v>
      </c>
      <c r="AI783" s="79">
        <v>36550</v>
      </c>
      <c r="AJ783" s="79">
        <v>4</v>
      </c>
      <c r="AK783" s="79">
        <v>241</v>
      </c>
      <c r="AL783" s="79">
        <v>0</v>
      </c>
      <c r="AM783" s="79" t="s">
        <v>2092</v>
      </c>
      <c r="AN783" s="114" t="str">
        <f>HYPERLINK("https://www.youtube.com/watch?v=s6BtgBV0Nm8")</f>
        <v>https://www.youtube.com/watch?v=s6BtgBV0Nm8</v>
      </c>
      <c r="AO783" s="78" t="str">
        <f>REPLACE(INDEX(GroupVertices[Group],MATCH(Vertices[[#This Row],[Vertex]],GroupVertices[Vertex],0)),1,1,"")</f>
        <v>earning in 10</v>
      </c>
      <c r="AP783" s="2"/>
      <c r="AQ783" s="3"/>
      <c r="AR783" s="3"/>
      <c r="AS783" s="3"/>
      <c r="AT783" s="3"/>
    </row>
    <row r="784" spans="1:46" ht="15">
      <c r="A784" s="64" t="s">
        <v>2536</v>
      </c>
      <c r="B784" s="65"/>
      <c r="C784" s="65"/>
      <c r="D784" s="66">
        <v>150</v>
      </c>
      <c r="E784" s="102">
        <v>97.85714285714286</v>
      </c>
      <c r="F784" s="98" t="str">
        <f>HYPERLINK("https://i.ytimg.com/vi/Kp4bwAgLPpA/default.jpg")</f>
        <v>https://i.ytimg.com/vi/Kp4bwAgLPpA/default.jpg</v>
      </c>
      <c r="G784" s="100"/>
      <c r="H784" s="69" t="s">
        <v>3009</v>
      </c>
      <c r="I784" s="70"/>
      <c r="J784" s="104" t="s">
        <v>159</v>
      </c>
      <c r="K784" s="69" t="s">
        <v>3009</v>
      </c>
      <c r="L784" s="105">
        <v>1</v>
      </c>
      <c r="M784" s="74">
        <v>633.6934814453125</v>
      </c>
      <c r="N784" s="74">
        <v>9686.18359375</v>
      </c>
      <c r="O784" s="75"/>
      <c r="P784" s="76"/>
      <c r="Q784" s="76"/>
      <c r="R784" s="106"/>
      <c r="S784" s="48">
        <v>1</v>
      </c>
      <c r="T784" s="48">
        <v>0</v>
      </c>
      <c r="U784" s="49">
        <v>0</v>
      </c>
      <c r="V784" s="49">
        <v>0.18166</v>
      </c>
      <c r="W784" s="107"/>
      <c r="X784" s="50"/>
      <c r="Y784" s="50"/>
      <c r="Z784" s="49">
        <v>0</v>
      </c>
      <c r="AA784" s="71">
        <v>784</v>
      </c>
      <c r="AB784" s="71"/>
      <c r="AC784" s="72"/>
      <c r="AD784" s="79" t="s">
        <v>3009</v>
      </c>
      <c r="AE784" s="79" t="s">
        <v>3426</v>
      </c>
      <c r="AF784" s="79" t="s">
        <v>3671</v>
      </c>
      <c r="AG784" s="79" t="s">
        <v>1510</v>
      </c>
      <c r="AH784" s="79" t="s">
        <v>4377</v>
      </c>
      <c r="AI784" s="79">
        <v>102</v>
      </c>
      <c r="AJ784" s="79">
        <v>1</v>
      </c>
      <c r="AK784" s="79">
        <v>3</v>
      </c>
      <c r="AL784" s="79">
        <v>0</v>
      </c>
      <c r="AM784" s="79" t="s">
        <v>2092</v>
      </c>
      <c r="AN784" s="114" t="str">
        <f>HYPERLINK("https://www.youtube.com/watch?v=Kp4bwAgLPpA")</f>
        <v>https://www.youtube.com/watch?v=Kp4bwAgLPpA</v>
      </c>
      <c r="AO784" s="78" t="str">
        <f>REPLACE(INDEX(GroupVertices[Group],MATCH(Vertices[[#This Row],[Vertex]],GroupVertices[Vertex],0)),1,1,"")</f>
        <v>emystifying Medicine McMaster</v>
      </c>
      <c r="AP784" s="2"/>
      <c r="AQ784" s="3"/>
      <c r="AR784" s="3"/>
      <c r="AS784" s="3"/>
      <c r="AT784" s="3"/>
    </row>
    <row r="785" spans="1:46" ht="15">
      <c r="A785" s="64" t="s">
        <v>2537</v>
      </c>
      <c r="B785" s="65"/>
      <c r="C785" s="65"/>
      <c r="D785" s="66">
        <v>150</v>
      </c>
      <c r="E785" s="102">
        <v>97.85714285714286</v>
      </c>
      <c r="F785" s="98" t="str">
        <f>HYPERLINK("https://i.ytimg.com/vi/GpXaBfXol7E/default.jpg")</f>
        <v>https://i.ytimg.com/vi/GpXaBfXol7E/default.jpg</v>
      </c>
      <c r="G785" s="100"/>
      <c r="H785" s="69" t="s">
        <v>3010</v>
      </c>
      <c r="I785" s="70"/>
      <c r="J785" s="104" t="s">
        <v>159</v>
      </c>
      <c r="K785" s="69" t="s">
        <v>3010</v>
      </c>
      <c r="L785" s="105">
        <v>1</v>
      </c>
      <c r="M785" s="74">
        <v>148.39158630371094</v>
      </c>
      <c r="N785" s="74">
        <v>8347.5224609375</v>
      </c>
      <c r="O785" s="75"/>
      <c r="P785" s="76"/>
      <c r="Q785" s="76"/>
      <c r="R785" s="106"/>
      <c r="S785" s="48">
        <v>1</v>
      </c>
      <c r="T785" s="48">
        <v>0</v>
      </c>
      <c r="U785" s="49">
        <v>0</v>
      </c>
      <c r="V785" s="49">
        <v>0.18166</v>
      </c>
      <c r="W785" s="107"/>
      <c r="X785" s="50"/>
      <c r="Y785" s="50"/>
      <c r="Z785" s="49">
        <v>0</v>
      </c>
      <c r="AA785" s="71">
        <v>785</v>
      </c>
      <c r="AB785" s="71"/>
      <c r="AC785" s="72"/>
      <c r="AD785" s="79" t="s">
        <v>3010</v>
      </c>
      <c r="AE785" s="79" t="s">
        <v>3427</v>
      </c>
      <c r="AF785" s="79" t="s">
        <v>3672</v>
      </c>
      <c r="AG785" s="79" t="s">
        <v>1510</v>
      </c>
      <c r="AH785" s="79" t="s">
        <v>4378</v>
      </c>
      <c r="AI785" s="79">
        <v>142</v>
      </c>
      <c r="AJ785" s="79">
        <v>0</v>
      </c>
      <c r="AK785" s="79">
        <v>7</v>
      </c>
      <c r="AL785" s="79">
        <v>0</v>
      </c>
      <c r="AM785" s="79" t="s">
        <v>2092</v>
      </c>
      <c r="AN785" s="114" t="str">
        <f>HYPERLINK("https://www.youtube.com/watch?v=GpXaBfXol7E")</f>
        <v>https://www.youtube.com/watch?v=GpXaBfXol7E</v>
      </c>
      <c r="AO785" s="78" t="str">
        <f>REPLACE(INDEX(GroupVertices[Group],MATCH(Vertices[[#This Row],[Vertex]],GroupVertices[Vertex],0)),1,1,"")</f>
        <v>emystifying Medicine McMaster</v>
      </c>
      <c r="AP785" s="2"/>
      <c r="AQ785" s="3"/>
      <c r="AR785" s="3"/>
      <c r="AS785" s="3"/>
      <c r="AT785" s="3"/>
    </row>
    <row r="786" spans="1:46" ht="15">
      <c r="A786" s="64" t="s">
        <v>2538</v>
      </c>
      <c r="B786" s="65"/>
      <c r="C786" s="65"/>
      <c r="D786" s="66">
        <v>150</v>
      </c>
      <c r="E786" s="102">
        <v>97.85714285714286</v>
      </c>
      <c r="F786" s="98" t="str">
        <f>HYPERLINK("https://i.ytimg.com/vi/3p7EQGGxbws/default.jpg")</f>
        <v>https://i.ytimg.com/vi/3p7EQGGxbws/default.jpg</v>
      </c>
      <c r="G786" s="100"/>
      <c r="H786" s="69" t="s">
        <v>3011</v>
      </c>
      <c r="I786" s="70"/>
      <c r="J786" s="104" t="s">
        <v>159</v>
      </c>
      <c r="K786" s="69" t="s">
        <v>3011</v>
      </c>
      <c r="L786" s="105">
        <v>1</v>
      </c>
      <c r="M786" s="74">
        <v>1024.445556640625</v>
      </c>
      <c r="N786" s="74">
        <v>9560.8603515625</v>
      </c>
      <c r="O786" s="75"/>
      <c r="P786" s="76"/>
      <c r="Q786" s="76"/>
      <c r="R786" s="106"/>
      <c r="S786" s="48">
        <v>1</v>
      </c>
      <c r="T786" s="48">
        <v>0</v>
      </c>
      <c r="U786" s="49">
        <v>0</v>
      </c>
      <c r="V786" s="49">
        <v>0.18166</v>
      </c>
      <c r="W786" s="107"/>
      <c r="X786" s="50"/>
      <c r="Y786" s="50"/>
      <c r="Z786" s="49">
        <v>0</v>
      </c>
      <c r="AA786" s="71">
        <v>786</v>
      </c>
      <c r="AB786" s="71"/>
      <c r="AC786" s="72"/>
      <c r="AD786" s="79" t="s">
        <v>3011</v>
      </c>
      <c r="AE786" s="79" t="s">
        <v>3428</v>
      </c>
      <c r="AF786" s="79" t="s">
        <v>1474</v>
      </c>
      <c r="AG786" s="79" t="s">
        <v>1510</v>
      </c>
      <c r="AH786" s="79" t="s">
        <v>4379</v>
      </c>
      <c r="AI786" s="79">
        <v>183</v>
      </c>
      <c r="AJ786" s="79">
        <v>0</v>
      </c>
      <c r="AK786" s="79">
        <v>20</v>
      </c>
      <c r="AL786" s="79">
        <v>0</v>
      </c>
      <c r="AM786" s="79" t="s">
        <v>2092</v>
      </c>
      <c r="AN786" s="114" t="str">
        <f>HYPERLINK("https://www.youtube.com/watch?v=3p7EQGGxbws")</f>
        <v>https://www.youtube.com/watch?v=3p7EQGGxbws</v>
      </c>
      <c r="AO786" s="78" t="str">
        <f>REPLACE(INDEX(GroupVertices[Group],MATCH(Vertices[[#This Row],[Vertex]],GroupVertices[Vertex],0)),1,1,"")</f>
        <v>emystifying Medicine McMaster</v>
      </c>
      <c r="AP786" s="2"/>
      <c r="AQ786" s="3"/>
      <c r="AR786" s="3"/>
      <c r="AS786" s="3"/>
      <c r="AT786" s="3"/>
    </row>
    <row r="787" spans="1:46" ht="15">
      <c r="A787" s="64" t="s">
        <v>2539</v>
      </c>
      <c r="B787" s="65"/>
      <c r="C787" s="65"/>
      <c r="D787" s="66">
        <v>150</v>
      </c>
      <c r="E787" s="102">
        <v>97.85714285714286</v>
      </c>
      <c r="F787" s="98" t="str">
        <f>HYPERLINK("https://i.ytimg.com/vi/oJCOPFsC4-8/default.jpg")</f>
        <v>https://i.ytimg.com/vi/oJCOPFsC4-8/default.jpg</v>
      </c>
      <c r="G787" s="100"/>
      <c r="H787" s="69" t="s">
        <v>3012</v>
      </c>
      <c r="I787" s="70"/>
      <c r="J787" s="104" t="s">
        <v>159</v>
      </c>
      <c r="K787" s="69" t="s">
        <v>3012</v>
      </c>
      <c r="L787" s="105">
        <v>1</v>
      </c>
      <c r="M787" s="74">
        <v>909.859619140625</v>
      </c>
      <c r="N787" s="74">
        <v>9855.3359375</v>
      </c>
      <c r="O787" s="75"/>
      <c r="P787" s="76"/>
      <c r="Q787" s="76"/>
      <c r="R787" s="106"/>
      <c r="S787" s="48">
        <v>1</v>
      </c>
      <c r="T787" s="48">
        <v>0</v>
      </c>
      <c r="U787" s="49">
        <v>0</v>
      </c>
      <c r="V787" s="49">
        <v>0.18166</v>
      </c>
      <c r="W787" s="107"/>
      <c r="X787" s="50"/>
      <c r="Y787" s="50"/>
      <c r="Z787" s="49">
        <v>0</v>
      </c>
      <c r="AA787" s="71">
        <v>787</v>
      </c>
      <c r="AB787" s="71"/>
      <c r="AC787" s="72"/>
      <c r="AD787" s="79" t="s">
        <v>3012</v>
      </c>
      <c r="AE787" s="79" t="s">
        <v>3429</v>
      </c>
      <c r="AF787" s="79" t="s">
        <v>1474</v>
      </c>
      <c r="AG787" s="79" t="s">
        <v>1510</v>
      </c>
      <c r="AH787" s="79" t="s">
        <v>4380</v>
      </c>
      <c r="AI787" s="79">
        <v>125</v>
      </c>
      <c r="AJ787" s="79">
        <v>0</v>
      </c>
      <c r="AK787" s="79">
        <v>9</v>
      </c>
      <c r="AL787" s="79">
        <v>0</v>
      </c>
      <c r="AM787" s="79" t="s">
        <v>2092</v>
      </c>
      <c r="AN787" s="114" t="str">
        <f>HYPERLINK("https://www.youtube.com/watch?v=oJCOPFsC4-8")</f>
        <v>https://www.youtube.com/watch?v=oJCOPFsC4-8</v>
      </c>
      <c r="AO787" s="78" t="str">
        <f>REPLACE(INDEX(GroupVertices[Group],MATCH(Vertices[[#This Row],[Vertex]],GroupVertices[Vertex],0)),1,1,"")</f>
        <v>emystifying Medicine McMaster</v>
      </c>
      <c r="AP787" s="2"/>
      <c r="AQ787" s="3"/>
      <c r="AR787" s="3"/>
      <c r="AS787" s="3"/>
      <c r="AT787" s="3"/>
    </row>
    <row r="788" spans="1:46" ht="15">
      <c r="A788" s="64" t="s">
        <v>597</v>
      </c>
      <c r="B788" s="65"/>
      <c r="C788" s="65"/>
      <c r="D788" s="66">
        <v>150</v>
      </c>
      <c r="E788" s="102">
        <v>95.71428571428571</v>
      </c>
      <c r="F788" s="98" t="str">
        <f>HYPERLINK("https://i.ytimg.com/vi/tEz2a97MASQ/default.jpg")</f>
        <v>https://i.ytimg.com/vi/tEz2a97MASQ/default.jpg</v>
      </c>
      <c r="G788" s="100"/>
      <c r="H788" s="69" t="s">
        <v>1021</v>
      </c>
      <c r="I788" s="70"/>
      <c r="J788" s="104" t="s">
        <v>159</v>
      </c>
      <c r="K788" s="69" t="s">
        <v>1021</v>
      </c>
      <c r="L788" s="105">
        <v>1</v>
      </c>
      <c r="M788" s="74">
        <v>810.7896728515625</v>
      </c>
      <c r="N788" s="74">
        <v>6866.4091796875</v>
      </c>
      <c r="O788" s="75"/>
      <c r="P788" s="76"/>
      <c r="Q788" s="76"/>
      <c r="R788" s="106"/>
      <c r="S788" s="48">
        <v>2</v>
      </c>
      <c r="T788" s="48">
        <v>0</v>
      </c>
      <c r="U788" s="49">
        <v>0</v>
      </c>
      <c r="V788" s="49">
        <v>0.193966</v>
      </c>
      <c r="W788" s="107"/>
      <c r="X788" s="50"/>
      <c r="Y788" s="50"/>
      <c r="Z788" s="49">
        <v>0</v>
      </c>
      <c r="AA788" s="71">
        <v>788</v>
      </c>
      <c r="AB788" s="71"/>
      <c r="AC788" s="72"/>
      <c r="AD788" s="79" t="s">
        <v>1021</v>
      </c>
      <c r="AE788" s="79" t="s">
        <v>1288</v>
      </c>
      <c r="AF788" s="79"/>
      <c r="AG788" s="79" t="s">
        <v>1511</v>
      </c>
      <c r="AH788" s="79" t="s">
        <v>2078</v>
      </c>
      <c r="AI788" s="79">
        <v>34778</v>
      </c>
      <c r="AJ788" s="79">
        <v>30</v>
      </c>
      <c r="AK788" s="79">
        <v>611</v>
      </c>
      <c r="AL788" s="79">
        <v>0</v>
      </c>
      <c r="AM788" s="79" t="s">
        <v>2092</v>
      </c>
      <c r="AN788" s="114" t="str">
        <f>HYPERLINK("https://www.youtube.com/watch?v=tEz2a97MASQ")</f>
        <v>https://www.youtube.com/watch?v=tEz2a97MASQ</v>
      </c>
      <c r="AO788" s="78" t="str">
        <f>REPLACE(INDEX(GroupVertices[Group],MATCH(Vertices[[#This Row],[Vertex]],GroupVertices[Vertex],0)),1,1,"")</f>
        <v>emorable Psychiatry and Neurology</v>
      </c>
      <c r="AP788" s="2"/>
      <c r="AQ788" s="3"/>
      <c r="AR788" s="3"/>
      <c r="AS788" s="3"/>
      <c r="AT788" s="3"/>
    </row>
    <row r="789" spans="1:46" ht="15">
      <c r="A789" s="64" t="s">
        <v>596</v>
      </c>
      <c r="B789" s="65"/>
      <c r="C789" s="65"/>
      <c r="D789" s="66">
        <v>150</v>
      </c>
      <c r="E789" s="102">
        <v>97.85714285714286</v>
      </c>
      <c r="F789" s="98" t="str">
        <f>HYPERLINK("https://i.ytimg.com/vi/4PI04RtSK2A/default.jpg")</f>
        <v>https://i.ytimg.com/vi/4PI04RtSK2A/default.jpg</v>
      </c>
      <c r="G789" s="100"/>
      <c r="H789" s="69" t="s">
        <v>1020</v>
      </c>
      <c r="I789" s="70"/>
      <c r="J789" s="104" t="s">
        <v>159</v>
      </c>
      <c r="K789" s="69" t="s">
        <v>1020</v>
      </c>
      <c r="L789" s="105">
        <v>1</v>
      </c>
      <c r="M789" s="74">
        <v>199.29396057128906</v>
      </c>
      <c r="N789" s="74">
        <v>8859.9033203125</v>
      </c>
      <c r="O789" s="75"/>
      <c r="P789" s="76"/>
      <c r="Q789" s="76"/>
      <c r="R789" s="106"/>
      <c r="S789" s="48">
        <v>1</v>
      </c>
      <c r="T789" s="48">
        <v>0</v>
      </c>
      <c r="U789" s="49">
        <v>0</v>
      </c>
      <c r="V789" s="49">
        <v>0.18166</v>
      </c>
      <c r="W789" s="107"/>
      <c r="X789" s="50"/>
      <c r="Y789" s="50"/>
      <c r="Z789" s="49">
        <v>0</v>
      </c>
      <c r="AA789" s="71">
        <v>789</v>
      </c>
      <c r="AB789" s="71"/>
      <c r="AC789" s="72"/>
      <c r="AD789" s="79" t="s">
        <v>1020</v>
      </c>
      <c r="AE789" s="79" t="s">
        <v>3430</v>
      </c>
      <c r="AF789" s="79" t="s">
        <v>1472</v>
      </c>
      <c r="AG789" s="79" t="s">
        <v>1510</v>
      </c>
      <c r="AH789" s="79" t="s">
        <v>2077</v>
      </c>
      <c r="AI789" s="79">
        <v>137</v>
      </c>
      <c r="AJ789" s="79">
        <v>0</v>
      </c>
      <c r="AK789" s="79">
        <v>6</v>
      </c>
      <c r="AL789" s="79">
        <v>0</v>
      </c>
      <c r="AM789" s="79" t="s">
        <v>2092</v>
      </c>
      <c r="AN789" s="114" t="str">
        <f>HYPERLINK("https://www.youtube.com/watch?v=4PI04RtSK2A")</f>
        <v>https://www.youtube.com/watch?v=4PI04RtSK2A</v>
      </c>
      <c r="AO789" s="78" t="str">
        <f>REPLACE(INDEX(GroupVertices[Group],MATCH(Vertices[[#This Row],[Vertex]],GroupVertices[Vertex],0)),1,1,"")</f>
        <v>emystifying Medicine McMaster</v>
      </c>
      <c r="AP789" s="2"/>
      <c r="AQ789" s="3"/>
      <c r="AR789" s="3"/>
      <c r="AS789" s="3"/>
      <c r="AT789" s="3"/>
    </row>
    <row r="790" spans="1:46" ht="15">
      <c r="A790" s="64" t="s">
        <v>600</v>
      </c>
      <c r="B790" s="65"/>
      <c r="C790" s="65"/>
      <c r="D790" s="66">
        <v>150</v>
      </c>
      <c r="E790" s="102">
        <v>97.85714285714286</v>
      </c>
      <c r="F790" s="98" t="str">
        <f>HYPERLINK("https://i.ytimg.com/vi/0cKfe0vyW50/default.jpg")</f>
        <v>https://i.ytimg.com/vi/0cKfe0vyW50/default.jpg</v>
      </c>
      <c r="G790" s="100"/>
      <c r="H790" s="69" t="s">
        <v>1024</v>
      </c>
      <c r="I790" s="70"/>
      <c r="J790" s="104" t="s">
        <v>159</v>
      </c>
      <c r="K790" s="69" t="s">
        <v>1024</v>
      </c>
      <c r="L790" s="105">
        <v>1</v>
      </c>
      <c r="M790" s="74">
        <v>614.693359375</v>
      </c>
      <c r="N790" s="74">
        <v>7875.04931640625</v>
      </c>
      <c r="O790" s="75"/>
      <c r="P790" s="76"/>
      <c r="Q790" s="76"/>
      <c r="R790" s="106"/>
      <c r="S790" s="48">
        <v>1</v>
      </c>
      <c r="T790" s="48">
        <v>0</v>
      </c>
      <c r="U790" s="49">
        <v>0</v>
      </c>
      <c r="V790" s="49">
        <v>0.18166</v>
      </c>
      <c r="W790" s="107"/>
      <c r="X790" s="50"/>
      <c r="Y790" s="50"/>
      <c r="Z790" s="49">
        <v>0</v>
      </c>
      <c r="AA790" s="71">
        <v>790</v>
      </c>
      <c r="AB790" s="71"/>
      <c r="AC790" s="72"/>
      <c r="AD790" s="79" t="s">
        <v>1024</v>
      </c>
      <c r="AE790" s="79" t="s">
        <v>3431</v>
      </c>
      <c r="AF790" s="79" t="s">
        <v>1475</v>
      </c>
      <c r="AG790" s="79" t="s">
        <v>1510</v>
      </c>
      <c r="AH790" s="79" t="s">
        <v>2081</v>
      </c>
      <c r="AI790" s="79">
        <v>165</v>
      </c>
      <c r="AJ790" s="79">
        <v>7</v>
      </c>
      <c r="AK790" s="79">
        <v>16</v>
      </c>
      <c r="AL790" s="79">
        <v>0</v>
      </c>
      <c r="AM790" s="79" t="s">
        <v>2092</v>
      </c>
      <c r="AN790" s="114" t="str">
        <f>HYPERLINK("https://www.youtube.com/watch?v=0cKfe0vyW50")</f>
        <v>https://www.youtube.com/watch?v=0cKfe0vyW50</v>
      </c>
      <c r="AO790" s="78" t="str">
        <f>REPLACE(INDEX(GroupVertices[Group],MATCH(Vertices[[#This Row],[Vertex]],GroupVertices[Vertex],0)),1,1,"")</f>
        <v>emystifying Medicine McMaster</v>
      </c>
      <c r="AP790" s="2"/>
      <c r="AQ790" s="3"/>
      <c r="AR790" s="3"/>
      <c r="AS790" s="3"/>
      <c r="AT790" s="3"/>
    </row>
    <row r="791" spans="1:46" ht="15">
      <c r="A791" s="64" t="s">
        <v>2540</v>
      </c>
      <c r="B791" s="65"/>
      <c r="C791" s="65"/>
      <c r="D791" s="66">
        <v>150</v>
      </c>
      <c r="E791" s="102">
        <v>97.85714285714286</v>
      </c>
      <c r="F791" s="98" t="str">
        <f>HYPERLINK("https://i.ytimg.com/vi/u6cZrIxIdnA/default.jpg")</f>
        <v>https://i.ytimg.com/vi/u6cZrIxIdnA/default.jpg</v>
      </c>
      <c r="G791" s="100"/>
      <c r="H791" s="69" t="s">
        <v>3013</v>
      </c>
      <c r="I791" s="70"/>
      <c r="J791" s="104" t="s">
        <v>159</v>
      </c>
      <c r="K791" s="69" t="s">
        <v>3013</v>
      </c>
      <c r="L791" s="105">
        <v>1</v>
      </c>
      <c r="M791" s="74">
        <v>402.03076171875</v>
      </c>
      <c r="N791" s="74">
        <v>6964.56103515625</v>
      </c>
      <c r="O791" s="75"/>
      <c r="P791" s="76"/>
      <c r="Q791" s="76"/>
      <c r="R791" s="106"/>
      <c r="S791" s="48">
        <v>1</v>
      </c>
      <c r="T791" s="48">
        <v>0</v>
      </c>
      <c r="U791" s="49">
        <v>0</v>
      </c>
      <c r="V791" s="49">
        <v>0.18166</v>
      </c>
      <c r="W791" s="107"/>
      <c r="X791" s="50"/>
      <c r="Y791" s="50"/>
      <c r="Z791" s="49">
        <v>0</v>
      </c>
      <c r="AA791" s="71">
        <v>791</v>
      </c>
      <c r="AB791" s="71"/>
      <c r="AC791" s="72"/>
      <c r="AD791" s="79" t="s">
        <v>3013</v>
      </c>
      <c r="AE791" s="79" t="s">
        <v>3432</v>
      </c>
      <c r="AF791" s="79" t="s">
        <v>1474</v>
      </c>
      <c r="AG791" s="79" t="s">
        <v>1510</v>
      </c>
      <c r="AH791" s="79" t="s">
        <v>4381</v>
      </c>
      <c r="AI791" s="79">
        <v>114</v>
      </c>
      <c r="AJ791" s="79">
        <v>0</v>
      </c>
      <c r="AK791" s="79">
        <v>4</v>
      </c>
      <c r="AL791" s="79">
        <v>0</v>
      </c>
      <c r="AM791" s="79" t="s">
        <v>2092</v>
      </c>
      <c r="AN791" s="114" t="str">
        <f>HYPERLINK("https://www.youtube.com/watch?v=u6cZrIxIdnA")</f>
        <v>https://www.youtube.com/watch?v=u6cZrIxIdnA</v>
      </c>
      <c r="AO791" s="78" t="str">
        <f>REPLACE(INDEX(GroupVertices[Group],MATCH(Vertices[[#This Row],[Vertex]],GroupVertices[Vertex],0)),1,1,"")</f>
        <v>emystifying Medicine McMaster</v>
      </c>
      <c r="AP791" s="2"/>
      <c r="AQ791" s="3"/>
      <c r="AR791" s="3"/>
      <c r="AS791" s="3"/>
      <c r="AT791" s="3"/>
    </row>
    <row r="792" spans="1:46" ht="15">
      <c r="A792" s="64" t="s">
        <v>2541</v>
      </c>
      <c r="B792" s="65"/>
      <c r="C792" s="65"/>
      <c r="D792" s="66">
        <v>150</v>
      </c>
      <c r="E792" s="102">
        <v>97.85714285714286</v>
      </c>
      <c r="F792" s="98" t="str">
        <f>HYPERLINK("https://i.ytimg.com/vi/14RpqF9cOec/default.jpg")</f>
        <v>https://i.ytimg.com/vi/14RpqF9cOec/default.jpg</v>
      </c>
      <c r="G792" s="100"/>
      <c r="H792" s="69" t="s">
        <v>3014</v>
      </c>
      <c r="I792" s="70"/>
      <c r="J792" s="104" t="s">
        <v>159</v>
      </c>
      <c r="K792" s="69" t="s">
        <v>3014</v>
      </c>
      <c r="L792" s="105">
        <v>1</v>
      </c>
      <c r="M792" s="74">
        <v>180.29025268554688</v>
      </c>
      <c r="N792" s="74">
        <v>8589.3828125</v>
      </c>
      <c r="O792" s="75"/>
      <c r="P792" s="76"/>
      <c r="Q792" s="76"/>
      <c r="R792" s="106"/>
      <c r="S792" s="48">
        <v>1</v>
      </c>
      <c r="T792" s="48">
        <v>0</v>
      </c>
      <c r="U792" s="49">
        <v>0</v>
      </c>
      <c r="V792" s="49">
        <v>0.18166</v>
      </c>
      <c r="W792" s="107"/>
      <c r="X792" s="50"/>
      <c r="Y792" s="50"/>
      <c r="Z792" s="49">
        <v>0</v>
      </c>
      <c r="AA792" s="71">
        <v>792</v>
      </c>
      <c r="AB792" s="71"/>
      <c r="AC792" s="72"/>
      <c r="AD792" s="79" t="s">
        <v>3014</v>
      </c>
      <c r="AE792" s="79" t="s">
        <v>3433</v>
      </c>
      <c r="AF792" s="79" t="s">
        <v>3673</v>
      </c>
      <c r="AG792" s="79" t="s">
        <v>1510</v>
      </c>
      <c r="AH792" s="79" t="s">
        <v>4382</v>
      </c>
      <c r="AI792" s="79">
        <v>82</v>
      </c>
      <c r="AJ792" s="79">
        <v>0</v>
      </c>
      <c r="AK792" s="79">
        <v>2</v>
      </c>
      <c r="AL792" s="79">
        <v>0</v>
      </c>
      <c r="AM792" s="79" t="s">
        <v>2092</v>
      </c>
      <c r="AN792" s="114" t="str">
        <f>HYPERLINK("https://www.youtube.com/watch?v=14RpqF9cOec")</f>
        <v>https://www.youtube.com/watch?v=14RpqF9cOec</v>
      </c>
      <c r="AO792" s="78" t="str">
        <f>REPLACE(INDEX(GroupVertices[Group],MATCH(Vertices[[#This Row],[Vertex]],GroupVertices[Vertex],0)),1,1,"")</f>
        <v>emystifying Medicine McMaster</v>
      </c>
      <c r="AP792" s="2"/>
      <c r="AQ792" s="3"/>
      <c r="AR792" s="3"/>
      <c r="AS792" s="3"/>
      <c r="AT792" s="3"/>
    </row>
    <row r="793" spans="1:46" ht="15">
      <c r="A793" s="64" t="s">
        <v>2542</v>
      </c>
      <c r="B793" s="65"/>
      <c r="C793" s="65"/>
      <c r="D793" s="66">
        <v>150</v>
      </c>
      <c r="E793" s="102">
        <v>97.85714285714286</v>
      </c>
      <c r="F793" s="98" t="str">
        <f>HYPERLINK("https://i.ytimg.com/vi/ev-xCmDui1s/default.jpg")</f>
        <v>https://i.ytimg.com/vi/ev-xCmDui1s/default.jpg</v>
      </c>
      <c r="G793" s="100"/>
      <c r="H793" s="69" t="s">
        <v>3015</v>
      </c>
      <c r="I793" s="70"/>
      <c r="J793" s="104" t="s">
        <v>159</v>
      </c>
      <c r="K793" s="69" t="s">
        <v>3015</v>
      </c>
      <c r="L793" s="105">
        <v>1</v>
      </c>
      <c r="M793" s="74">
        <v>641.8340454101562</v>
      </c>
      <c r="N793" s="74">
        <v>9317.0849609375</v>
      </c>
      <c r="O793" s="75"/>
      <c r="P793" s="76"/>
      <c r="Q793" s="76"/>
      <c r="R793" s="106"/>
      <c r="S793" s="48">
        <v>1</v>
      </c>
      <c r="T793" s="48">
        <v>0</v>
      </c>
      <c r="U793" s="49">
        <v>0</v>
      </c>
      <c r="V793" s="49">
        <v>0.18166</v>
      </c>
      <c r="W793" s="107"/>
      <c r="X793" s="50"/>
      <c r="Y793" s="50"/>
      <c r="Z793" s="49">
        <v>0</v>
      </c>
      <c r="AA793" s="71">
        <v>793</v>
      </c>
      <c r="AB793" s="71"/>
      <c r="AC793" s="72"/>
      <c r="AD793" s="79" t="s">
        <v>3015</v>
      </c>
      <c r="AE793" s="79" t="s">
        <v>3434</v>
      </c>
      <c r="AF793" s="79" t="s">
        <v>1474</v>
      </c>
      <c r="AG793" s="79" t="s">
        <v>1510</v>
      </c>
      <c r="AH793" s="79" t="s">
        <v>4383</v>
      </c>
      <c r="AI793" s="79">
        <v>228</v>
      </c>
      <c r="AJ793" s="79">
        <v>1</v>
      </c>
      <c r="AK793" s="79">
        <v>15</v>
      </c>
      <c r="AL793" s="79">
        <v>0</v>
      </c>
      <c r="AM793" s="79" t="s">
        <v>2092</v>
      </c>
      <c r="AN793" s="114" t="str">
        <f>HYPERLINK("https://www.youtube.com/watch?v=ev-xCmDui1s")</f>
        <v>https://www.youtube.com/watch?v=ev-xCmDui1s</v>
      </c>
      <c r="AO793" s="78" t="str">
        <f>REPLACE(INDEX(GroupVertices[Group],MATCH(Vertices[[#This Row],[Vertex]],GroupVertices[Vertex],0)),1,1,"")</f>
        <v>emystifying Medicine McMaster</v>
      </c>
      <c r="AP793" s="2"/>
      <c r="AQ793" s="3"/>
      <c r="AR793" s="3"/>
      <c r="AS793" s="3"/>
      <c r="AT793" s="3"/>
    </row>
    <row r="794" spans="1:46" ht="15">
      <c r="A794" s="64" t="s">
        <v>197</v>
      </c>
      <c r="B794" s="65"/>
      <c r="C794" s="65"/>
      <c r="D794" s="66">
        <v>150</v>
      </c>
      <c r="E794" s="102">
        <v>95.71428571428571</v>
      </c>
      <c r="F794" s="98" t="str">
        <f>HYPERLINK("https://i.ytimg.com/vi/7mRmKENnKBI/default.jpg")</f>
        <v>https://i.ytimg.com/vi/7mRmKENnKBI/default.jpg</v>
      </c>
      <c r="G794" s="100"/>
      <c r="H794" s="69" t="s">
        <v>640</v>
      </c>
      <c r="I794" s="70"/>
      <c r="J794" s="104" t="s">
        <v>159</v>
      </c>
      <c r="K794" s="69" t="s">
        <v>640</v>
      </c>
      <c r="L794" s="105">
        <v>1</v>
      </c>
      <c r="M794" s="74">
        <v>1268.51513671875</v>
      </c>
      <c r="N794" s="74">
        <v>7637.9541015625</v>
      </c>
      <c r="O794" s="75"/>
      <c r="P794" s="76"/>
      <c r="Q794" s="76"/>
      <c r="R794" s="106"/>
      <c r="S794" s="48">
        <v>2</v>
      </c>
      <c r="T794" s="48">
        <v>0</v>
      </c>
      <c r="U794" s="49">
        <v>0</v>
      </c>
      <c r="V794" s="49">
        <v>0.194384</v>
      </c>
      <c r="W794" s="107"/>
      <c r="X794" s="50"/>
      <c r="Y794" s="50"/>
      <c r="Z794" s="49">
        <v>0</v>
      </c>
      <c r="AA794" s="71">
        <v>794</v>
      </c>
      <c r="AB794" s="71"/>
      <c r="AC794" s="72"/>
      <c r="AD794" s="79" t="s">
        <v>640</v>
      </c>
      <c r="AE794" s="79" t="s">
        <v>1047</v>
      </c>
      <c r="AF794" s="79" t="s">
        <v>1308</v>
      </c>
      <c r="AG794" s="79" t="s">
        <v>1508</v>
      </c>
      <c r="AH794" s="79" t="s">
        <v>1696</v>
      </c>
      <c r="AI794" s="79">
        <v>43347</v>
      </c>
      <c r="AJ794" s="79">
        <v>31</v>
      </c>
      <c r="AK794" s="79">
        <v>990</v>
      </c>
      <c r="AL794" s="79">
        <v>0</v>
      </c>
      <c r="AM794" s="79" t="s">
        <v>2092</v>
      </c>
      <c r="AN794" s="114" t="str">
        <f>HYPERLINK("https://www.youtube.com/watch?v=7mRmKENnKBI")</f>
        <v>https://www.youtube.com/watch?v=7mRmKENnKBI</v>
      </c>
      <c r="AO794" s="78" t="str">
        <f>REPLACE(INDEX(GroupVertices[Group],MATCH(Vertices[[#This Row],[Vertex]],GroupVertices[Vertex],0)),1,1,"")</f>
        <v>adMedicine</v>
      </c>
      <c r="AP794" s="2"/>
      <c r="AQ794" s="3"/>
      <c r="AR794" s="3"/>
      <c r="AS794" s="3"/>
      <c r="AT794" s="3"/>
    </row>
    <row r="795" spans="1:46" ht="15">
      <c r="A795" s="64" t="s">
        <v>601</v>
      </c>
      <c r="B795" s="65"/>
      <c r="C795" s="65"/>
      <c r="D795" s="66">
        <v>150</v>
      </c>
      <c r="E795" s="102">
        <v>97.85714285714286</v>
      </c>
      <c r="F795" s="98" t="str">
        <f>HYPERLINK("https://i.ytimg.com/vi/hdvUMWybupY/default.jpg")</f>
        <v>https://i.ytimg.com/vi/hdvUMWybupY/default.jpg</v>
      </c>
      <c r="G795" s="100"/>
      <c r="H795" s="69" t="s">
        <v>1025</v>
      </c>
      <c r="I795" s="70"/>
      <c r="J795" s="104" t="s">
        <v>159</v>
      </c>
      <c r="K795" s="69" t="s">
        <v>1025</v>
      </c>
      <c r="L795" s="105">
        <v>1</v>
      </c>
      <c r="M795" s="74">
        <v>301.6896667480469</v>
      </c>
      <c r="N795" s="74">
        <v>9183.5791015625</v>
      </c>
      <c r="O795" s="75"/>
      <c r="P795" s="76"/>
      <c r="Q795" s="76"/>
      <c r="R795" s="106"/>
      <c r="S795" s="48">
        <v>1</v>
      </c>
      <c r="T795" s="48">
        <v>0</v>
      </c>
      <c r="U795" s="49">
        <v>0</v>
      </c>
      <c r="V795" s="49">
        <v>0.18166</v>
      </c>
      <c r="W795" s="107"/>
      <c r="X795" s="50"/>
      <c r="Y795" s="50"/>
      <c r="Z795" s="49">
        <v>0</v>
      </c>
      <c r="AA795" s="71">
        <v>795</v>
      </c>
      <c r="AB795" s="71"/>
      <c r="AC795" s="72"/>
      <c r="AD795" s="79" t="s">
        <v>1025</v>
      </c>
      <c r="AE795" s="79" t="s">
        <v>3435</v>
      </c>
      <c r="AF795" s="79" t="s">
        <v>1474</v>
      </c>
      <c r="AG795" s="79" t="s">
        <v>1510</v>
      </c>
      <c r="AH795" s="79" t="s">
        <v>2082</v>
      </c>
      <c r="AI795" s="79">
        <v>246</v>
      </c>
      <c r="AJ795" s="79">
        <v>0</v>
      </c>
      <c r="AK795" s="79">
        <v>11</v>
      </c>
      <c r="AL795" s="79">
        <v>0</v>
      </c>
      <c r="AM795" s="79" t="s">
        <v>2092</v>
      </c>
      <c r="AN795" s="114" t="str">
        <f>HYPERLINK("https://www.youtube.com/watch?v=hdvUMWybupY")</f>
        <v>https://www.youtube.com/watch?v=hdvUMWybupY</v>
      </c>
      <c r="AO795" s="78" t="str">
        <f>REPLACE(INDEX(GroupVertices[Group],MATCH(Vertices[[#This Row],[Vertex]],GroupVertices[Vertex],0)),1,1,"")</f>
        <v>emystifying Medicine McMaster</v>
      </c>
      <c r="AP795" s="2"/>
      <c r="AQ795" s="3"/>
      <c r="AR795" s="3"/>
      <c r="AS795" s="3"/>
      <c r="AT795" s="3"/>
    </row>
    <row r="796" spans="1:46" ht="15">
      <c r="A796" s="64" t="s">
        <v>603</v>
      </c>
      <c r="B796" s="65"/>
      <c r="C796" s="65"/>
      <c r="D796" s="66">
        <v>150</v>
      </c>
      <c r="E796" s="102">
        <v>97.85714285714286</v>
      </c>
      <c r="F796" s="98" t="str">
        <f>HYPERLINK("https://i.ytimg.com/vi/F7h-2oevM7I/default.jpg")</f>
        <v>https://i.ytimg.com/vi/F7h-2oevM7I/default.jpg</v>
      </c>
      <c r="G796" s="100"/>
      <c r="H796" s="69" t="s">
        <v>1027</v>
      </c>
      <c r="I796" s="70"/>
      <c r="J796" s="104" t="s">
        <v>159</v>
      </c>
      <c r="K796" s="69" t="s">
        <v>1027</v>
      </c>
      <c r="L796" s="105">
        <v>1</v>
      </c>
      <c r="M796" s="74">
        <v>402.1944885253906</v>
      </c>
      <c r="N796" s="74">
        <v>7716.32666015625</v>
      </c>
      <c r="O796" s="75"/>
      <c r="P796" s="76"/>
      <c r="Q796" s="76"/>
      <c r="R796" s="106"/>
      <c r="S796" s="48">
        <v>1</v>
      </c>
      <c r="T796" s="48">
        <v>0</v>
      </c>
      <c r="U796" s="49">
        <v>0</v>
      </c>
      <c r="V796" s="49">
        <v>0.18166</v>
      </c>
      <c r="W796" s="107"/>
      <c r="X796" s="50"/>
      <c r="Y796" s="50"/>
      <c r="Z796" s="49">
        <v>0</v>
      </c>
      <c r="AA796" s="71">
        <v>796</v>
      </c>
      <c r="AB796" s="71"/>
      <c r="AC796" s="72"/>
      <c r="AD796" s="79" t="s">
        <v>1027</v>
      </c>
      <c r="AE796" s="79" t="s">
        <v>1292</v>
      </c>
      <c r="AF796" s="79" t="s">
        <v>1476</v>
      </c>
      <c r="AG796" s="79" t="s">
        <v>1510</v>
      </c>
      <c r="AH796" s="79" t="s">
        <v>2084</v>
      </c>
      <c r="AI796" s="79">
        <v>15393</v>
      </c>
      <c r="AJ796" s="79">
        <v>42</v>
      </c>
      <c r="AK796" s="79">
        <v>265</v>
      </c>
      <c r="AL796" s="79">
        <v>0</v>
      </c>
      <c r="AM796" s="79" t="s">
        <v>2092</v>
      </c>
      <c r="AN796" s="114" t="str">
        <f>HYPERLINK("https://www.youtube.com/watch?v=F7h-2oevM7I")</f>
        <v>https://www.youtube.com/watch?v=F7h-2oevM7I</v>
      </c>
      <c r="AO796" s="78" t="str">
        <f>REPLACE(INDEX(GroupVertices[Group],MATCH(Vertices[[#This Row],[Vertex]],GroupVertices[Vertex],0)),1,1,"")</f>
        <v>emystifying Medicine McMaster</v>
      </c>
      <c r="AP796" s="2"/>
      <c r="AQ796" s="3"/>
      <c r="AR796" s="3"/>
      <c r="AS796" s="3"/>
      <c r="AT796" s="3"/>
    </row>
    <row r="797" spans="1:46" ht="15">
      <c r="A797" s="64" t="s">
        <v>599</v>
      </c>
      <c r="B797" s="65"/>
      <c r="C797" s="65"/>
      <c r="D797" s="66">
        <v>150</v>
      </c>
      <c r="E797" s="102">
        <v>97.85714285714286</v>
      </c>
      <c r="F797" s="98" t="str">
        <f>HYPERLINK("https://i.ytimg.com/vi/ewSanmWGKJk/default.jpg")</f>
        <v>https://i.ytimg.com/vi/ewSanmWGKJk/default.jpg</v>
      </c>
      <c r="G797" s="100"/>
      <c r="H797" s="69" t="s">
        <v>1023</v>
      </c>
      <c r="I797" s="70"/>
      <c r="J797" s="104" t="s">
        <v>159</v>
      </c>
      <c r="K797" s="69" t="s">
        <v>1023</v>
      </c>
      <c r="L797" s="105">
        <v>1</v>
      </c>
      <c r="M797" s="74">
        <v>752.3449096679688</v>
      </c>
      <c r="N797" s="74">
        <v>7210.419921875</v>
      </c>
      <c r="O797" s="75"/>
      <c r="P797" s="76"/>
      <c r="Q797" s="76"/>
      <c r="R797" s="106"/>
      <c r="S797" s="48">
        <v>1</v>
      </c>
      <c r="T797" s="48">
        <v>0</v>
      </c>
      <c r="U797" s="49">
        <v>0</v>
      </c>
      <c r="V797" s="49">
        <v>0.18166</v>
      </c>
      <c r="W797" s="107"/>
      <c r="X797" s="50"/>
      <c r="Y797" s="50"/>
      <c r="Z797" s="49">
        <v>0</v>
      </c>
      <c r="AA797" s="71">
        <v>797</v>
      </c>
      <c r="AB797" s="71"/>
      <c r="AC797" s="72"/>
      <c r="AD797" s="79" t="s">
        <v>1023</v>
      </c>
      <c r="AE797" s="79" t="s">
        <v>1290</v>
      </c>
      <c r="AF797" s="79" t="s">
        <v>1474</v>
      </c>
      <c r="AG797" s="79" t="s">
        <v>1510</v>
      </c>
      <c r="AH797" s="79" t="s">
        <v>2080</v>
      </c>
      <c r="AI797" s="79">
        <v>243</v>
      </c>
      <c r="AJ797" s="79">
        <v>1</v>
      </c>
      <c r="AK797" s="79">
        <v>14</v>
      </c>
      <c r="AL797" s="79">
        <v>0</v>
      </c>
      <c r="AM797" s="79" t="s">
        <v>2092</v>
      </c>
      <c r="AN797" s="114" t="str">
        <f>HYPERLINK("https://www.youtube.com/watch?v=ewSanmWGKJk")</f>
        <v>https://www.youtube.com/watch?v=ewSanmWGKJk</v>
      </c>
      <c r="AO797" s="78" t="str">
        <f>REPLACE(INDEX(GroupVertices[Group],MATCH(Vertices[[#This Row],[Vertex]],GroupVertices[Vertex],0)),1,1,"")</f>
        <v>emystifying Medicine McMaster</v>
      </c>
      <c r="AP797" s="2"/>
      <c r="AQ797" s="3"/>
      <c r="AR797" s="3"/>
      <c r="AS797" s="3"/>
      <c r="AT797" s="3"/>
    </row>
    <row r="798" spans="1:46" ht="15">
      <c r="A798" s="64" t="s">
        <v>598</v>
      </c>
      <c r="B798" s="65"/>
      <c r="C798" s="65"/>
      <c r="D798" s="66">
        <v>150</v>
      </c>
      <c r="E798" s="102">
        <v>97.85714285714286</v>
      </c>
      <c r="F798" s="98" t="str">
        <f>HYPERLINK("https://i.ytimg.com/vi/Pja61FskVBg/default.jpg")</f>
        <v>https://i.ytimg.com/vi/Pja61FskVBg/default.jpg</v>
      </c>
      <c r="G798" s="100"/>
      <c r="H798" s="69" t="s">
        <v>1022</v>
      </c>
      <c r="I798" s="70"/>
      <c r="J798" s="104" t="s">
        <v>159</v>
      </c>
      <c r="K798" s="69" t="s">
        <v>1022</v>
      </c>
      <c r="L798" s="105">
        <v>1</v>
      </c>
      <c r="M798" s="74">
        <v>351.9082336425781</v>
      </c>
      <c r="N798" s="74">
        <v>8903.9248046875</v>
      </c>
      <c r="O798" s="75"/>
      <c r="P798" s="76"/>
      <c r="Q798" s="76"/>
      <c r="R798" s="106"/>
      <c r="S798" s="48">
        <v>1</v>
      </c>
      <c r="T798" s="48">
        <v>0</v>
      </c>
      <c r="U798" s="49">
        <v>0</v>
      </c>
      <c r="V798" s="49">
        <v>0.18166</v>
      </c>
      <c r="W798" s="107"/>
      <c r="X798" s="50"/>
      <c r="Y798" s="50"/>
      <c r="Z798" s="49">
        <v>0</v>
      </c>
      <c r="AA798" s="71">
        <v>798</v>
      </c>
      <c r="AB798" s="71"/>
      <c r="AC798" s="72"/>
      <c r="AD798" s="79" t="s">
        <v>1022</v>
      </c>
      <c r="AE798" s="79" t="s">
        <v>1289</v>
      </c>
      <c r="AF798" s="79" t="s">
        <v>1473</v>
      </c>
      <c r="AG798" s="79" t="s">
        <v>1510</v>
      </c>
      <c r="AH798" s="79" t="s">
        <v>2079</v>
      </c>
      <c r="AI798" s="79">
        <v>145</v>
      </c>
      <c r="AJ798" s="79">
        <v>0</v>
      </c>
      <c r="AK798" s="79">
        <v>9</v>
      </c>
      <c r="AL798" s="79">
        <v>0</v>
      </c>
      <c r="AM798" s="79" t="s">
        <v>2092</v>
      </c>
      <c r="AN798" s="114" t="str">
        <f>HYPERLINK("https://www.youtube.com/watch?v=Pja61FskVBg")</f>
        <v>https://www.youtube.com/watch?v=Pja61FskVBg</v>
      </c>
      <c r="AO798" s="78" t="str">
        <f>REPLACE(INDEX(GroupVertices[Group],MATCH(Vertices[[#This Row],[Vertex]],GroupVertices[Vertex],0)),1,1,"")</f>
        <v>emystifying Medicine McMaster</v>
      </c>
      <c r="AP798" s="2"/>
      <c r="AQ798" s="3"/>
      <c r="AR798" s="3"/>
      <c r="AS798" s="3"/>
      <c r="AT798" s="3"/>
    </row>
    <row r="799" spans="1:46" ht="15">
      <c r="A799" s="64" t="s">
        <v>2543</v>
      </c>
      <c r="B799" s="65"/>
      <c r="C799" s="65"/>
      <c r="D799" s="66">
        <v>150</v>
      </c>
      <c r="E799" s="102">
        <v>97.85714285714286</v>
      </c>
      <c r="F799" s="98" t="str">
        <f>HYPERLINK("https://i.ytimg.com/vi/B33TttWLZss/default.jpg")</f>
        <v>https://i.ytimg.com/vi/B33TttWLZss/default.jpg</v>
      </c>
      <c r="G799" s="100"/>
      <c r="H799" s="69" t="s">
        <v>3016</v>
      </c>
      <c r="I799" s="70"/>
      <c r="J799" s="104" t="s">
        <v>159</v>
      </c>
      <c r="K799" s="69" t="s">
        <v>3016</v>
      </c>
      <c r="L799" s="105">
        <v>1</v>
      </c>
      <c r="M799" s="74">
        <v>6674.15283203125</v>
      </c>
      <c r="N799" s="74">
        <v>522.3735961914062</v>
      </c>
      <c r="O799" s="75"/>
      <c r="P799" s="76"/>
      <c r="Q799" s="76"/>
      <c r="R799" s="106"/>
      <c r="S799" s="48">
        <v>1</v>
      </c>
      <c r="T799" s="48">
        <v>0</v>
      </c>
      <c r="U799" s="49">
        <v>0</v>
      </c>
      <c r="V799" s="49">
        <v>0.15695</v>
      </c>
      <c r="W799" s="107"/>
      <c r="X799" s="50"/>
      <c r="Y799" s="50"/>
      <c r="Z799" s="49">
        <v>0</v>
      </c>
      <c r="AA799" s="71">
        <v>799</v>
      </c>
      <c r="AB799" s="71"/>
      <c r="AC799" s="72"/>
      <c r="AD799" s="79" t="s">
        <v>3016</v>
      </c>
      <c r="AE799" s="79"/>
      <c r="AF799" s="79"/>
      <c r="AG799" s="79" t="s">
        <v>3939</v>
      </c>
      <c r="AH799" s="79" t="s">
        <v>4384</v>
      </c>
      <c r="AI799" s="79">
        <v>2</v>
      </c>
      <c r="AJ799" s="79">
        <v>0</v>
      </c>
      <c r="AK799" s="79">
        <v>1</v>
      </c>
      <c r="AL799" s="79">
        <v>0</v>
      </c>
      <c r="AM799" s="79" t="s">
        <v>2092</v>
      </c>
      <c r="AN799" s="114" t="str">
        <f>HYPERLINK("https://www.youtube.com/watch?v=B33TttWLZss")</f>
        <v>https://www.youtube.com/watch?v=B33TttWLZss</v>
      </c>
      <c r="AO799" s="78" t="str">
        <f>REPLACE(INDEX(GroupVertices[Group],MATCH(Vertices[[#This Row],[Vertex]],GroupVertices[Vertex],0)),1,1,"")</f>
        <v>oshua D. Wyner, PhD, LMFT</v>
      </c>
      <c r="AP799" s="2"/>
      <c r="AQ799" s="3"/>
      <c r="AR799" s="3"/>
      <c r="AS799" s="3"/>
      <c r="AT799" s="3"/>
    </row>
    <row r="800" spans="1:46" ht="15">
      <c r="A800" s="64" t="s">
        <v>2544</v>
      </c>
      <c r="B800" s="65"/>
      <c r="C800" s="65"/>
      <c r="D800" s="66">
        <v>150</v>
      </c>
      <c r="E800" s="102">
        <v>97.85714285714286</v>
      </c>
      <c r="F800" s="98" t="str">
        <f>HYPERLINK("https://i.ytimg.com/vi/EUcBrldKMC8/default.jpg")</f>
        <v>https://i.ytimg.com/vi/EUcBrldKMC8/default.jpg</v>
      </c>
      <c r="G800" s="100"/>
      <c r="H800" s="69" t="s">
        <v>3017</v>
      </c>
      <c r="I800" s="70"/>
      <c r="J800" s="104" t="s">
        <v>159</v>
      </c>
      <c r="K800" s="69" t="s">
        <v>3017</v>
      </c>
      <c r="L800" s="105">
        <v>1</v>
      </c>
      <c r="M800" s="74">
        <v>6752.087890625</v>
      </c>
      <c r="N800" s="74">
        <v>1466.2930908203125</v>
      </c>
      <c r="O800" s="75"/>
      <c r="P800" s="76"/>
      <c r="Q800" s="76"/>
      <c r="R800" s="106"/>
      <c r="S800" s="48">
        <v>1</v>
      </c>
      <c r="T800" s="48">
        <v>0</v>
      </c>
      <c r="U800" s="49">
        <v>0</v>
      </c>
      <c r="V800" s="49">
        <v>0.15695</v>
      </c>
      <c r="W800" s="107"/>
      <c r="X800" s="50"/>
      <c r="Y800" s="50"/>
      <c r="Z800" s="49">
        <v>0</v>
      </c>
      <c r="AA800" s="71">
        <v>800</v>
      </c>
      <c r="AB800" s="71"/>
      <c r="AC800" s="72"/>
      <c r="AD800" s="79" t="s">
        <v>3017</v>
      </c>
      <c r="AE800" s="79" t="s">
        <v>3436</v>
      </c>
      <c r="AF800" s="79" t="s">
        <v>3674</v>
      </c>
      <c r="AG800" s="79" t="s">
        <v>3940</v>
      </c>
      <c r="AH800" s="79" t="s">
        <v>4385</v>
      </c>
      <c r="AI800" s="79">
        <v>47</v>
      </c>
      <c r="AJ800" s="79">
        <v>0</v>
      </c>
      <c r="AK800" s="79">
        <v>2</v>
      </c>
      <c r="AL800" s="79">
        <v>0</v>
      </c>
      <c r="AM800" s="79" t="s">
        <v>2092</v>
      </c>
      <c r="AN800" s="114" t="str">
        <f>HYPERLINK("https://www.youtube.com/watch?v=EUcBrldKMC8")</f>
        <v>https://www.youtube.com/watch?v=EUcBrldKMC8</v>
      </c>
      <c r="AO800" s="78" t="str">
        <f>REPLACE(INDEX(GroupVertices[Group],MATCH(Vertices[[#This Row],[Vertex]],GroupVertices[Vertex],0)),1,1,"")</f>
        <v>sychology Made Easy</v>
      </c>
      <c r="AP800" s="2"/>
      <c r="AQ800" s="3"/>
      <c r="AR800" s="3"/>
      <c r="AS800" s="3"/>
      <c r="AT800" s="3"/>
    </row>
    <row r="801" spans="1:46" ht="15">
      <c r="A801" s="64" t="s">
        <v>2545</v>
      </c>
      <c r="B801" s="65"/>
      <c r="C801" s="65"/>
      <c r="D801" s="66">
        <v>150</v>
      </c>
      <c r="E801" s="102">
        <v>97.85714285714286</v>
      </c>
      <c r="F801" s="98" t="str">
        <f>HYPERLINK("https://i.ytimg.com/vi/h7kyw0zOBYk/default.jpg")</f>
        <v>https://i.ytimg.com/vi/h7kyw0zOBYk/default.jpg</v>
      </c>
      <c r="G801" s="100"/>
      <c r="H801" s="69" t="s">
        <v>3018</v>
      </c>
      <c r="I801" s="70"/>
      <c r="J801" s="104" t="s">
        <v>159</v>
      </c>
      <c r="K801" s="69" t="s">
        <v>3018</v>
      </c>
      <c r="L801" s="105">
        <v>1</v>
      </c>
      <c r="M801" s="74">
        <v>6815.88720703125</v>
      </c>
      <c r="N801" s="74">
        <v>955.73779296875</v>
      </c>
      <c r="O801" s="75"/>
      <c r="P801" s="76"/>
      <c r="Q801" s="76"/>
      <c r="R801" s="106"/>
      <c r="S801" s="48">
        <v>1</v>
      </c>
      <c r="T801" s="48">
        <v>0</v>
      </c>
      <c r="U801" s="49">
        <v>0</v>
      </c>
      <c r="V801" s="49">
        <v>0.15695</v>
      </c>
      <c r="W801" s="107"/>
      <c r="X801" s="50"/>
      <c r="Y801" s="50"/>
      <c r="Z801" s="49">
        <v>0</v>
      </c>
      <c r="AA801" s="71">
        <v>801</v>
      </c>
      <c r="AB801" s="71"/>
      <c r="AC801" s="72"/>
      <c r="AD801" s="79" t="s">
        <v>3018</v>
      </c>
      <c r="AE801" s="79"/>
      <c r="AF801" s="79"/>
      <c r="AG801" s="79" t="s">
        <v>3941</v>
      </c>
      <c r="AH801" s="79" t="s">
        <v>4386</v>
      </c>
      <c r="AI801" s="79">
        <v>3</v>
      </c>
      <c r="AJ801" s="79">
        <v>0</v>
      </c>
      <c r="AK801" s="79">
        <v>0</v>
      </c>
      <c r="AL801" s="79">
        <v>0</v>
      </c>
      <c r="AM801" s="79" t="s">
        <v>2092</v>
      </c>
      <c r="AN801" s="114" t="str">
        <f>HYPERLINK("https://www.youtube.com/watch?v=h7kyw0zOBYk")</f>
        <v>https://www.youtube.com/watch?v=h7kyw0zOBYk</v>
      </c>
      <c r="AO801" s="78" t="str">
        <f>REPLACE(INDEX(GroupVertices[Group],MATCH(Vertices[[#This Row],[Vertex]],GroupVertices[Vertex],0)),1,1,"")</f>
        <v>oviAcademy</v>
      </c>
      <c r="AP801" s="2"/>
      <c r="AQ801" s="3"/>
      <c r="AR801" s="3"/>
      <c r="AS801" s="3"/>
      <c r="AT801" s="3"/>
    </row>
    <row r="802" spans="1:46" ht="15">
      <c r="A802" s="64" t="s">
        <v>2546</v>
      </c>
      <c r="B802" s="65"/>
      <c r="C802" s="65"/>
      <c r="D802" s="66">
        <v>150</v>
      </c>
      <c r="E802" s="102">
        <v>97.85714285714286</v>
      </c>
      <c r="F802" s="98" t="str">
        <f>HYPERLINK("https://i.ytimg.com/vi/sKgCYPI4M0g/default.jpg")</f>
        <v>https://i.ytimg.com/vi/sKgCYPI4M0g/default.jpg</v>
      </c>
      <c r="G802" s="100"/>
      <c r="H802" s="69" t="s">
        <v>3019</v>
      </c>
      <c r="I802" s="70"/>
      <c r="J802" s="104" t="s">
        <v>159</v>
      </c>
      <c r="K802" s="69" t="s">
        <v>3019</v>
      </c>
      <c r="L802" s="105">
        <v>1</v>
      </c>
      <c r="M802" s="74">
        <v>6572.30126953125</v>
      </c>
      <c r="N802" s="74">
        <v>829.5768432617188</v>
      </c>
      <c r="O802" s="75"/>
      <c r="P802" s="76"/>
      <c r="Q802" s="76"/>
      <c r="R802" s="106"/>
      <c r="S802" s="48">
        <v>1</v>
      </c>
      <c r="T802" s="48">
        <v>0</v>
      </c>
      <c r="U802" s="49">
        <v>0</v>
      </c>
      <c r="V802" s="49">
        <v>0.15695</v>
      </c>
      <c r="W802" s="107"/>
      <c r="X802" s="50"/>
      <c r="Y802" s="50"/>
      <c r="Z802" s="49">
        <v>0</v>
      </c>
      <c r="AA802" s="71">
        <v>802</v>
      </c>
      <c r="AB802" s="71"/>
      <c r="AC802" s="72"/>
      <c r="AD802" s="79" t="s">
        <v>3019</v>
      </c>
      <c r="AE802" s="79" t="s">
        <v>3437</v>
      </c>
      <c r="AF802" s="79"/>
      <c r="AG802" s="79" t="s">
        <v>3942</v>
      </c>
      <c r="AH802" s="79" t="s">
        <v>4387</v>
      </c>
      <c r="AI802" s="79">
        <v>11</v>
      </c>
      <c r="AJ802" s="79">
        <v>0</v>
      </c>
      <c r="AK802" s="79">
        <v>0</v>
      </c>
      <c r="AL802" s="79">
        <v>0</v>
      </c>
      <c r="AM802" s="79" t="s">
        <v>2092</v>
      </c>
      <c r="AN802" s="114" t="str">
        <f>HYPERLINK("https://www.youtube.com/watch?v=sKgCYPI4M0g")</f>
        <v>https://www.youtube.com/watch?v=sKgCYPI4M0g</v>
      </c>
      <c r="AO802" s="78" t="str">
        <f>REPLACE(INDEX(GroupVertices[Group],MATCH(Vertices[[#This Row],[Vertex]],GroupVertices[Vertex],0)),1,1,"")</f>
        <v>frican Food Recipe</v>
      </c>
      <c r="AP802" s="2"/>
      <c r="AQ802" s="3"/>
      <c r="AR802" s="3"/>
      <c r="AS802" s="3"/>
      <c r="AT802" s="3"/>
    </row>
    <row r="803" spans="1:46" ht="15">
      <c r="A803" s="64" t="s">
        <v>2547</v>
      </c>
      <c r="B803" s="65"/>
      <c r="C803" s="65"/>
      <c r="D803" s="66">
        <v>150</v>
      </c>
      <c r="E803" s="102">
        <v>97.85714285714286</v>
      </c>
      <c r="F803" s="98" t="str">
        <f>HYPERLINK("https://i.ytimg.com/vi/p_mkvJsp1Fk/default.jpg")</f>
        <v>https://i.ytimg.com/vi/p_mkvJsp1Fk/default.jpg</v>
      </c>
      <c r="G803" s="100"/>
      <c r="H803" s="69" t="s">
        <v>3020</v>
      </c>
      <c r="I803" s="70"/>
      <c r="J803" s="104" t="s">
        <v>159</v>
      </c>
      <c r="K803" s="69" t="s">
        <v>3020</v>
      </c>
      <c r="L803" s="105">
        <v>1</v>
      </c>
      <c r="M803" s="74">
        <v>7193.59716796875</v>
      </c>
      <c r="N803" s="74">
        <v>1709.59912109375</v>
      </c>
      <c r="O803" s="75"/>
      <c r="P803" s="76"/>
      <c r="Q803" s="76"/>
      <c r="R803" s="106"/>
      <c r="S803" s="48">
        <v>1</v>
      </c>
      <c r="T803" s="48">
        <v>0</v>
      </c>
      <c r="U803" s="49">
        <v>0</v>
      </c>
      <c r="V803" s="49">
        <v>0.15695</v>
      </c>
      <c r="W803" s="107"/>
      <c r="X803" s="50"/>
      <c r="Y803" s="50"/>
      <c r="Z803" s="49">
        <v>0</v>
      </c>
      <c r="AA803" s="71">
        <v>803</v>
      </c>
      <c r="AB803" s="71"/>
      <c r="AC803" s="72"/>
      <c r="AD803" s="79" t="s">
        <v>3020</v>
      </c>
      <c r="AE803" s="79"/>
      <c r="AF803" s="79"/>
      <c r="AG803" s="79" t="s">
        <v>3941</v>
      </c>
      <c r="AH803" s="79" t="s">
        <v>4388</v>
      </c>
      <c r="AI803" s="79">
        <v>1</v>
      </c>
      <c r="AJ803" s="79">
        <v>0</v>
      </c>
      <c r="AK803" s="79">
        <v>0</v>
      </c>
      <c r="AL803" s="79">
        <v>0</v>
      </c>
      <c r="AM803" s="79" t="s">
        <v>2092</v>
      </c>
      <c r="AN803" s="114" t="str">
        <f>HYPERLINK("https://www.youtube.com/watch?v=p_mkvJsp1Fk")</f>
        <v>https://www.youtube.com/watch?v=p_mkvJsp1Fk</v>
      </c>
      <c r="AO803" s="78" t="str">
        <f>REPLACE(INDEX(GroupVertices[Group],MATCH(Vertices[[#This Row],[Vertex]],GroupVertices[Vertex],0)),1,1,"")</f>
        <v>oviAcademy</v>
      </c>
      <c r="AP803" s="2"/>
      <c r="AQ803" s="3"/>
      <c r="AR803" s="3"/>
      <c r="AS803" s="3"/>
      <c r="AT803" s="3"/>
    </row>
    <row r="804" spans="1:46" ht="15">
      <c r="A804" s="64" t="s">
        <v>2548</v>
      </c>
      <c r="B804" s="65"/>
      <c r="C804" s="65"/>
      <c r="D804" s="66">
        <v>150</v>
      </c>
      <c r="E804" s="102">
        <v>97.85714285714286</v>
      </c>
      <c r="F804" s="98" t="str">
        <f>HYPERLINK("https://i.ytimg.com/vi/tHjGjcyzrKY/default.jpg")</f>
        <v>https://i.ytimg.com/vi/tHjGjcyzrKY/default.jpg</v>
      </c>
      <c r="G804" s="100"/>
      <c r="H804" s="69" t="s">
        <v>3021</v>
      </c>
      <c r="I804" s="70"/>
      <c r="J804" s="104" t="s">
        <v>159</v>
      </c>
      <c r="K804" s="69" t="s">
        <v>3021</v>
      </c>
      <c r="L804" s="105">
        <v>1</v>
      </c>
      <c r="M804" s="74">
        <v>7557.994140625</v>
      </c>
      <c r="N804" s="74">
        <v>1329.640625</v>
      </c>
      <c r="O804" s="75"/>
      <c r="P804" s="76"/>
      <c r="Q804" s="76"/>
      <c r="R804" s="106"/>
      <c r="S804" s="48">
        <v>1</v>
      </c>
      <c r="T804" s="48">
        <v>0</v>
      </c>
      <c r="U804" s="49">
        <v>0</v>
      </c>
      <c r="V804" s="49">
        <v>0.15695</v>
      </c>
      <c r="W804" s="107"/>
      <c r="X804" s="50"/>
      <c r="Y804" s="50"/>
      <c r="Z804" s="49">
        <v>0</v>
      </c>
      <c r="AA804" s="71">
        <v>804</v>
      </c>
      <c r="AB804" s="71"/>
      <c r="AC804" s="72"/>
      <c r="AD804" s="79" t="s">
        <v>3021</v>
      </c>
      <c r="AE804" s="79"/>
      <c r="AF804" s="79"/>
      <c r="AG804" s="79" t="s">
        <v>3943</v>
      </c>
      <c r="AH804" s="79" t="s">
        <v>4389</v>
      </c>
      <c r="AI804" s="79">
        <v>0</v>
      </c>
      <c r="AJ804" s="79">
        <v>0</v>
      </c>
      <c r="AK804" s="79">
        <v>0</v>
      </c>
      <c r="AL804" s="79">
        <v>0</v>
      </c>
      <c r="AM804" s="79" t="s">
        <v>2092</v>
      </c>
      <c r="AN804" s="114" t="str">
        <f>HYPERLINK("https://www.youtube.com/watch?v=tHjGjcyzrKY")</f>
        <v>https://www.youtube.com/watch?v=tHjGjcyzrKY</v>
      </c>
      <c r="AO804" s="78" t="str">
        <f>REPLACE(INDEX(GroupVertices[Group],MATCH(Vertices[[#This Row],[Vertex]],GroupVertices[Vertex],0)),1,1,"")</f>
        <v>. Amiri</v>
      </c>
      <c r="AP804" s="2"/>
      <c r="AQ804" s="3"/>
      <c r="AR804" s="3"/>
      <c r="AS804" s="3"/>
      <c r="AT804" s="3"/>
    </row>
    <row r="805" spans="1:46" ht="15">
      <c r="A805" s="64" t="s">
        <v>2549</v>
      </c>
      <c r="B805" s="65"/>
      <c r="C805" s="65"/>
      <c r="D805" s="66">
        <v>150</v>
      </c>
      <c r="E805" s="102">
        <v>97.85714285714286</v>
      </c>
      <c r="F805" s="98" t="str">
        <f>HYPERLINK("https://i.ytimg.com/vi/5SVODYMRYSk/default.jpg")</f>
        <v>https://i.ytimg.com/vi/5SVODYMRYSk/default.jpg</v>
      </c>
      <c r="G805" s="100"/>
      <c r="H805" s="69" t="s">
        <v>3022</v>
      </c>
      <c r="I805" s="70"/>
      <c r="J805" s="104" t="s">
        <v>159</v>
      </c>
      <c r="K805" s="69" t="s">
        <v>3022</v>
      </c>
      <c r="L805" s="105">
        <v>1</v>
      </c>
      <c r="M805" s="74">
        <v>6932.0546875</v>
      </c>
      <c r="N805" s="74">
        <v>1660.365478515625</v>
      </c>
      <c r="O805" s="75"/>
      <c r="P805" s="76"/>
      <c r="Q805" s="76"/>
      <c r="R805" s="106"/>
      <c r="S805" s="48">
        <v>1</v>
      </c>
      <c r="T805" s="48">
        <v>0</v>
      </c>
      <c r="U805" s="49">
        <v>0</v>
      </c>
      <c r="V805" s="49">
        <v>0.15695</v>
      </c>
      <c r="W805" s="107"/>
      <c r="X805" s="50"/>
      <c r="Y805" s="50"/>
      <c r="Z805" s="49">
        <v>0</v>
      </c>
      <c r="AA805" s="71">
        <v>805</v>
      </c>
      <c r="AB805" s="71"/>
      <c r="AC805" s="72"/>
      <c r="AD805" s="79" t="s">
        <v>3022</v>
      </c>
      <c r="AE805" s="79"/>
      <c r="AF805" s="79"/>
      <c r="AG805" s="79" t="s">
        <v>3944</v>
      </c>
      <c r="AH805" s="79" t="s">
        <v>4390</v>
      </c>
      <c r="AI805" s="79">
        <v>3</v>
      </c>
      <c r="AJ805" s="79">
        <v>0</v>
      </c>
      <c r="AK805" s="79">
        <v>0</v>
      </c>
      <c r="AL805" s="79">
        <v>0</v>
      </c>
      <c r="AM805" s="79" t="s">
        <v>2092</v>
      </c>
      <c r="AN805" s="114" t="str">
        <f>HYPERLINK("https://www.youtube.com/watch?v=5SVODYMRYSk")</f>
        <v>https://www.youtube.com/watch?v=5SVODYMRYSk</v>
      </c>
      <c r="AO805" s="78" t="str">
        <f>REPLACE(INDEX(GroupVertices[Group],MATCH(Vertices[[#This Row],[Vertex]],GroupVertices[Vertex],0)),1,1,"")</f>
        <v>arketing Department</v>
      </c>
      <c r="AP805" s="2"/>
      <c r="AQ805" s="3"/>
      <c r="AR805" s="3"/>
      <c r="AS805" s="3"/>
      <c r="AT805" s="3"/>
    </row>
    <row r="806" spans="1:46" ht="15">
      <c r="A806" s="64" t="s">
        <v>2550</v>
      </c>
      <c r="B806" s="65"/>
      <c r="C806" s="65"/>
      <c r="D806" s="66">
        <v>150</v>
      </c>
      <c r="E806" s="102">
        <v>97.85714285714286</v>
      </c>
      <c r="F806" s="98" t="str">
        <f>HYPERLINK("https://i.ytimg.com/vi/GuxYknP_agQ/default.jpg")</f>
        <v>https://i.ytimg.com/vi/GuxYknP_agQ/default.jpg</v>
      </c>
      <c r="G806" s="100"/>
      <c r="H806" s="69" t="s">
        <v>3023</v>
      </c>
      <c r="I806" s="70"/>
      <c r="J806" s="104" t="s">
        <v>159</v>
      </c>
      <c r="K806" s="69" t="s">
        <v>3023</v>
      </c>
      <c r="L806" s="105">
        <v>1</v>
      </c>
      <c r="M806" s="74">
        <v>7656.5302734375</v>
      </c>
      <c r="N806" s="74">
        <v>1017.4253540039062</v>
      </c>
      <c r="O806" s="75"/>
      <c r="P806" s="76"/>
      <c r="Q806" s="76"/>
      <c r="R806" s="106"/>
      <c r="S806" s="48">
        <v>1</v>
      </c>
      <c r="T806" s="48">
        <v>0</v>
      </c>
      <c r="U806" s="49">
        <v>0</v>
      </c>
      <c r="V806" s="49">
        <v>0.15695</v>
      </c>
      <c r="W806" s="107"/>
      <c r="X806" s="50"/>
      <c r="Y806" s="50"/>
      <c r="Z806" s="49">
        <v>0</v>
      </c>
      <c r="AA806" s="71">
        <v>806</v>
      </c>
      <c r="AB806" s="71"/>
      <c r="AC806" s="72"/>
      <c r="AD806" s="79" t="s">
        <v>3023</v>
      </c>
      <c r="AE806" s="79"/>
      <c r="AF806" s="79"/>
      <c r="AG806" s="79" t="s">
        <v>3944</v>
      </c>
      <c r="AH806" s="79" t="s">
        <v>4391</v>
      </c>
      <c r="AI806" s="79">
        <v>4</v>
      </c>
      <c r="AJ806" s="79">
        <v>0</v>
      </c>
      <c r="AK806" s="79">
        <v>0</v>
      </c>
      <c r="AL806" s="79">
        <v>0</v>
      </c>
      <c r="AM806" s="79" t="s">
        <v>2092</v>
      </c>
      <c r="AN806" s="114" t="str">
        <f>HYPERLINK("https://www.youtube.com/watch?v=GuxYknP_agQ")</f>
        <v>https://www.youtube.com/watch?v=GuxYknP_agQ</v>
      </c>
      <c r="AO806" s="78" t="str">
        <f>REPLACE(INDEX(GroupVertices[Group],MATCH(Vertices[[#This Row],[Vertex]],GroupVertices[Vertex],0)),1,1,"")</f>
        <v>arketing Department</v>
      </c>
      <c r="AP806" s="2"/>
      <c r="AQ806" s="3"/>
      <c r="AR806" s="3"/>
      <c r="AS806" s="3"/>
      <c r="AT806" s="3"/>
    </row>
    <row r="807" spans="1:46" ht="15">
      <c r="A807" s="64" t="s">
        <v>2551</v>
      </c>
      <c r="B807" s="65"/>
      <c r="C807" s="65"/>
      <c r="D807" s="66">
        <v>150</v>
      </c>
      <c r="E807" s="102">
        <v>97.85714285714286</v>
      </c>
      <c r="F807" s="98" t="str">
        <f>HYPERLINK("https://i.ytimg.com/vi/H3_Tp2Ltrns/default.jpg")</f>
        <v>https://i.ytimg.com/vi/H3_Tp2Ltrns/default.jpg</v>
      </c>
      <c r="G807" s="100"/>
      <c r="H807" s="69" t="s">
        <v>3024</v>
      </c>
      <c r="I807" s="70"/>
      <c r="J807" s="104" t="s">
        <v>159</v>
      </c>
      <c r="K807" s="69" t="s">
        <v>3024</v>
      </c>
      <c r="L807" s="105">
        <v>1</v>
      </c>
      <c r="M807" s="74">
        <v>7475.82275390625</v>
      </c>
      <c r="N807" s="74">
        <v>387.86944580078125</v>
      </c>
      <c r="O807" s="75"/>
      <c r="P807" s="76"/>
      <c r="Q807" s="76"/>
      <c r="R807" s="106"/>
      <c r="S807" s="48">
        <v>1</v>
      </c>
      <c r="T807" s="48">
        <v>0</v>
      </c>
      <c r="U807" s="49">
        <v>0</v>
      </c>
      <c r="V807" s="49">
        <v>0.15695</v>
      </c>
      <c r="W807" s="107"/>
      <c r="X807" s="50"/>
      <c r="Y807" s="50"/>
      <c r="Z807" s="49">
        <v>0</v>
      </c>
      <c r="AA807" s="71">
        <v>807</v>
      </c>
      <c r="AB807" s="71"/>
      <c r="AC807" s="72"/>
      <c r="AD807" s="79" t="s">
        <v>3024</v>
      </c>
      <c r="AE807" s="79" t="s">
        <v>3438</v>
      </c>
      <c r="AF807" s="79"/>
      <c r="AG807" s="79" t="s">
        <v>3945</v>
      </c>
      <c r="AH807" s="79" t="s">
        <v>4392</v>
      </c>
      <c r="AI807" s="79">
        <v>68353</v>
      </c>
      <c r="AJ807" s="79">
        <v>0</v>
      </c>
      <c r="AK807" s="79">
        <v>3088</v>
      </c>
      <c r="AL807" s="79">
        <v>0</v>
      </c>
      <c r="AM807" s="79" t="s">
        <v>2092</v>
      </c>
      <c r="AN807" s="114" t="str">
        <f>HYPERLINK("https://www.youtube.com/watch?v=H3_Tp2Ltrns")</f>
        <v>https://www.youtube.com/watch?v=H3_Tp2Ltrns</v>
      </c>
      <c r="AO807" s="78" t="str">
        <f>REPLACE(INDEX(GroupVertices[Group],MATCH(Vertices[[#This Row],[Vertex]],GroupVertices[Vertex],0)),1,1,"")</f>
        <v>on Jones</v>
      </c>
      <c r="AP807" s="2"/>
      <c r="AQ807" s="3"/>
      <c r="AR807" s="3"/>
      <c r="AS807" s="3"/>
      <c r="AT807" s="3"/>
    </row>
    <row r="808" spans="1:46" ht="15">
      <c r="A808" s="64" t="s">
        <v>2552</v>
      </c>
      <c r="B808" s="65"/>
      <c r="C808" s="65"/>
      <c r="D808" s="66">
        <v>150</v>
      </c>
      <c r="E808" s="102">
        <v>97.85714285714286</v>
      </c>
      <c r="F808" s="98" t="str">
        <f>HYPERLINK("https://i.ytimg.com/vi/9h0lK_N7X4s/default.jpg")</f>
        <v>https://i.ytimg.com/vi/9h0lK_N7X4s/default.jpg</v>
      </c>
      <c r="G808" s="100"/>
      <c r="H808" s="69" t="s">
        <v>3025</v>
      </c>
      <c r="I808" s="70"/>
      <c r="J808" s="104" t="s">
        <v>159</v>
      </c>
      <c r="K808" s="69" t="s">
        <v>3025</v>
      </c>
      <c r="L808" s="105">
        <v>1</v>
      </c>
      <c r="M808" s="74">
        <v>6818.71435546875</v>
      </c>
      <c r="N808" s="74">
        <v>294.6589660644531</v>
      </c>
      <c r="O808" s="75"/>
      <c r="P808" s="76"/>
      <c r="Q808" s="76"/>
      <c r="R808" s="106"/>
      <c r="S808" s="48">
        <v>1</v>
      </c>
      <c r="T808" s="48">
        <v>0</v>
      </c>
      <c r="U808" s="49">
        <v>0</v>
      </c>
      <c r="V808" s="49">
        <v>0.15695</v>
      </c>
      <c r="W808" s="107"/>
      <c r="X808" s="50"/>
      <c r="Y808" s="50"/>
      <c r="Z808" s="49">
        <v>0</v>
      </c>
      <c r="AA808" s="71">
        <v>808</v>
      </c>
      <c r="AB808" s="71"/>
      <c r="AC808" s="72"/>
      <c r="AD808" s="79" t="s">
        <v>3025</v>
      </c>
      <c r="AE808" s="79" t="s">
        <v>3439</v>
      </c>
      <c r="AF808" s="79"/>
      <c r="AG808" s="79" t="s">
        <v>3946</v>
      </c>
      <c r="AH808" s="79" t="s">
        <v>4393</v>
      </c>
      <c r="AI808" s="79">
        <v>20</v>
      </c>
      <c r="AJ808" s="79">
        <v>0</v>
      </c>
      <c r="AK808" s="79">
        <v>0</v>
      </c>
      <c r="AL808" s="79">
        <v>0</v>
      </c>
      <c r="AM808" s="79" t="s">
        <v>2092</v>
      </c>
      <c r="AN808" s="114" t="str">
        <f>HYPERLINK("https://www.youtube.com/watch?v=9h0lK_N7X4s")</f>
        <v>https://www.youtube.com/watch?v=9h0lK_N7X4s</v>
      </c>
      <c r="AO808" s="78" t="str">
        <f>REPLACE(INDEX(GroupVertices[Group],MATCH(Vertices[[#This Row],[Vertex]],GroupVertices[Vertex],0)),1,1,"")</f>
        <v>unction First Coaching Inc.</v>
      </c>
      <c r="AP808" s="2"/>
      <c r="AQ808" s="3"/>
      <c r="AR808" s="3"/>
      <c r="AS808" s="3"/>
      <c r="AT808" s="3"/>
    </row>
    <row r="809" spans="1:46" ht="15">
      <c r="A809" s="64" t="s">
        <v>2553</v>
      </c>
      <c r="B809" s="65"/>
      <c r="C809" s="65"/>
      <c r="D809" s="66">
        <v>150</v>
      </c>
      <c r="E809" s="102">
        <v>95.71428571428571</v>
      </c>
      <c r="F809" s="98" t="str">
        <f>HYPERLINK("https://i.ytimg.com/vi/YkhkpODLpDU/default.jpg")</f>
        <v>https://i.ytimg.com/vi/YkhkpODLpDU/default.jpg</v>
      </c>
      <c r="G809" s="100"/>
      <c r="H809" s="69" t="s">
        <v>3026</v>
      </c>
      <c r="I809" s="70"/>
      <c r="J809" s="104" t="s">
        <v>159</v>
      </c>
      <c r="K809" s="69" t="s">
        <v>3026</v>
      </c>
      <c r="L809" s="105">
        <v>1</v>
      </c>
      <c r="M809" s="74">
        <v>6609.212890625</v>
      </c>
      <c r="N809" s="74">
        <v>1210.569091796875</v>
      </c>
      <c r="O809" s="75"/>
      <c r="P809" s="76"/>
      <c r="Q809" s="76"/>
      <c r="R809" s="106"/>
      <c r="S809" s="48">
        <v>2</v>
      </c>
      <c r="T809" s="48">
        <v>0</v>
      </c>
      <c r="U809" s="49">
        <v>0</v>
      </c>
      <c r="V809" s="49">
        <v>0.184761</v>
      </c>
      <c r="W809" s="107"/>
      <c r="X809" s="50"/>
      <c r="Y809" s="50"/>
      <c r="Z809" s="49">
        <v>0</v>
      </c>
      <c r="AA809" s="71">
        <v>809</v>
      </c>
      <c r="AB809" s="71"/>
      <c r="AC809" s="72"/>
      <c r="AD809" s="79" t="s">
        <v>3026</v>
      </c>
      <c r="AE809" s="79" t="s">
        <v>3440</v>
      </c>
      <c r="AF809" s="79" t="s">
        <v>3675</v>
      </c>
      <c r="AG809" s="79" t="s">
        <v>3710</v>
      </c>
      <c r="AH809" s="79" t="s">
        <v>4394</v>
      </c>
      <c r="AI809" s="79">
        <v>95</v>
      </c>
      <c r="AJ809" s="79">
        <v>2</v>
      </c>
      <c r="AK809" s="79">
        <v>8</v>
      </c>
      <c r="AL809" s="79">
        <v>0</v>
      </c>
      <c r="AM809" s="79" t="s">
        <v>2092</v>
      </c>
      <c r="AN809" s="114" t="str">
        <f>HYPERLINK("https://www.youtube.com/watch?v=YkhkpODLpDU")</f>
        <v>https://www.youtube.com/watch?v=YkhkpODLpDU</v>
      </c>
      <c r="AO809" s="78" t="str">
        <f>REPLACE(INDEX(GroupVertices[Group],MATCH(Vertices[[#This Row],[Vertex]],GroupVertices[Vertex],0)),1,1,"")</f>
        <v>TUDY.PSYCHOLOGY</v>
      </c>
      <c r="AP809" s="2"/>
      <c r="AQ809" s="3"/>
      <c r="AR809" s="3"/>
      <c r="AS809" s="3"/>
      <c r="AT809" s="3"/>
    </row>
    <row r="810" spans="1:46" ht="15">
      <c r="A810" s="64" t="s">
        <v>2554</v>
      </c>
      <c r="B810" s="65"/>
      <c r="C810" s="65"/>
      <c r="D810" s="66">
        <v>150</v>
      </c>
      <c r="E810" s="102">
        <v>97.85714285714286</v>
      </c>
      <c r="F810" s="98" t="str">
        <f>HYPERLINK("https://i.ytimg.com/vi/MWSGo56peN0/default.jpg")</f>
        <v>https://i.ytimg.com/vi/MWSGo56peN0/default.jpg</v>
      </c>
      <c r="G810" s="100"/>
      <c r="H810" s="69" t="s">
        <v>3027</v>
      </c>
      <c r="I810" s="70"/>
      <c r="J810" s="104" t="s">
        <v>159</v>
      </c>
      <c r="K810" s="69" t="s">
        <v>3027</v>
      </c>
      <c r="L810" s="105">
        <v>1</v>
      </c>
      <c r="M810" s="74">
        <v>7038.806640625</v>
      </c>
      <c r="N810" s="74">
        <v>143.66378784179688</v>
      </c>
      <c r="O810" s="75"/>
      <c r="P810" s="76"/>
      <c r="Q810" s="76"/>
      <c r="R810" s="106"/>
      <c r="S810" s="48">
        <v>1</v>
      </c>
      <c r="T810" s="48">
        <v>0</v>
      </c>
      <c r="U810" s="49">
        <v>0</v>
      </c>
      <c r="V810" s="49">
        <v>0.15695</v>
      </c>
      <c r="W810" s="107"/>
      <c r="X810" s="50"/>
      <c r="Y810" s="50"/>
      <c r="Z810" s="49">
        <v>0</v>
      </c>
      <c r="AA810" s="71">
        <v>810</v>
      </c>
      <c r="AB810" s="71"/>
      <c r="AC810" s="72"/>
      <c r="AD810" s="79" t="s">
        <v>3027</v>
      </c>
      <c r="AE810" s="79" t="s">
        <v>3441</v>
      </c>
      <c r="AF810" s="79"/>
      <c r="AG810" s="79" t="s">
        <v>3947</v>
      </c>
      <c r="AH810" s="79" t="s">
        <v>4395</v>
      </c>
      <c r="AI810" s="79">
        <v>8</v>
      </c>
      <c r="AJ810" s="79">
        <v>0</v>
      </c>
      <c r="AK810" s="79">
        <v>1</v>
      </c>
      <c r="AL810" s="79">
        <v>0</v>
      </c>
      <c r="AM810" s="79" t="s">
        <v>2092</v>
      </c>
      <c r="AN810" s="114" t="str">
        <f>HYPERLINK("https://www.youtube.com/watch?v=MWSGo56peN0")</f>
        <v>https://www.youtube.com/watch?v=MWSGo56peN0</v>
      </c>
      <c r="AO810" s="78" t="str">
        <f>REPLACE(INDEX(GroupVertices[Group],MATCH(Vertices[[#This Row],[Vertex]],GroupVertices[Vertex],0)),1,1,"")</f>
        <v>egence Utah</v>
      </c>
      <c r="AP810" s="2"/>
      <c r="AQ810" s="3"/>
      <c r="AR810" s="3"/>
      <c r="AS810" s="3"/>
      <c r="AT810" s="3"/>
    </row>
    <row r="811" spans="1:46" ht="15">
      <c r="A811" s="64" t="s">
        <v>2555</v>
      </c>
      <c r="B811" s="65"/>
      <c r="C811" s="65"/>
      <c r="D811" s="66">
        <v>150</v>
      </c>
      <c r="E811" s="102">
        <v>95.71428571428571</v>
      </c>
      <c r="F811" s="98" t="str">
        <f>HYPERLINK("https://i.ytimg.com/vi/jQulW27mwdg/default.jpg")</f>
        <v>https://i.ytimg.com/vi/jQulW27mwdg/default.jpg</v>
      </c>
      <c r="G811" s="100"/>
      <c r="H811" s="69" t="s">
        <v>3028</v>
      </c>
      <c r="I811" s="70"/>
      <c r="J811" s="104" t="s">
        <v>75</v>
      </c>
      <c r="K811" s="69" t="s">
        <v>3028</v>
      </c>
      <c r="L811" s="105">
        <v>130.85621056161406</v>
      </c>
      <c r="M811" s="74">
        <v>7120.5888671875</v>
      </c>
      <c r="N811" s="74">
        <v>1359.9727783203125</v>
      </c>
      <c r="O811" s="75"/>
      <c r="P811" s="76"/>
      <c r="Q811" s="76"/>
      <c r="R811" s="106"/>
      <c r="S811" s="48">
        <v>2</v>
      </c>
      <c r="T811" s="48">
        <v>0</v>
      </c>
      <c r="U811" s="49">
        <v>1813.914286</v>
      </c>
      <c r="V811" s="49">
        <v>0.185712</v>
      </c>
      <c r="W811" s="107"/>
      <c r="X811" s="50"/>
      <c r="Y811" s="50"/>
      <c r="Z811" s="49">
        <v>0</v>
      </c>
      <c r="AA811" s="71">
        <v>811</v>
      </c>
      <c r="AB811" s="71"/>
      <c r="AC811" s="72"/>
      <c r="AD811" s="79" t="s">
        <v>3028</v>
      </c>
      <c r="AE811" s="79" t="s">
        <v>3442</v>
      </c>
      <c r="AF811" s="79"/>
      <c r="AG811" s="79" t="s">
        <v>3948</v>
      </c>
      <c r="AH811" s="79" t="s">
        <v>4396</v>
      </c>
      <c r="AI811" s="79">
        <v>117</v>
      </c>
      <c r="AJ811" s="79">
        <v>2</v>
      </c>
      <c r="AK811" s="79">
        <v>5</v>
      </c>
      <c r="AL811" s="79">
        <v>0</v>
      </c>
      <c r="AM811" s="79" t="s">
        <v>2092</v>
      </c>
      <c r="AN811" s="114" t="str">
        <f>HYPERLINK("https://www.youtube.com/watch?v=jQulW27mwdg")</f>
        <v>https://www.youtube.com/watch?v=jQulW27mwdg</v>
      </c>
      <c r="AO811" s="78" t="str">
        <f>REPLACE(INDEX(GroupVertices[Group],MATCH(Vertices[[#This Row],[Vertex]],GroupVertices[Vertex],0)),1,1,"")</f>
        <v>ounseling Minus the Bull</v>
      </c>
      <c r="AP811" s="2"/>
      <c r="AQ811" s="3"/>
      <c r="AR811" s="3"/>
      <c r="AS811" s="3"/>
      <c r="AT811" s="3"/>
    </row>
    <row r="812" spans="1:46" ht="15">
      <c r="A812" s="64" t="s">
        <v>2556</v>
      </c>
      <c r="B812" s="65"/>
      <c r="C812" s="65"/>
      <c r="D812" s="66">
        <v>150</v>
      </c>
      <c r="E812" s="102">
        <v>97.85714285714286</v>
      </c>
      <c r="F812" s="98" t="str">
        <f>HYPERLINK("https://i.ytimg.com/vi/nrtu7ioLyaw/default.jpg")</f>
        <v>https://i.ytimg.com/vi/nrtu7ioLyaw/default.jpg</v>
      </c>
      <c r="G812" s="100"/>
      <c r="H812" s="69" t="s">
        <v>3029</v>
      </c>
      <c r="I812" s="70"/>
      <c r="J812" s="104" t="s">
        <v>159</v>
      </c>
      <c r="K812" s="69" t="s">
        <v>3029</v>
      </c>
      <c r="L812" s="105">
        <v>1</v>
      </c>
      <c r="M812" s="74">
        <v>7297.88623046875</v>
      </c>
      <c r="N812" s="74">
        <v>195.58233642578125</v>
      </c>
      <c r="O812" s="75"/>
      <c r="P812" s="76"/>
      <c r="Q812" s="76"/>
      <c r="R812" s="106"/>
      <c r="S812" s="48">
        <v>1</v>
      </c>
      <c r="T812" s="48">
        <v>0</v>
      </c>
      <c r="U812" s="49">
        <v>0</v>
      </c>
      <c r="V812" s="49">
        <v>0.15695</v>
      </c>
      <c r="W812" s="107"/>
      <c r="X812" s="50"/>
      <c r="Y812" s="50"/>
      <c r="Z812" s="49">
        <v>0</v>
      </c>
      <c r="AA812" s="71">
        <v>812</v>
      </c>
      <c r="AB812" s="71"/>
      <c r="AC812" s="72"/>
      <c r="AD812" s="79" t="s">
        <v>3029</v>
      </c>
      <c r="AE812" s="79" t="s">
        <v>3443</v>
      </c>
      <c r="AF812" s="79" t="s">
        <v>3676</v>
      </c>
      <c r="AG812" s="79" t="s">
        <v>3939</v>
      </c>
      <c r="AH812" s="79" t="s">
        <v>4397</v>
      </c>
      <c r="AI812" s="79">
        <v>5212</v>
      </c>
      <c r="AJ812" s="79">
        <v>0</v>
      </c>
      <c r="AK812" s="79">
        <v>188</v>
      </c>
      <c r="AL812" s="79">
        <v>0</v>
      </c>
      <c r="AM812" s="79" t="s">
        <v>2092</v>
      </c>
      <c r="AN812" s="114" t="str">
        <f>HYPERLINK("https://www.youtube.com/watch?v=nrtu7ioLyaw")</f>
        <v>https://www.youtube.com/watch?v=nrtu7ioLyaw</v>
      </c>
      <c r="AO812" s="78" t="str">
        <f>REPLACE(INDEX(GroupVertices[Group],MATCH(Vertices[[#This Row],[Vertex]],GroupVertices[Vertex],0)),1,1,"")</f>
        <v>oshua D. Wyner, PhD, LMFT</v>
      </c>
      <c r="AP812" s="2"/>
      <c r="AQ812" s="3"/>
      <c r="AR812" s="3"/>
      <c r="AS812" s="3"/>
      <c r="AT812" s="3"/>
    </row>
    <row r="813" spans="1:46" ht="15">
      <c r="A813" s="64" t="s">
        <v>2557</v>
      </c>
      <c r="B813" s="65"/>
      <c r="C813" s="65"/>
      <c r="D813" s="66">
        <v>150</v>
      </c>
      <c r="E813" s="102">
        <v>97.85714285714286</v>
      </c>
      <c r="F813" s="98" t="str">
        <f>HYPERLINK("https://i.ytimg.com/vi/axrNHcj_x_E/default.jpg")</f>
        <v>https://i.ytimg.com/vi/axrNHcj_x_E/default.jpg</v>
      </c>
      <c r="G813" s="100"/>
      <c r="H813" s="69" t="s">
        <v>3030</v>
      </c>
      <c r="I813" s="70"/>
      <c r="J813" s="104" t="s">
        <v>159</v>
      </c>
      <c r="K813" s="69" t="s">
        <v>3030</v>
      </c>
      <c r="L813" s="105">
        <v>1</v>
      </c>
      <c r="M813" s="74">
        <v>7617.86767578125</v>
      </c>
      <c r="N813" s="74">
        <v>640.9663696289062</v>
      </c>
      <c r="O813" s="75"/>
      <c r="P813" s="76"/>
      <c r="Q813" s="76"/>
      <c r="R813" s="106"/>
      <c r="S813" s="48">
        <v>1</v>
      </c>
      <c r="T813" s="48">
        <v>0</v>
      </c>
      <c r="U813" s="49">
        <v>0</v>
      </c>
      <c r="V813" s="49">
        <v>0.15695</v>
      </c>
      <c r="W813" s="107"/>
      <c r="X813" s="50"/>
      <c r="Y813" s="50"/>
      <c r="Z813" s="49">
        <v>0</v>
      </c>
      <c r="AA813" s="71">
        <v>813</v>
      </c>
      <c r="AB813" s="71"/>
      <c r="AC813" s="72"/>
      <c r="AD813" s="79" t="s">
        <v>3030</v>
      </c>
      <c r="AE813" s="79"/>
      <c r="AF813" s="79"/>
      <c r="AG813" s="79" t="s">
        <v>1523</v>
      </c>
      <c r="AH813" s="79" t="s">
        <v>4398</v>
      </c>
      <c r="AI813" s="79">
        <v>419</v>
      </c>
      <c r="AJ813" s="79">
        <v>2</v>
      </c>
      <c r="AK813" s="79">
        <v>9</v>
      </c>
      <c r="AL813" s="79">
        <v>0</v>
      </c>
      <c r="AM813" s="79" t="s">
        <v>2092</v>
      </c>
      <c r="AN813" s="114" t="str">
        <f>HYPERLINK("https://www.youtube.com/watch?v=axrNHcj_x_E")</f>
        <v>https://www.youtube.com/watch?v=axrNHcj_x_E</v>
      </c>
      <c r="AO813" s="78" t="str">
        <f>REPLACE(INDEX(GroupVertices[Group],MATCH(Vertices[[#This Row],[Vertex]],GroupVertices[Vertex],0)),1,1,"")</f>
        <v>mpireum</v>
      </c>
      <c r="AP813" s="2"/>
      <c r="AQ813" s="3"/>
      <c r="AR813" s="3"/>
      <c r="AS813" s="3"/>
      <c r="AT813" s="3"/>
    </row>
    <row r="814" spans="1:46" ht="15">
      <c r="A814" s="64" t="s">
        <v>604</v>
      </c>
      <c r="B814" s="65"/>
      <c r="C814" s="65"/>
      <c r="D814" s="66">
        <v>150</v>
      </c>
      <c r="E814" s="102">
        <v>97.85714285714286</v>
      </c>
      <c r="F814" s="98" t="str">
        <f>HYPERLINK("https://i.ytimg.com/vi/EFeYH_Goa90/default.jpg")</f>
        <v>https://i.ytimg.com/vi/EFeYH_Goa90/default.jpg</v>
      </c>
      <c r="G814" s="100"/>
      <c r="H814" s="69" t="s">
        <v>1028</v>
      </c>
      <c r="I814" s="70"/>
      <c r="J814" s="104" t="s">
        <v>159</v>
      </c>
      <c r="K814" s="69" t="s">
        <v>1028</v>
      </c>
      <c r="L814" s="105">
        <v>1</v>
      </c>
      <c r="M814" s="74">
        <v>7410.83056640625</v>
      </c>
      <c r="N814" s="74">
        <v>1553.9671630859375</v>
      </c>
      <c r="O814" s="75"/>
      <c r="P814" s="76"/>
      <c r="Q814" s="76"/>
      <c r="R814" s="106"/>
      <c r="S814" s="48">
        <v>1</v>
      </c>
      <c r="T814" s="48">
        <v>0</v>
      </c>
      <c r="U814" s="49">
        <v>0</v>
      </c>
      <c r="V814" s="49">
        <v>0.15695</v>
      </c>
      <c r="W814" s="107"/>
      <c r="X814" s="50"/>
      <c r="Y814" s="50"/>
      <c r="Z814" s="49">
        <v>0</v>
      </c>
      <c r="AA814" s="71">
        <v>814</v>
      </c>
      <c r="AB814" s="71"/>
      <c r="AC814" s="72"/>
      <c r="AD814" s="79" t="s">
        <v>1028</v>
      </c>
      <c r="AE814" s="79"/>
      <c r="AF814" s="79" t="s">
        <v>1477</v>
      </c>
      <c r="AG814" s="79" t="s">
        <v>1523</v>
      </c>
      <c r="AH814" s="79" t="s">
        <v>2085</v>
      </c>
      <c r="AI814" s="79">
        <v>273145</v>
      </c>
      <c r="AJ814" s="79">
        <v>746</v>
      </c>
      <c r="AK814" s="79">
        <v>6479</v>
      </c>
      <c r="AL814" s="79">
        <v>0</v>
      </c>
      <c r="AM814" s="79" t="s">
        <v>2092</v>
      </c>
      <c r="AN814" s="114" t="str">
        <f>HYPERLINK("https://www.youtube.com/watch?v=EFeYH_Goa90")</f>
        <v>https://www.youtube.com/watch?v=EFeYH_Goa90</v>
      </c>
      <c r="AO814" s="78" t="str">
        <f>REPLACE(INDEX(GroupVertices[Group],MATCH(Vertices[[#This Row],[Vertex]],GroupVertices[Vertex],0)),1,1,"")</f>
        <v>mpireum</v>
      </c>
      <c r="AP814" s="2"/>
      <c r="AQ814" s="3"/>
      <c r="AR814" s="3"/>
      <c r="AS814" s="3"/>
      <c r="AT814" s="3"/>
    </row>
    <row r="815" spans="1:46" ht="15">
      <c r="A815" s="64" t="s">
        <v>606</v>
      </c>
      <c r="B815" s="65"/>
      <c r="C815" s="65"/>
      <c r="D815" s="66">
        <v>150</v>
      </c>
      <c r="E815" s="102">
        <v>97.85714285714286</v>
      </c>
      <c r="F815" s="98" t="str">
        <f>HYPERLINK("https://i.ytimg.com/vi/ugTHq-MZ5vs/default.jpg")</f>
        <v>https://i.ytimg.com/vi/ugTHq-MZ5vs/default.jpg</v>
      </c>
      <c r="G815" s="100"/>
      <c r="H815" s="69" t="s">
        <v>1030</v>
      </c>
      <c r="I815" s="70"/>
      <c r="J815" s="104" t="s">
        <v>159</v>
      </c>
      <c r="K815" s="69" t="s">
        <v>1030</v>
      </c>
      <c r="L815" s="105">
        <v>1</v>
      </c>
      <c r="M815" s="74">
        <v>7410.37890625</v>
      </c>
      <c r="N815" s="74">
        <v>905.220458984375</v>
      </c>
      <c r="O815" s="75"/>
      <c r="P815" s="76"/>
      <c r="Q815" s="76"/>
      <c r="R815" s="106"/>
      <c r="S815" s="48">
        <v>1</v>
      </c>
      <c r="T815" s="48">
        <v>0</v>
      </c>
      <c r="U815" s="49">
        <v>0</v>
      </c>
      <c r="V815" s="49">
        <v>0.15695</v>
      </c>
      <c r="W815" s="107"/>
      <c r="X815" s="50"/>
      <c r="Y815" s="50"/>
      <c r="Z815" s="49">
        <v>0</v>
      </c>
      <c r="AA815" s="71">
        <v>815</v>
      </c>
      <c r="AB815" s="71"/>
      <c r="AC815" s="72"/>
      <c r="AD815" s="79" t="s">
        <v>1030</v>
      </c>
      <c r="AE815" s="79"/>
      <c r="AF815" s="79" t="s">
        <v>1479</v>
      </c>
      <c r="AG815" s="79" t="s">
        <v>1523</v>
      </c>
      <c r="AH815" s="79" t="s">
        <v>2087</v>
      </c>
      <c r="AI815" s="79">
        <v>10328</v>
      </c>
      <c r="AJ815" s="79">
        <v>2</v>
      </c>
      <c r="AK815" s="79">
        <v>156</v>
      </c>
      <c r="AL815" s="79">
        <v>0</v>
      </c>
      <c r="AM815" s="79" t="s">
        <v>2092</v>
      </c>
      <c r="AN815" s="114" t="str">
        <f>HYPERLINK("https://www.youtube.com/watch?v=ugTHq-MZ5vs")</f>
        <v>https://www.youtube.com/watch?v=ugTHq-MZ5vs</v>
      </c>
      <c r="AO815" s="78" t="str">
        <f>REPLACE(INDEX(GroupVertices[Group],MATCH(Vertices[[#This Row],[Vertex]],GroupVertices[Vertex],0)),1,1,"")</f>
        <v>mpireum</v>
      </c>
      <c r="AP815" s="2"/>
      <c r="AQ815" s="3"/>
      <c r="AR815" s="3"/>
      <c r="AS815" s="3"/>
      <c r="AT815" s="3"/>
    </row>
    <row r="816" spans="1:46" ht="15">
      <c r="A816" s="64" t="s">
        <v>605</v>
      </c>
      <c r="B816" s="65"/>
      <c r="C816" s="65"/>
      <c r="D816" s="66">
        <v>150</v>
      </c>
      <c r="E816" s="102">
        <v>97.85714285714286</v>
      </c>
      <c r="F816" s="98" t="str">
        <f>HYPERLINK("https://i.ytimg.com/vi/tdFUYsGvEuU/default.jpg")</f>
        <v>https://i.ytimg.com/vi/tdFUYsGvEuU/default.jpg</v>
      </c>
      <c r="G816" s="100"/>
      <c r="H816" s="69" t="s">
        <v>1029</v>
      </c>
      <c r="I816" s="70"/>
      <c r="J816" s="104" t="s">
        <v>159</v>
      </c>
      <c r="K816" s="69" t="s">
        <v>1029</v>
      </c>
      <c r="L816" s="105">
        <v>1</v>
      </c>
      <c r="M816" s="74">
        <v>7104.02783203125</v>
      </c>
      <c r="N816" s="74">
        <v>496.1048278808594</v>
      </c>
      <c r="O816" s="75"/>
      <c r="P816" s="76"/>
      <c r="Q816" s="76"/>
      <c r="R816" s="106"/>
      <c r="S816" s="48">
        <v>1</v>
      </c>
      <c r="T816" s="48">
        <v>0</v>
      </c>
      <c r="U816" s="49">
        <v>0</v>
      </c>
      <c r="V816" s="49">
        <v>0.15695</v>
      </c>
      <c r="W816" s="107"/>
      <c r="X816" s="50"/>
      <c r="Y816" s="50"/>
      <c r="Z816" s="49">
        <v>0</v>
      </c>
      <c r="AA816" s="71">
        <v>816</v>
      </c>
      <c r="AB816" s="71"/>
      <c r="AC816" s="72"/>
      <c r="AD816" s="79" t="s">
        <v>1029</v>
      </c>
      <c r="AE816" s="79"/>
      <c r="AF816" s="79" t="s">
        <v>1478</v>
      </c>
      <c r="AG816" s="79" t="s">
        <v>1523</v>
      </c>
      <c r="AH816" s="79" t="s">
        <v>2086</v>
      </c>
      <c r="AI816" s="79">
        <v>18530</v>
      </c>
      <c r="AJ816" s="79">
        <v>13</v>
      </c>
      <c r="AK816" s="79">
        <v>285</v>
      </c>
      <c r="AL816" s="79">
        <v>0</v>
      </c>
      <c r="AM816" s="79" t="s">
        <v>2092</v>
      </c>
      <c r="AN816" s="114" t="str">
        <f>HYPERLINK("https://www.youtube.com/watch?v=tdFUYsGvEuU")</f>
        <v>https://www.youtube.com/watch?v=tdFUYsGvEuU</v>
      </c>
      <c r="AO816" s="78" t="str">
        <f>REPLACE(INDEX(GroupVertices[Group],MATCH(Vertices[[#This Row],[Vertex]],GroupVertices[Vertex],0)),1,1,"")</f>
        <v>mpireum</v>
      </c>
      <c r="AP816" s="2"/>
      <c r="AQ816" s="3"/>
      <c r="AR816" s="3"/>
      <c r="AS816" s="3"/>
      <c r="AT816" s="3"/>
    </row>
    <row r="817" spans="1:46" ht="15">
      <c r="A817" s="64" t="s">
        <v>2558</v>
      </c>
      <c r="B817" s="65"/>
      <c r="C817" s="65"/>
      <c r="D817" s="66">
        <v>150</v>
      </c>
      <c r="E817" s="102">
        <v>97.85714285714286</v>
      </c>
      <c r="F817" s="98" t="str">
        <f>HYPERLINK("https://i.ytimg.com/vi/2aeTd2LZp4Y/default.jpg")</f>
        <v>https://i.ytimg.com/vi/2aeTd2LZp4Y/default.jpg</v>
      </c>
      <c r="G817" s="100"/>
      <c r="H817" s="69" t="s">
        <v>3031</v>
      </c>
      <c r="I817" s="70"/>
      <c r="J817" s="104" t="s">
        <v>159</v>
      </c>
      <c r="K817" s="69" t="s">
        <v>3031</v>
      </c>
      <c r="L817" s="105">
        <v>1</v>
      </c>
      <c r="M817" s="74">
        <v>6845.14501953125</v>
      </c>
      <c r="N817" s="74">
        <v>7203.52490234375</v>
      </c>
      <c r="O817" s="75"/>
      <c r="P817" s="76"/>
      <c r="Q817" s="76"/>
      <c r="R817" s="106"/>
      <c r="S817" s="48">
        <v>1</v>
      </c>
      <c r="T817" s="48">
        <v>0</v>
      </c>
      <c r="U817" s="49">
        <v>0</v>
      </c>
      <c r="V817" s="49">
        <v>0.169008</v>
      </c>
      <c r="W817" s="107"/>
      <c r="X817" s="50"/>
      <c r="Y817" s="50"/>
      <c r="Z817" s="49">
        <v>0</v>
      </c>
      <c r="AA817" s="71">
        <v>817</v>
      </c>
      <c r="AB817" s="71"/>
      <c r="AC817" s="72"/>
      <c r="AD817" s="79" t="s">
        <v>3031</v>
      </c>
      <c r="AE817" s="79" t="s">
        <v>3444</v>
      </c>
      <c r="AF817" s="79" t="s">
        <v>3677</v>
      </c>
      <c r="AG817" s="79" t="s">
        <v>3949</v>
      </c>
      <c r="AH817" s="79" t="s">
        <v>4399</v>
      </c>
      <c r="AI817" s="79">
        <v>48</v>
      </c>
      <c r="AJ817" s="79">
        <v>0</v>
      </c>
      <c r="AK817" s="79">
        <v>7</v>
      </c>
      <c r="AL817" s="79">
        <v>0</v>
      </c>
      <c r="AM817" s="79" t="s">
        <v>2092</v>
      </c>
      <c r="AN817" s="114" t="str">
        <f>HYPERLINK("https://www.youtube.com/watch?v=2aeTd2LZp4Y")</f>
        <v>https://www.youtube.com/watch?v=2aeTd2LZp4Y</v>
      </c>
      <c r="AO817" s="78" t="str">
        <f>REPLACE(INDEX(GroupVertices[Group],MATCH(Vertices[[#This Row],[Vertex]],GroupVertices[Vertex],0)),1,1,"")</f>
        <v>nTerencething</v>
      </c>
      <c r="AP817" s="2"/>
      <c r="AQ817" s="3"/>
      <c r="AR817" s="3"/>
      <c r="AS817" s="3"/>
      <c r="AT817" s="3"/>
    </row>
    <row r="818" spans="1:46" ht="15">
      <c r="A818" s="64" t="s">
        <v>2559</v>
      </c>
      <c r="B818" s="65"/>
      <c r="C818" s="65"/>
      <c r="D818" s="66">
        <v>150</v>
      </c>
      <c r="E818" s="102">
        <v>97.85714285714286</v>
      </c>
      <c r="F818" s="98" t="str">
        <f>HYPERLINK("https://i.ytimg.com/vi/p41RVmU27Yo/default.jpg")</f>
        <v>https://i.ytimg.com/vi/p41RVmU27Yo/default.jpg</v>
      </c>
      <c r="G818" s="100"/>
      <c r="H818" s="69" t="s">
        <v>3032</v>
      </c>
      <c r="I818" s="70"/>
      <c r="J818" s="104" t="s">
        <v>159</v>
      </c>
      <c r="K818" s="69" t="s">
        <v>3032</v>
      </c>
      <c r="L818" s="105">
        <v>1</v>
      </c>
      <c r="M818" s="74">
        <v>7203.76171875</v>
      </c>
      <c r="N818" s="74">
        <v>5358.65966796875</v>
      </c>
      <c r="O818" s="75"/>
      <c r="P818" s="76"/>
      <c r="Q818" s="76"/>
      <c r="R818" s="106"/>
      <c r="S818" s="48">
        <v>1</v>
      </c>
      <c r="T818" s="48">
        <v>0</v>
      </c>
      <c r="U818" s="49">
        <v>0</v>
      </c>
      <c r="V818" s="49">
        <v>0.169008</v>
      </c>
      <c r="W818" s="107"/>
      <c r="X818" s="50"/>
      <c r="Y818" s="50"/>
      <c r="Z818" s="49">
        <v>0</v>
      </c>
      <c r="AA818" s="71">
        <v>818</v>
      </c>
      <c r="AB818" s="71"/>
      <c r="AC818" s="72"/>
      <c r="AD818" s="79" t="s">
        <v>3032</v>
      </c>
      <c r="AE818" s="79" t="s">
        <v>3445</v>
      </c>
      <c r="AF818" s="79"/>
      <c r="AG818" s="79" t="s">
        <v>3950</v>
      </c>
      <c r="AH818" s="79" t="s">
        <v>4400</v>
      </c>
      <c r="AI818" s="79">
        <v>5208</v>
      </c>
      <c r="AJ818" s="79">
        <v>155</v>
      </c>
      <c r="AK818" s="79">
        <v>94</v>
      </c>
      <c r="AL818" s="79">
        <v>0</v>
      </c>
      <c r="AM818" s="79" t="s">
        <v>2092</v>
      </c>
      <c r="AN818" s="114" t="str">
        <f>HYPERLINK("https://www.youtube.com/watch?v=p41RVmU27Yo")</f>
        <v>https://www.youtube.com/watch?v=p41RVmU27Yo</v>
      </c>
      <c r="AO818" s="78" t="str">
        <f>REPLACE(INDEX(GroupVertices[Group],MATCH(Vertices[[#This Row],[Vertex]],GroupVertices[Vertex],0)),1,1,"")</f>
        <v>icole Evans</v>
      </c>
      <c r="AP818" s="2"/>
      <c r="AQ818" s="3"/>
      <c r="AR818" s="3"/>
      <c r="AS818" s="3"/>
      <c r="AT818" s="3"/>
    </row>
    <row r="819" spans="1:46" ht="15">
      <c r="A819" s="64" t="s">
        <v>2560</v>
      </c>
      <c r="B819" s="65"/>
      <c r="C819" s="65"/>
      <c r="D819" s="66">
        <v>150</v>
      </c>
      <c r="E819" s="102">
        <v>97.85714285714286</v>
      </c>
      <c r="F819" s="98" t="str">
        <f>HYPERLINK("https://i.ytimg.com/vi/Um78D1p-rb0/default.jpg")</f>
        <v>https://i.ytimg.com/vi/Um78D1p-rb0/default.jpg</v>
      </c>
      <c r="G819" s="100"/>
      <c r="H819" s="69" t="s">
        <v>3033</v>
      </c>
      <c r="I819" s="70"/>
      <c r="J819" s="104" t="s">
        <v>159</v>
      </c>
      <c r="K819" s="69" t="s">
        <v>3033</v>
      </c>
      <c r="L819" s="105">
        <v>1</v>
      </c>
      <c r="M819" s="74">
        <v>7296.5478515625</v>
      </c>
      <c r="N819" s="74">
        <v>6758.26513671875</v>
      </c>
      <c r="O819" s="75"/>
      <c r="P819" s="76"/>
      <c r="Q819" s="76"/>
      <c r="R819" s="106"/>
      <c r="S819" s="48">
        <v>1</v>
      </c>
      <c r="T819" s="48">
        <v>0</v>
      </c>
      <c r="U819" s="49">
        <v>0</v>
      </c>
      <c r="V819" s="49">
        <v>0.169008</v>
      </c>
      <c r="W819" s="107"/>
      <c r="X819" s="50"/>
      <c r="Y819" s="50"/>
      <c r="Z819" s="49">
        <v>0</v>
      </c>
      <c r="AA819" s="71">
        <v>819</v>
      </c>
      <c r="AB819" s="71"/>
      <c r="AC819" s="72"/>
      <c r="AD819" s="79" t="s">
        <v>3033</v>
      </c>
      <c r="AE819" s="79" t="s">
        <v>3446</v>
      </c>
      <c r="AF819" s="79"/>
      <c r="AG819" s="79" t="s">
        <v>3951</v>
      </c>
      <c r="AH819" s="79" t="s">
        <v>4401</v>
      </c>
      <c r="AI819" s="79">
        <v>2101</v>
      </c>
      <c r="AJ819" s="79">
        <v>155</v>
      </c>
      <c r="AK819" s="79">
        <v>80</v>
      </c>
      <c r="AL819" s="79">
        <v>0</v>
      </c>
      <c r="AM819" s="79" t="s">
        <v>2092</v>
      </c>
      <c r="AN819" s="114" t="str">
        <f>HYPERLINK("https://www.youtube.com/watch?v=Um78D1p-rb0")</f>
        <v>https://www.youtube.com/watch?v=Um78D1p-rb0</v>
      </c>
      <c r="AO819" s="78" t="str">
        <f>REPLACE(INDEX(GroupVertices[Group],MATCH(Vertices[[#This Row],[Vertex]],GroupVertices[Vertex],0)),1,1,"")</f>
        <v>att Kiebach</v>
      </c>
      <c r="AP819" s="2"/>
      <c r="AQ819" s="3"/>
      <c r="AR819" s="3"/>
      <c r="AS819" s="3"/>
      <c r="AT819" s="3"/>
    </row>
    <row r="820" spans="1:46" ht="15">
      <c r="A820" s="64" t="s">
        <v>2561</v>
      </c>
      <c r="B820" s="65"/>
      <c r="C820" s="65"/>
      <c r="D820" s="66">
        <v>150</v>
      </c>
      <c r="E820" s="102">
        <v>97.85714285714286</v>
      </c>
      <c r="F820" s="98" t="str">
        <f>HYPERLINK("https://i.ytimg.com/vi/cpZvjHAAD2k/default.jpg")</f>
        <v>https://i.ytimg.com/vi/cpZvjHAAD2k/default.jpg</v>
      </c>
      <c r="G820" s="100"/>
      <c r="H820" s="69" t="s">
        <v>3034</v>
      </c>
      <c r="I820" s="70"/>
      <c r="J820" s="104" t="s">
        <v>159</v>
      </c>
      <c r="K820" s="69" t="s">
        <v>3034</v>
      </c>
      <c r="L820" s="105">
        <v>1</v>
      </c>
      <c r="M820" s="74">
        <v>6891.47998046875</v>
      </c>
      <c r="N820" s="74">
        <v>6284.33544921875</v>
      </c>
      <c r="O820" s="75"/>
      <c r="P820" s="76"/>
      <c r="Q820" s="76"/>
      <c r="R820" s="106"/>
      <c r="S820" s="48">
        <v>1</v>
      </c>
      <c r="T820" s="48">
        <v>0</v>
      </c>
      <c r="U820" s="49">
        <v>0</v>
      </c>
      <c r="V820" s="49">
        <v>0.169008</v>
      </c>
      <c r="W820" s="107"/>
      <c r="X820" s="50"/>
      <c r="Y820" s="50"/>
      <c r="Z820" s="49">
        <v>0</v>
      </c>
      <c r="AA820" s="71">
        <v>820</v>
      </c>
      <c r="AB820" s="71"/>
      <c r="AC820" s="72"/>
      <c r="AD820" s="79" t="s">
        <v>3034</v>
      </c>
      <c r="AE820" s="79"/>
      <c r="AF820" s="79"/>
      <c r="AG820" s="79" t="s">
        <v>3952</v>
      </c>
      <c r="AH820" s="79" t="s">
        <v>4402</v>
      </c>
      <c r="AI820" s="79">
        <v>264</v>
      </c>
      <c r="AJ820" s="79">
        <v>0</v>
      </c>
      <c r="AK820" s="79">
        <v>6</v>
      </c>
      <c r="AL820" s="79">
        <v>0</v>
      </c>
      <c r="AM820" s="79" t="s">
        <v>2092</v>
      </c>
      <c r="AN820" s="114" t="str">
        <f>HYPERLINK("https://www.youtube.com/watch?v=cpZvjHAAD2k")</f>
        <v>https://www.youtube.com/watch?v=cpZvjHAAD2k</v>
      </c>
      <c r="AO820" s="78" t="str">
        <f>REPLACE(INDEX(GroupVertices[Group],MATCH(Vertices[[#This Row],[Vertex]],GroupVertices[Vertex],0)),1,1,"")</f>
        <v>he Chius</v>
      </c>
      <c r="AP820" s="2"/>
      <c r="AQ820" s="3"/>
      <c r="AR820" s="3"/>
      <c r="AS820" s="3"/>
      <c r="AT820" s="3"/>
    </row>
    <row r="821" spans="1:46" ht="15">
      <c r="A821" s="64" t="s">
        <v>2562</v>
      </c>
      <c r="B821" s="65"/>
      <c r="C821" s="65"/>
      <c r="D821" s="66">
        <v>150</v>
      </c>
      <c r="E821" s="102">
        <v>97.85714285714286</v>
      </c>
      <c r="F821" s="98" t="str">
        <f>HYPERLINK("https://i.ytimg.com/vi/FObktie7WEQ/default.jpg")</f>
        <v>https://i.ytimg.com/vi/FObktie7WEQ/default.jpg</v>
      </c>
      <c r="G821" s="100"/>
      <c r="H821" s="69" t="s">
        <v>3035</v>
      </c>
      <c r="I821" s="70"/>
      <c r="J821" s="104" t="s">
        <v>159</v>
      </c>
      <c r="K821" s="69" t="s">
        <v>3035</v>
      </c>
      <c r="L821" s="105">
        <v>1</v>
      </c>
      <c r="M821" s="74">
        <v>7573.9970703125</v>
      </c>
      <c r="N821" s="74">
        <v>5774.1787109375</v>
      </c>
      <c r="O821" s="75"/>
      <c r="P821" s="76"/>
      <c r="Q821" s="76"/>
      <c r="R821" s="106"/>
      <c r="S821" s="48">
        <v>1</v>
      </c>
      <c r="T821" s="48">
        <v>0</v>
      </c>
      <c r="U821" s="49">
        <v>0</v>
      </c>
      <c r="V821" s="49">
        <v>0.169008</v>
      </c>
      <c r="W821" s="107"/>
      <c r="X821" s="50"/>
      <c r="Y821" s="50"/>
      <c r="Z821" s="49">
        <v>0</v>
      </c>
      <c r="AA821" s="71">
        <v>821</v>
      </c>
      <c r="AB821" s="71"/>
      <c r="AC821" s="72"/>
      <c r="AD821" s="79" t="s">
        <v>3035</v>
      </c>
      <c r="AE821" s="79"/>
      <c r="AF821" s="79"/>
      <c r="AG821" s="79" t="s">
        <v>3953</v>
      </c>
      <c r="AH821" s="79" t="s">
        <v>4403</v>
      </c>
      <c r="AI821" s="79">
        <v>246</v>
      </c>
      <c r="AJ821" s="79">
        <v>0</v>
      </c>
      <c r="AK821" s="79">
        <v>4</v>
      </c>
      <c r="AL821" s="79">
        <v>0</v>
      </c>
      <c r="AM821" s="79" t="s">
        <v>2092</v>
      </c>
      <c r="AN821" s="114" t="str">
        <f>HYPERLINK("https://www.youtube.com/watch?v=FObktie7WEQ")</f>
        <v>https://www.youtube.com/watch?v=FObktie7WEQ</v>
      </c>
      <c r="AO821" s="78" t="str">
        <f>REPLACE(INDEX(GroupVertices[Group],MATCH(Vertices[[#This Row],[Vertex]],GroupVertices[Vertex],0)),1,1,"")</f>
        <v>uirejeanne</v>
      </c>
      <c r="AP821" s="2"/>
      <c r="AQ821" s="3"/>
      <c r="AR821" s="3"/>
      <c r="AS821" s="3"/>
      <c r="AT821" s="3"/>
    </row>
    <row r="822" spans="1:46" ht="15">
      <c r="A822" s="64" t="s">
        <v>2563</v>
      </c>
      <c r="B822" s="65"/>
      <c r="C822" s="65"/>
      <c r="D822" s="66">
        <v>150</v>
      </c>
      <c r="E822" s="102">
        <v>97.85714285714286</v>
      </c>
      <c r="F822" s="98" t="str">
        <f>HYPERLINK("https://i.ytimg.com/vi/BZB5tpaxlxY/default.jpg")</f>
        <v>https://i.ytimg.com/vi/BZB5tpaxlxY/default.jpg</v>
      </c>
      <c r="G822" s="100"/>
      <c r="H822" s="69" t="s">
        <v>3036</v>
      </c>
      <c r="I822" s="70"/>
      <c r="J822" s="104" t="s">
        <v>159</v>
      </c>
      <c r="K822" s="69" t="s">
        <v>3036</v>
      </c>
      <c r="L822" s="105">
        <v>1</v>
      </c>
      <c r="M822" s="74">
        <v>7285.89404296875</v>
      </c>
      <c r="N822" s="74">
        <v>7397.9541015625</v>
      </c>
      <c r="O822" s="75"/>
      <c r="P822" s="76"/>
      <c r="Q822" s="76"/>
      <c r="R822" s="106"/>
      <c r="S822" s="48">
        <v>1</v>
      </c>
      <c r="T822" s="48">
        <v>0</v>
      </c>
      <c r="U822" s="49">
        <v>0</v>
      </c>
      <c r="V822" s="49">
        <v>0.169008</v>
      </c>
      <c r="W822" s="107"/>
      <c r="X822" s="50"/>
      <c r="Y822" s="50"/>
      <c r="Z822" s="49">
        <v>0</v>
      </c>
      <c r="AA822" s="71">
        <v>822</v>
      </c>
      <c r="AB822" s="71"/>
      <c r="AC822" s="72"/>
      <c r="AD822" s="79" t="s">
        <v>3036</v>
      </c>
      <c r="AE822" s="79" t="s">
        <v>3447</v>
      </c>
      <c r="AF822" s="79"/>
      <c r="AG822" s="79" t="s">
        <v>3954</v>
      </c>
      <c r="AH822" s="79" t="s">
        <v>4404</v>
      </c>
      <c r="AI822" s="79">
        <v>141</v>
      </c>
      <c r="AJ822" s="79">
        <v>1</v>
      </c>
      <c r="AK822" s="79">
        <v>3</v>
      </c>
      <c r="AL822" s="79">
        <v>0</v>
      </c>
      <c r="AM822" s="79" t="s">
        <v>2092</v>
      </c>
      <c r="AN822" s="114" t="str">
        <f>HYPERLINK("https://www.youtube.com/watch?v=BZB5tpaxlxY")</f>
        <v>https://www.youtube.com/watch?v=BZB5tpaxlxY</v>
      </c>
      <c r="AO822" s="78" t="str">
        <f>REPLACE(INDEX(GroupVertices[Group],MATCH(Vertices[[#This Row],[Vertex]],GroupVertices[Vertex],0)),1,1,"")</f>
        <v>unday Sitdown with Willie Geist Podc</v>
      </c>
      <c r="AP822" s="2"/>
      <c r="AQ822" s="3"/>
      <c r="AR822" s="3"/>
      <c r="AS822" s="3"/>
      <c r="AT822" s="3"/>
    </row>
    <row r="823" spans="1:46" ht="15">
      <c r="A823" s="64" t="s">
        <v>2564</v>
      </c>
      <c r="B823" s="65"/>
      <c r="C823" s="65"/>
      <c r="D823" s="66">
        <v>150</v>
      </c>
      <c r="E823" s="102">
        <v>97.85714285714286</v>
      </c>
      <c r="F823" s="98" t="str">
        <f>HYPERLINK("https://i.ytimg.com/vi/kpXsiU7QJSA/default.jpg")</f>
        <v>https://i.ytimg.com/vi/kpXsiU7QJSA/default.jpg</v>
      </c>
      <c r="G823" s="100"/>
      <c r="H823" s="69" t="s">
        <v>3037</v>
      </c>
      <c r="I823" s="70"/>
      <c r="J823" s="104" t="s">
        <v>159</v>
      </c>
      <c r="K823" s="69" t="s">
        <v>3037</v>
      </c>
      <c r="L823" s="105">
        <v>1</v>
      </c>
      <c r="M823" s="74">
        <v>6755.72021484375</v>
      </c>
      <c r="N823" s="74">
        <v>5652.87841796875</v>
      </c>
      <c r="O823" s="75"/>
      <c r="P823" s="76"/>
      <c r="Q823" s="76"/>
      <c r="R823" s="106"/>
      <c r="S823" s="48">
        <v>1</v>
      </c>
      <c r="T823" s="48">
        <v>0</v>
      </c>
      <c r="U823" s="49">
        <v>0</v>
      </c>
      <c r="V823" s="49">
        <v>0.169008</v>
      </c>
      <c r="W823" s="107"/>
      <c r="X823" s="50"/>
      <c r="Y823" s="50"/>
      <c r="Z823" s="49">
        <v>0</v>
      </c>
      <c r="AA823" s="71">
        <v>823</v>
      </c>
      <c r="AB823" s="71"/>
      <c r="AC823" s="72"/>
      <c r="AD823" s="79" t="s">
        <v>3037</v>
      </c>
      <c r="AE823" s="79" t="s">
        <v>3448</v>
      </c>
      <c r="AF823" s="79"/>
      <c r="AG823" s="79" t="s">
        <v>3955</v>
      </c>
      <c r="AH823" s="79" t="s">
        <v>4405</v>
      </c>
      <c r="AI823" s="79">
        <v>68976</v>
      </c>
      <c r="AJ823" s="79">
        <v>126</v>
      </c>
      <c r="AK823" s="79">
        <v>1215</v>
      </c>
      <c r="AL823" s="79">
        <v>0</v>
      </c>
      <c r="AM823" s="79" t="s">
        <v>2092</v>
      </c>
      <c r="AN823" s="114" t="str">
        <f>HYPERLINK("https://www.youtube.com/watch?v=kpXsiU7QJSA")</f>
        <v>https://www.youtube.com/watch?v=kpXsiU7QJSA</v>
      </c>
      <c r="AO823" s="78" t="str">
        <f>REPLACE(INDEX(GroupVertices[Group],MATCH(Vertices[[#This Row],[Vertex]],GroupVertices[Vertex],0)),1,1,"")</f>
        <v>arade Broadway</v>
      </c>
      <c r="AP823" s="2"/>
      <c r="AQ823" s="3"/>
      <c r="AR823" s="3"/>
      <c r="AS823" s="3"/>
      <c r="AT823" s="3"/>
    </row>
    <row r="824" spans="1:46" ht="15">
      <c r="A824" s="64" t="s">
        <v>2565</v>
      </c>
      <c r="B824" s="65"/>
      <c r="C824" s="65"/>
      <c r="D824" s="66">
        <v>150</v>
      </c>
      <c r="E824" s="102">
        <v>97.85714285714286</v>
      </c>
      <c r="F824" s="98" t="str">
        <f>HYPERLINK("https://i.ytimg.com/vi/ik3YyL3ztyg/default.jpg")</f>
        <v>https://i.ytimg.com/vi/ik3YyL3ztyg/default.jpg</v>
      </c>
      <c r="G824" s="100"/>
      <c r="H824" s="69" t="s">
        <v>3038</v>
      </c>
      <c r="I824" s="70"/>
      <c r="J824" s="104" t="s">
        <v>159</v>
      </c>
      <c r="K824" s="69" t="s">
        <v>3038</v>
      </c>
      <c r="L824" s="105">
        <v>1</v>
      </c>
      <c r="M824" s="74">
        <v>7947.82275390625</v>
      </c>
      <c r="N824" s="74">
        <v>7108.3515625</v>
      </c>
      <c r="O824" s="75"/>
      <c r="P824" s="76"/>
      <c r="Q824" s="76"/>
      <c r="R824" s="106"/>
      <c r="S824" s="48">
        <v>1</v>
      </c>
      <c r="T824" s="48">
        <v>0</v>
      </c>
      <c r="U824" s="49">
        <v>0</v>
      </c>
      <c r="V824" s="49">
        <v>0.169008</v>
      </c>
      <c r="W824" s="107"/>
      <c r="X824" s="50"/>
      <c r="Y824" s="50"/>
      <c r="Z824" s="49">
        <v>0</v>
      </c>
      <c r="AA824" s="71">
        <v>824</v>
      </c>
      <c r="AB824" s="71"/>
      <c r="AC824" s="72"/>
      <c r="AD824" s="79" t="s">
        <v>3038</v>
      </c>
      <c r="AE824" s="79" t="s">
        <v>3449</v>
      </c>
      <c r="AF824" s="79"/>
      <c r="AG824" s="79" t="s">
        <v>3956</v>
      </c>
      <c r="AH824" s="79" t="s">
        <v>4406</v>
      </c>
      <c r="AI824" s="79">
        <v>1436</v>
      </c>
      <c r="AJ824" s="79">
        <v>2</v>
      </c>
      <c r="AK824" s="79">
        <v>20</v>
      </c>
      <c r="AL824" s="79">
        <v>0</v>
      </c>
      <c r="AM824" s="79" t="s">
        <v>2092</v>
      </c>
      <c r="AN824" s="114" t="str">
        <f>HYPERLINK("https://www.youtube.com/watch?v=ik3YyL3ztyg")</f>
        <v>https://www.youtube.com/watch?v=ik3YyL3ztyg</v>
      </c>
      <c r="AO824" s="78" t="str">
        <f>REPLACE(INDEX(GroupVertices[Group],MATCH(Vertices[[#This Row],[Vertex]],GroupVertices[Vertex],0)),1,1,"")</f>
        <v>ECTV</v>
      </c>
      <c r="AP824" s="2"/>
      <c r="AQ824" s="3"/>
      <c r="AR824" s="3"/>
      <c r="AS824" s="3"/>
      <c r="AT824" s="3"/>
    </row>
    <row r="825" spans="1:46" ht="15">
      <c r="A825" s="64" t="s">
        <v>2566</v>
      </c>
      <c r="B825" s="65"/>
      <c r="C825" s="65"/>
      <c r="D825" s="66">
        <v>150</v>
      </c>
      <c r="E825" s="102">
        <v>97.85714285714286</v>
      </c>
      <c r="F825" s="98" t="str">
        <f>HYPERLINK("https://i.ytimg.com/vi/VbKWiSs9ghg/default.jpg")</f>
        <v>https://i.ytimg.com/vi/VbKWiSs9ghg/default.jpg</v>
      </c>
      <c r="G825" s="100"/>
      <c r="H825" s="69" t="s">
        <v>3039</v>
      </c>
      <c r="I825" s="70"/>
      <c r="J825" s="104" t="s">
        <v>159</v>
      </c>
      <c r="K825" s="69" t="s">
        <v>3039</v>
      </c>
      <c r="L825" s="105">
        <v>1</v>
      </c>
      <c r="M825" s="74">
        <v>8154.81884765625</v>
      </c>
      <c r="N825" s="74">
        <v>6050.962890625</v>
      </c>
      <c r="O825" s="75"/>
      <c r="P825" s="76"/>
      <c r="Q825" s="76"/>
      <c r="R825" s="106"/>
      <c r="S825" s="48">
        <v>1</v>
      </c>
      <c r="T825" s="48">
        <v>0</v>
      </c>
      <c r="U825" s="49">
        <v>0</v>
      </c>
      <c r="V825" s="49">
        <v>0.169008</v>
      </c>
      <c r="W825" s="107"/>
      <c r="X825" s="50"/>
      <c r="Y825" s="50"/>
      <c r="Z825" s="49">
        <v>0</v>
      </c>
      <c r="AA825" s="71">
        <v>825</v>
      </c>
      <c r="AB825" s="71"/>
      <c r="AC825" s="72"/>
      <c r="AD825" s="79" t="s">
        <v>3039</v>
      </c>
      <c r="AE825" s="79" t="s">
        <v>3450</v>
      </c>
      <c r="AF825" s="79"/>
      <c r="AG825" s="79" t="s">
        <v>3957</v>
      </c>
      <c r="AH825" s="79" t="s">
        <v>4407</v>
      </c>
      <c r="AI825" s="79">
        <v>1379</v>
      </c>
      <c r="AJ825" s="79">
        <v>0</v>
      </c>
      <c r="AK825" s="79">
        <v>13</v>
      </c>
      <c r="AL825" s="79">
        <v>0</v>
      </c>
      <c r="AM825" s="79" t="s">
        <v>2092</v>
      </c>
      <c r="AN825" s="114" t="str">
        <f>HYPERLINK("https://www.youtube.com/watch?v=VbKWiSs9ghg")</f>
        <v>https://www.youtube.com/watch?v=VbKWiSs9ghg</v>
      </c>
      <c r="AO825" s="78" t="str">
        <f>REPLACE(INDEX(GroupVertices[Group],MATCH(Vertices[[#This Row],[Vertex]],GroupVertices[Vertex],0)),1,1,"")</f>
        <v>aige Kornblue Media</v>
      </c>
      <c r="AP825" s="2"/>
      <c r="AQ825" s="3"/>
      <c r="AR825" s="3"/>
      <c r="AS825" s="3"/>
      <c r="AT825" s="3"/>
    </row>
    <row r="826" spans="1:46" ht="15">
      <c r="A826" s="64" t="s">
        <v>2567</v>
      </c>
      <c r="B826" s="65"/>
      <c r="C826" s="65"/>
      <c r="D826" s="66">
        <v>150</v>
      </c>
      <c r="E826" s="102">
        <v>97.85714285714286</v>
      </c>
      <c r="F826" s="98" t="str">
        <f>HYPERLINK("https://i.ytimg.com/vi/RTiYVHqiBNc/default.jpg")</f>
        <v>https://i.ytimg.com/vi/RTiYVHqiBNc/default.jpg</v>
      </c>
      <c r="G826" s="100"/>
      <c r="H826" s="69" t="s">
        <v>3040</v>
      </c>
      <c r="I826" s="70"/>
      <c r="J826" s="104" t="s">
        <v>159</v>
      </c>
      <c r="K826" s="69" t="s">
        <v>3040</v>
      </c>
      <c r="L826" s="105">
        <v>1</v>
      </c>
      <c r="M826" s="74">
        <v>6532.14453125</v>
      </c>
      <c r="N826" s="74">
        <v>6451.22705078125</v>
      </c>
      <c r="O826" s="75"/>
      <c r="P826" s="76"/>
      <c r="Q826" s="76"/>
      <c r="R826" s="106"/>
      <c r="S826" s="48">
        <v>1</v>
      </c>
      <c r="T826" s="48">
        <v>0</v>
      </c>
      <c r="U826" s="49">
        <v>0</v>
      </c>
      <c r="V826" s="49">
        <v>0.169008</v>
      </c>
      <c r="W826" s="107"/>
      <c r="X826" s="50"/>
      <c r="Y826" s="50"/>
      <c r="Z826" s="49">
        <v>0</v>
      </c>
      <c r="AA826" s="71">
        <v>826</v>
      </c>
      <c r="AB826" s="71"/>
      <c r="AC826" s="72"/>
      <c r="AD826" s="79" t="s">
        <v>3040</v>
      </c>
      <c r="AE826" s="79" t="s">
        <v>3451</v>
      </c>
      <c r="AF826" s="79" t="s">
        <v>1480</v>
      </c>
      <c r="AG826" s="79" t="s">
        <v>1677</v>
      </c>
      <c r="AH826" s="79" t="s">
        <v>4408</v>
      </c>
      <c r="AI826" s="79">
        <v>28955</v>
      </c>
      <c r="AJ826" s="79">
        <v>196</v>
      </c>
      <c r="AK826" s="79">
        <v>4843</v>
      </c>
      <c r="AL826" s="79">
        <v>0</v>
      </c>
      <c r="AM826" s="79" t="s">
        <v>2092</v>
      </c>
      <c r="AN826" s="114" t="str">
        <f>HYPERLINK("https://www.youtube.com/watch?v=RTiYVHqiBNc")</f>
        <v>https://www.youtube.com/watch?v=RTiYVHqiBNc</v>
      </c>
      <c r="AO826" s="78" t="str">
        <f>REPLACE(INDEX(GroupVertices[Group],MATCH(Vertices[[#This Row],[Vertex]],GroupVertices[Vertex],0)),1,1,"")</f>
        <v>egyn Kelly</v>
      </c>
      <c r="AP826" s="2"/>
      <c r="AQ826" s="3"/>
      <c r="AR826" s="3"/>
      <c r="AS826" s="3"/>
      <c r="AT826" s="3"/>
    </row>
    <row r="827" spans="1:46" ht="15">
      <c r="A827" s="64" t="s">
        <v>2568</v>
      </c>
      <c r="B827" s="65"/>
      <c r="C827" s="65"/>
      <c r="D827" s="66">
        <v>150</v>
      </c>
      <c r="E827" s="102">
        <v>97.85714285714286</v>
      </c>
      <c r="F827" s="98" t="str">
        <f>HYPERLINK("https://i.ytimg.com/vi/6thrftnxFB0/default.jpg")</f>
        <v>https://i.ytimg.com/vi/6thrftnxFB0/default.jpg</v>
      </c>
      <c r="G827" s="100"/>
      <c r="H827" s="69" t="s">
        <v>3041</v>
      </c>
      <c r="I827" s="70"/>
      <c r="J827" s="104" t="s">
        <v>159</v>
      </c>
      <c r="K827" s="69" t="s">
        <v>3041</v>
      </c>
      <c r="L827" s="105">
        <v>1</v>
      </c>
      <c r="M827" s="74">
        <v>7448.181640625</v>
      </c>
      <c r="N827" s="74">
        <v>7110.509765625</v>
      </c>
      <c r="O827" s="75"/>
      <c r="P827" s="76"/>
      <c r="Q827" s="76"/>
      <c r="R827" s="106"/>
      <c r="S827" s="48">
        <v>1</v>
      </c>
      <c r="T827" s="48">
        <v>0</v>
      </c>
      <c r="U827" s="49">
        <v>0</v>
      </c>
      <c r="V827" s="49">
        <v>0.169008</v>
      </c>
      <c r="W827" s="107"/>
      <c r="X827" s="50"/>
      <c r="Y827" s="50"/>
      <c r="Z827" s="49">
        <v>0</v>
      </c>
      <c r="AA827" s="71">
        <v>827</v>
      </c>
      <c r="AB827" s="71"/>
      <c r="AC827" s="72"/>
      <c r="AD827" s="79" t="s">
        <v>3041</v>
      </c>
      <c r="AE827" s="79" t="s">
        <v>3452</v>
      </c>
      <c r="AF827" s="79"/>
      <c r="AG827" s="79" t="s">
        <v>3958</v>
      </c>
      <c r="AH827" s="79" t="s">
        <v>4409</v>
      </c>
      <c r="AI827" s="79">
        <v>3481</v>
      </c>
      <c r="AJ827" s="79">
        <v>7</v>
      </c>
      <c r="AK827" s="79">
        <v>57</v>
      </c>
      <c r="AL827" s="79">
        <v>0</v>
      </c>
      <c r="AM827" s="79" t="s">
        <v>2092</v>
      </c>
      <c r="AN827" s="114" t="str">
        <f>HYPERLINK("https://www.youtube.com/watch?v=6thrftnxFB0")</f>
        <v>https://www.youtube.com/watch?v=6thrftnxFB0</v>
      </c>
      <c r="AO827" s="78" t="str">
        <f>REPLACE(INDEX(GroupVertices[Group],MATCH(Vertices[[#This Row],[Vertex]],GroupVertices[Vertex],0)),1,1,"")</f>
        <v>mmunotherapy Institute</v>
      </c>
      <c r="AP827" s="2"/>
      <c r="AQ827" s="3"/>
      <c r="AR827" s="3"/>
      <c r="AS827" s="3"/>
      <c r="AT827" s="3"/>
    </row>
    <row r="828" spans="1:46" ht="15">
      <c r="A828" s="64" t="s">
        <v>2569</v>
      </c>
      <c r="B828" s="65"/>
      <c r="C828" s="65"/>
      <c r="D828" s="66">
        <v>150</v>
      </c>
      <c r="E828" s="102">
        <v>97.85714285714286</v>
      </c>
      <c r="F828" s="98" t="str">
        <f>HYPERLINK("https://i.ytimg.com/vi/5DbuN8U6JsI/default.jpg")</f>
        <v>https://i.ytimg.com/vi/5DbuN8U6JsI/default.jpg</v>
      </c>
      <c r="G828" s="100"/>
      <c r="H828" s="69" t="s">
        <v>3042</v>
      </c>
      <c r="I828" s="70"/>
      <c r="J828" s="104" t="s">
        <v>159</v>
      </c>
      <c r="K828" s="69" t="s">
        <v>3042</v>
      </c>
      <c r="L828" s="105">
        <v>1</v>
      </c>
      <c r="M828" s="74">
        <v>6962.17724609375</v>
      </c>
      <c r="N828" s="74">
        <v>5487.6396484375</v>
      </c>
      <c r="O828" s="75"/>
      <c r="P828" s="76"/>
      <c r="Q828" s="76"/>
      <c r="R828" s="106"/>
      <c r="S828" s="48">
        <v>1</v>
      </c>
      <c r="T828" s="48">
        <v>0</v>
      </c>
      <c r="U828" s="49">
        <v>0</v>
      </c>
      <c r="V828" s="49">
        <v>0.169008</v>
      </c>
      <c r="W828" s="107"/>
      <c r="X828" s="50"/>
      <c r="Y828" s="50"/>
      <c r="Z828" s="49">
        <v>0</v>
      </c>
      <c r="AA828" s="71">
        <v>828</v>
      </c>
      <c r="AB828" s="71"/>
      <c r="AC828" s="72"/>
      <c r="AD828" s="79" t="s">
        <v>3042</v>
      </c>
      <c r="AE828" s="79" t="s">
        <v>3453</v>
      </c>
      <c r="AF828" s="79" t="s">
        <v>3678</v>
      </c>
      <c r="AG828" s="79" t="s">
        <v>1497</v>
      </c>
      <c r="AH828" s="79" t="s">
        <v>4410</v>
      </c>
      <c r="AI828" s="79">
        <v>5606</v>
      </c>
      <c r="AJ828" s="79">
        <v>12</v>
      </c>
      <c r="AK828" s="79">
        <v>111</v>
      </c>
      <c r="AL828" s="79">
        <v>0</v>
      </c>
      <c r="AM828" s="79" t="s">
        <v>2092</v>
      </c>
      <c r="AN828" s="114" t="str">
        <f>HYPERLINK("https://www.youtube.com/watch?v=5DbuN8U6JsI")</f>
        <v>https://www.youtube.com/watch?v=5DbuN8U6JsI</v>
      </c>
      <c r="AO828" s="78" t="str">
        <f>REPLACE(INDEX(GroupVertices[Group],MATCH(Vertices[[#This Row],[Vertex]],GroupVertices[Vertex],0)),1,1,"")</f>
        <v>ODAY</v>
      </c>
      <c r="AP828" s="2"/>
      <c r="AQ828" s="3"/>
      <c r="AR828" s="3"/>
      <c r="AS828" s="3"/>
      <c r="AT828" s="3"/>
    </row>
    <row r="829" spans="1:46" ht="15">
      <c r="A829" s="64" t="s">
        <v>2570</v>
      </c>
      <c r="B829" s="65"/>
      <c r="C829" s="65"/>
      <c r="D829" s="66">
        <v>150</v>
      </c>
      <c r="E829" s="102">
        <v>97.85714285714286</v>
      </c>
      <c r="F829" s="98" t="str">
        <f>HYPERLINK("https://i.ytimg.com/vi/Sdp0zf-58ZA/default.jpg")</f>
        <v>https://i.ytimg.com/vi/Sdp0zf-58ZA/default.jpg</v>
      </c>
      <c r="G829" s="100"/>
      <c r="H829" s="69" t="s">
        <v>3043</v>
      </c>
      <c r="I829" s="70"/>
      <c r="J829" s="104" t="s">
        <v>159</v>
      </c>
      <c r="K829" s="69" t="s">
        <v>3043</v>
      </c>
      <c r="L829" s="105">
        <v>1</v>
      </c>
      <c r="M829" s="74">
        <v>7881.8720703125</v>
      </c>
      <c r="N829" s="74">
        <v>5587.3310546875</v>
      </c>
      <c r="O829" s="75"/>
      <c r="P829" s="76"/>
      <c r="Q829" s="76"/>
      <c r="R829" s="106"/>
      <c r="S829" s="48">
        <v>1</v>
      </c>
      <c r="T829" s="48">
        <v>0</v>
      </c>
      <c r="U829" s="49">
        <v>0</v>
      </c>
      <c r="V829" s="49">
        <v>0.169008</v>
      </c>
      <c r="W829" s="107"/>
      <c r="X829" s="50"/>
      <c r="Y829" s="50"/>
      <c r="Z829" s="49">
        <v>0</v>
      </c>
      <c r="AA829" s="71">
        <v>829</v>
      </c>
      <c r="AB829" s="71"/>
      <c r="AC829" s="72"/>
      <c r="AD829" s="79" t="s">
        <v>3043</v>
      </c>
      <c r="AE829" s="79"/>
      <c r="AF829" s="79"/>
      <c r="AG829" s="79" t="s">
        <v>3959</v>
      </c>
      <c r="AH829" s="79" t="s">
        <v>4411</v>
      </c>
      <c r="AI829" s="79">
        <v>11780</v>
      </c>
      <c r="AJ829" s="79">
        <v>14</v>
      </c>
      <c r="AK829" s="79">
        <v>96</v>
      </c>
      <c r="AL829" s="79">
        <v>0</v>
      </c>
      <c r="AM829" s="79" t="s">
        <v>2092</v>
      </c>
      <c r="AN829" s="114" t="str">
        <f>HYPERLINK("https://www.youtube.com/watch?v=Sdp0zf-58ZA")</f>
        <v>https://www.youtube.com/watch?v=Sdp0zf-58ZA</v>
      </c>
      <c r="AO829" s="78" t="str">
        <f>REPLACE(INDEX(GroupVertices[Group],MATCH(Vertices[[#This Row],[Vertex]],GroupVertices[Vertex],0)),1,1,"")</f>
        <v>FGHFoundation</v>
      </c>
      <c r="AP829" s="2"/>
      <c r="AQ829" s="3"/>
      <c r="AR829" s="3"/>
      <c r="AS829" s="3"/>
      <c r="AT829" s="3"/>
    </row>
    <row r="830" spans="1:46" ht="15">
      <c r="A830" s="64" t="s">
        <v>2571</v>
      </c>
      <c r="B830" s="65"/>
      <c r="C830" s="65"/>
      <c r="D830" s="66">
        <v>150</v>
      </c>
      <c r="E830" s="102">
        <v>97.85714285714286</v>
      </c>
      <c r="F830" s="98" t="str">
        <f>HYPERLINK("https://i.ytimg.com/vi/DGPJHqZD65k/default_live.jpg")</f>
        <v>https://i.ytimg.com/vi/DGPJHqZD65k/default_live.jpg</v>
      </c>
      <c r="G830" s="100"/>
      <c r="H830" s="69" t="s">
        <v>3044</v>
      </c>
      <c r="I830" s="70"/>
      <c r="J830" s="104" t="s">
        <v>159</v>
      </c>
      <c r="K830" s="69" t="s">
        <v>3044</v>
      </c>
      <c r="L830" s="105">
        <v>1</v>
      </c>
      <c r="M830" s="74">
        <v>7714.04541015625</v>
      </c>
      <c r="N830" s="74">
        <v>6342.37548828125</v>
      </c>
      <c r="O830" s="75"/>
      <c r="P830" s="76"/>
      <c r="Q830" s="76"/>
      <c r="R830" s="106"/>
      <c r="S830" s="48">
        <v>1</v>
      </c>
      <c r="T830" s="48">
        <v>0</v>
      </c>
      <c r="U830" s="49">
        <v>0</v>
      </c>
      <c r="V830" s="49">
        <v>0.169008</v>
      </c>
      <c r="W830" s="107"/>
      <c r="X830" s="50"/>
      <c r="Y830" s="50"/>
      <c r="Z830" s="49">
        <v>0</v>
      </c>
      <c r="AA830" s="71">
        <v>830</v>
      </c>
      <c r="AB830" s="71"/>
      <c r="AC830" s="72"/>
      <c r="AD830" s="79" t="s">
        <v>3044</v>
      </c>
      <c r="AE830" s="79" t="s">
        <v>3454</v>
      </c>
      <c r="AF830" s="79" t="s">
        <v>3679</v>
      </c>
      <c r="AG830" s="79" t="s">
        <v>1544</v>
      </c>
      <c r="AH830" s="79" t="s">
        <v>4412</v>
      </c>
      <c r="AI830" s="79">
        <v>2588</v>
      </c>
      <c r="AJ830" s="79">
        <v>0</v>
      </c>
      <c r="AK830" s="79">
        <v>88</v>
      </c>
      <c r="AL830" s="79">
        <v>0</v>
      </c>
      <c r="AM830" s="79" t="s">
        <v>2092</v>
      </c>
      <c r="AN830" s="114" t="str">
        <f>HYPERLINK("https://www.youtube.com/watch?v=DGPJHqZD65k")</f>
        <v>https://www.youtube.com/watch?v=DGPJHqZD65k</v>
      </c>
      <c r="AO830" s="78" t="str">
        <f>REPLACE(INDEX(GroupVertices[Group],MATCH(Vertices[[#This Row],[Vertex]],GroupVertices[Vertex],0)),1,1,"")</f>
        <v>BS News</v>
      </c>
      <c r="AP830" s="2"/>
      <c r="AQ830" s="3"/>
      <c r="AR830" s="3"/>
      <c r="AS830" s="3"/>
      <c r="AT830" s="3"/>
    </row>
    <row r="831" spans="1:46" ht="15">
      <c r="A831" s="64" t="s">
        <v>2572</v>
      </c>
      <c r="B831" s="65"/>
      <c r="C831" s="65"/>
      <c r="D831" s="66">
        <v>150</v>
      </c>
      <c r="E831" s="102">
        <v>97.85714285714286</v>
      </c>
      <c r="F831" s="98" t="str">
        <f>HYPERLINK("https://i.ytimg.com/vi/_BhTcbLhehI/default.jpg")</f>
        <v>https://i.ytimg.com/vi/_BhTcbLhehI/default.jpg</v>
      </c>
      <c r="G831" s="100"/>
      <c r="H831" s="69" t="s">
        <v>3045</v>
      </c>
      <c r="I831" s="70"/>
      <c r="J831" s="104" t="s">
        <v>159</v>
      </c>
      <c r="K831" s="69" t="s">
        <v>3045</v>
      </c>
      <c r="L831" s="105">
        <v>1</v>
      </c>
      <c r="M831" s="74">
        <v>6684.84521484375</v>
      </c>
      <c r="N831" s="74">
        <v>6979.818359375</v>
      </c>
      <c r="O831" s="75"/>
      <c r="P831" s="76"/>
      <c r="Q831" s="76"/>
      <c r="R831" s="106"/>
      <c r="S831" s="48">
        <v>1</v>
      </c>
      <c r="T831" s="48">
        <v>0</v>
      </c>
      <c r="U831" s="49">
        <v>0</v>
      </c>
      <c r="V831" s="49">
        <v>0.169008</v>
      </c>
      <c r="W831" s="107"/>
      <c r="X831" s="50"/>
      <c r="Y831" s="50"/>
      <c r="Z831" s="49">
        <v>0</v>
      </c>
      <c r="AA831" s="71">
        <v>831</v>
      </c>
      <c r="AB831" s="71"/>
      <c r="AC831" s="72"/>
      <c r="AD831" s="79" t="s">
        <v>3045</v>
      </c>
      <c r="AE831" s="79" t="s">
        <v>3455</v>
      </c>
      <c r="AF831" s="79" t="s">
        <v>3680</v>
      </c>
      <c r="AG831" s="79" t="s">
        <v>3960</v>
      </c>
      <c r="AH831" s="79" t="s">
        <v>4413</v>
      </c>
      <c r="AI831" s="79">
        <v>66847</v>
      </c>
      <c r="AJ831" s="79">
        <v>72</v>
      </c>
      <c r="AK831" s="79">
        <v>465</v>
      </c>
      <c r="AL831" s="79">
        <v>0</v>
      </c>
      <c r="AM831" s="79" t="s">
        <v>2092</v>
      </c>
      <c r="AN831" s="114" t="str">
        <f>HYPERLINK("https://www.youtube.com/watch?v=_BhTcbLhehI")</f>
        <v>https://www.youtube.com/watch?v=_BhTcbLhehI</v>
      </c>
      <c r="AO831" s="78" t="str">
        <f>REPLACE(INDEX(GroupVertices[Group],MATCH(Vertices[[#This Row],[Vertex]],GroupVertices[Vertex],0)),1,1,"")</f>
        <v>he New York Times</v>
      </c>
      <c r="AP831" s="2"/>
      <c r="AQ831" s="3"/>
      <c r="AR831" s="3"/>
      <c r="AS831" s="3"/>
      <c r="AT831" s="3"/>
    </row>
    <row r="832" spans="1:46" ht="15">
      <c r="A832" s="64" t="s">
        <v>2573</v>
      </c>
      <c r="B832" s="65"/>
      <c r="C832" s="65"/>
      <c r="D832" s="66">
        <v>150</v>
      </c>
      <c r="E832" s="102">
        <v>97.85714285714286</v>
      </c>
      <c r="F832" s="98" t="str">
        <f>HYPERLINK("https://i.ytimg.com/vi/j5ABWnE2QlA/default.jpg")</f>
        <v>https://i.ytimg.com/vi/j5ABWnE2QlA/default.jpg</v>
      </c>
      <c r="G832" s="100"/>
      <c r="H832" s="69" t="s">
        <v>3046</v>
      </c>
      <c r="I832" s="70"/>
      <c r="J832" s="104" t="s">
        <v>159</v>
      </c>
      <c r="K832" s="69" t="s">
        <v>3046</v>
      </c>
      <c r="L832" s="105">
        <v>1</v>
      </c>
      <c r="M832" s="74">
        <v>7955.81591796875</v>
      </c>
      <c r="N832" s="74">
        <v>6586.64794921875</v>
      </c>
      <c r="O832" s="75"/>
      <c r="P832" s="76"/>
      <c r="Q832" s="76"/>
      <c r="R832" s="106"/>
      <c r="S832" s="48">
        <v>1</v>
      </c>
      <c r="T832" s="48">
        <v>0</v>
      </c>
      <c r="U832" s="49">
        <v>0</v>
      </c>
      <c r="V832" s="49">
        <v>0.169008</v>
      </c>
      <c r="W832" s="107"/>
      <c r="X832" s="50"/>
      <c r="Y832" s="50"/>
      <c r="Z832" s="49">
        <v>0</v>
      </c>
      <c r="AA832" s="71">
        <v>832</v>
      </c>
      <c r="AB832" s="71"/>
      <c r="AC832" s="72"/>
      <c r="AD832" s="79" t="s">
        <v>3046</v>
      </c>
      <c r="AE832" s="79" t="s">
        <v>3456</v>
      </c>
      <c r="AF832" s="79" t="s">
        <v>3678</v>
      </c>
      <c r="AG832" s="79" t="s">
        <v>1497</v>
      </c>
      <c r="AH832" s="79" t="s">
        <v>4414</v>
      </c>
      <c r="AI832" s="79">
        <v>2285</v>
      </c>
      <c r="AJ832" s="79">
        <v>1</v>
      </c>
      <c r="AK832" s="79">
        <v>68</v>
      </c>
      <c r="AL832" s="79">
        <v>0</v>
      </c>
      <c r="AM832" s="79" t="s">
        <v>2092</v>
      </c>
      <c r="AN832" s="114" t="str">
        <f>HYPERLINK("https://www.youtube.com/watch?v=j5ABWnE2QlA")</f>
        <v>https://www.youtube.com/watch?v=j5ABWnE2QlA</v>
      </c>
      <c r="AO832" s="78" t="str">
        <f>REPLACE(INDEX(GroupVertices[Group],MATCH(Vertices[[#This Row],[Vertex]],GroupVertices[Vertex],0)),1,1,"")</f>
        <v>ODAY</v>
      </c>
      <c r="AP832" s="2"/>
      <c r="AQ832" s="3"/>
      <c r="AR832" s="3"/>
      <c r="AS832" s="3"/>
      <c r="AT832" s="3"/>
    </row>
    <row r="833" spans="1:46" ht="15">
      <c r="A833" s="64" t="s">
        <v>2574</v>
      </c>
      <c r="B833" s="65"/>
      <c r="C833" s="65"/>
      <c r="D833" s="66">
        <v>150</v>
      </c>
      <c r="E833" s="102">
        <v>97.85714285714286</v>
      </c>
      <c r="F833" s="98" t="str">
        <f>HYPERLINK("https://i.ytimg.com/vi/jqSMOEaibHI/default.jpg")</f>
        <v>https://i.ytimg.com/vi/jqSMOEaibHI/default.jpg</v>
      </c>
      <c r="G833" s="100"/>
      <c r="H833" s="69" t="s">
        <v>3047</v>
      </c>
      <c r="I833" s="70"/>
      <c r="J833" s="104" t="s">
        <v>159</v>
      </c>
      <c r="K833" s="69" t="s">
        <v>3047</v>
      </c>
      <c r="L833" s="105">
        <v>1</v>
      </c>
      <c r="M833" s="74">
        <v>7070.419921875</v>
      </c>
      <c r="N833" s="74">
        <v>7332.9228515625</v>
      </c>
      <c r="O833" s="75"/>
      <c r="P833" s="76"/>
      <c r="Q833" s="76"/>
      <c r="R833" s="106"/>
      <c r="S833" s="48">
        <v>1</v>
      </c>
      <c r="T833" s="48">
        <v>0</v>
      </c>
      <c r="U833" s="49">
        <v>0</v>
      </c>
      <c r="V833" s="49">
        <v>0.169008</v>
      </c>
      <c r="W833" s="107"/>
      <c r="X833" s="50"/>
      <c r="Y833" s="50"/>
      <c r="Z833" s="49">
        <v>0</v>
      </c>
      <c r="AA833" s="71">
        <v>833</v>
      </c>
      <c r="AB833" s="71"/>
      <c r="AC833" s="72"/>
      <c r="AD833" s="79" t="s">
        <v>3047</v>
      </c>
      <c r="AE833" s="79" t="s">
        <v>3457</v>
      </c>
      <c r="AF833" s="79" t="s">
        <v>3681</v>
      </c>
      <c r="AG833" s="79" t="s">
        <v>1497</v>
      </c>
      <c r="AH833" s="79" t="s">
        <v>4415</v>
      </c>
      <c r="AI833" s="79">
        <v>475</v>
      </c>
      <c r="AJ833" s="79">
        <v>0</v>
      </c>
      <c r="AK833" s="79">
        <v>8</v>
      </c>
      <c r="AL833" s="79">
        <v>0</v>
      </c>
      <c r="AM833" s="79" t="s">
        <v>2092</v>
      </c>
      <c r="AN833" s="114" t="str">
        <f>HYPERLINK("https://www.youtube.com/watch?v=jqSMOEaibHI")</f>
        <v>https://www.youtube.com/watch?v=jqSMOEaibHI</v>
      </c>
      <c r="AO833" s="78" t="str">
        <f>REPLACE(INDEX(GroupVertices[Group],MATCH(Vertices[[#This Row],[Vertex]],GroupVertices[Vertex],0)),1,1,"")</f>
        <v>ODAY</v>
      </c>
      <c r="AP833" s="2"/>
      <c r="AQ833" s="3"/>
      <c r="AR833" s="3"/>
      <c r="AS833" s="3"/>
      <c r="AT833" s="3"/>
    </row>
    <row r="834" spans="1:46" ht="15">
      <c r="A834" s="64" t="s">
        <v>2575</v>
      </c>
      <c r="B834" s="65"/>
      <c r="C834" s="65"/>
      <c r="D834" s="66">
        <v>150</v>
      </c>
      <c r="E834" s="102">
        <v>97.85714285714286</v>
      </c>
      <c r="F834" s="98" t="str">
        <f>HYPERLINK("https://i.ytimg.com/vi/dpTsD0g2tBc/default.jpg")</f>
        <v>https://i.ytimg.com/vi/dpTsD0g2tBc/default.jpg</v>
      </c>
      <c r="G834" s="100"/>
      <c r="H834" s="69" t="s">
        <v>3048</v>
      </c>
      <c r="I834" s="70"/>
      <c r="J834" s="104" t="s">
        <v>159</v>
      </c>
      <c r="K834" s="69" t="s">
        <v>3048</v>
      </c>
      <c r="L834" s="105">
        <v>1</v>
      </c>
      <c r="M834" s="74">
        <v>7228.9306640625</v>
      </c>
      <c r="N834" s="74">
        <v>5647.76904296875</v>
      </c>
      <c r="O834" s="75"/>
      <c r="P834" s="76"/>
      <c r="Q834" s="76"/>
      <c r="R834" s="106"/>
      <c r="S834" s="48">
        <v>1</v>
      </c>
      <c r="T834" s="48">
        <v>0</v>
      </c>
      <c r="U834" s="49">
        <v>0</v>
      </c>
      <c r="V834" s="49">
        <v>0.169008</v>
      </c>
      <c r="W834" s="107"/>
      <c r="X834" s="50"/>
      <c r="Y834" s="50"/>
      <c r="Z834" s="49">
        <v>0</v>
      </c>
      <c r="AA834" s="71">
        <v>834</v>
      </c>
      <c r="AB834" s="71"/>
      <c r="AC834" s="72"/>
      <c r="AD834" s="79" t="s">
        <v>3048</v>
      </c>
      <c r="AE834" s="79" t="s">
        <v>3458</v>
      </c>
      <c r="AF834" s="79" t="s">
        <v>3682</v>
      </c>
      <c r="AG834" s="79" t="s">
        <v>1497</v>
      </c>
      <c r="AH834" s="79" t="s">
        <v>4416</v>
      </c>
      <c r="AI834" s="79">
        <v>11344</v>
      </c>
      <c r="AJ834" s="79">
        <v>5</v>
      </c>
      <c r="AK834" s="79">
        <v>125</v>
      </c>
      <c r="AL834" s="79">
        <v>0</v>
      </c>
      <c r="AM834" s="79" t="s">
        <v>2092</v>
      </c>
      <c r="AN834" s="114" t="str">
        <f>HYPERLINK("https://www.youtube.com/watch?v=dpTsD0g2tBc")</f>
        <v>https://www.youtube.com/watch?v=dpTsD0g2tBc</v>
      </c>
      <c r="AO834" s="78" t="str">
        <f>REPLACE(INDEX(GroupVertices[Group],MATCH(Vertices[[#This Row],[Vertex]],GroupVertices[Vertex],0)),1,1,"")</f>
        <v>ODAY</v>
      </c>
      <c r="AP834" s="2"/>
      <c r="AQ834" s="3"/>
      <c r="AR834" s="3"/>
      <c r="AS834" s="3"/>
      <c r="AT834" s="3"/>
    </row>
    <row r="835" spans="1:46" ht="15">
      <c r="A835" s="64" t="s">
        <v>2576</v>
      </c>
      <c r="B835" s="65"/>
      <c r="C835" s="65"/>
      <c r="D835" s="66">
        <v>150</v>
      </c>
      <c r="E835" s="102">
        <v>97.85714285714286</v>
      </c>
      <c r="F835" s="98" t="str">
        <f>HYPERLINK("https://i.ytimg.com/vi/5xmKcOVMMME/default.jpg")</f>
        <v>https://i.ytimg.com/vi/5xmKcOVMMME/default.jpg</v>
      </c>
      <c r="G835" s="100"/>
      <c r="H835" s="69" t="s">
        <v>3049</v>
      </c>
      <c r="I835" s="70"/>
      <c r="J835" s="104" t="s">
        <v>159</v>
      </c>
      <c r="K835" s="69" t="s">
        <v>3049</v>
      </c>
      <c r="L835" s="105">
        <v>1</v>
      </c>
      <c r="M835" s="74">
        <v>7255.04248046875</v>
      </c>
      <c r="N835" s="74">
        <v>6029.60986328125</v>
      </c>
      <c r="O835" s="75"/>
      <c r="P835" s="76"/>
      <c r="Q835" s="76"/>
      <c r="R835" s="106"/>
      <c r="S835" s="48">
        <v>1</v>
      </c>
      <c r="T835" s="48">
        <v>0</v>
      </c>
      <c r="U835" s="49">
        <v>0</v>
      </c>
      <c r="V835" s="49">
        <v>0.169008</v>
      </c>
      <c r="W835" s="107"/>
      <c r="X835" s="50"/>
      <c r="Y835" s="50"/>
      <c r="Z835" s="49">
        <v>0</v>
      </c>
      <c r="AA835" s="71">
        <v>835</v>
      </c>
      <c r="AB835" s="71"/>
      <c r="AC835" s="72"/>
      <c r="AD835" s="79" t="s">
        <v>3049</v>
      </c>
      <c r="AE835" s="79" t="s">
        <v>3459</v>
      </c>
      <c r="AF835" s="79" t="s">
        <v>3681</v>
      </c>
      <c r="AG835" s="79" t="s">
        <v>1497</v>
      </c>
      <c r="AH835" s="79" t="s">
        <v>4417</v>
      </c>
      <c r="AI835" s="79">
        <v>554</v>
      </c>
      <c r="AJ835" s="79">
        <v>0</v>
      </c>
      <c r="AK835" s="79">
        <v>10</v>
      </c>
      <c r="AL835" s="79">
        <v>0</v>
      </c>
      <c r="AM835" s="79" t="s">
        <v>2092</v>
      </c>
      <c r="AN835" s="114" t="str">
        <f>HYPERLINK("https://www.youtube.com/watch?v=5xmKcOVMMME")</f>
        <v>https://www.youtube.com/watch?v=5xmKcOVMMME</v>
      </c>
      <c r="AO835" s="78" t="str">
        <f>REPLACE(INDEX(GroupVertices[Group],MATCH(Vertices[[#This Row],[Vertex]],GroupVertices[Vertex],0)),1,1,"")</f>
        <v>ODAY</v>
      </c>
      <c r="AP835" s="2"/>
      <c r="AQ835" s="3"/>
      <c r="AR835" s="3"/>
      <c r="AS835" s="3"/>
      <c r="AT835" s="3"/>
    </row>
    <row r="836" spans="1:46" ht="15">
      <c r="A836" s="64" t="s">
        <v>2577</v>
      </c>
      <c r="B836" s="65"/>
      <c r="C836" s="65"/>
      <c r="D836" s="66">
        <v>150</v>
      </c>
      <c r="E836" s="102">
        <v>97.85714285714286</v>
      </c>
      <c r="F836" s="98" t="str">
        <f>HYPERLINK("https://i.ytimg.com/vi/dOswkY8gxQw/default.jpg")</f>
        <v>https://i.ytimg.com/vi/dOswkY8gxQw/default.jpg</v>
      </c>
      <c r="G836" s="100"/>
      <c r="H836" s="69" t="s">
        <v>3050</v>
      </c>
      <c r="I836" s="70"/>
      <c r="J836" s="104" t="s">
        <v>159</v>
      </c>
      <c r="K836" s="69" t="s">
        <v>3050</v>
      </c>
      <c r="L836" s="105">
        <v>1</v>
      </c>
      <c r="M836" s="74">
        <v>8054.80615234375</v>
      </c>
      <c r="N836" s="74">
        <v>5785.46484375</v>
      </c>
      <c r="O836" s="75"/>
      <c r="P836" s="76"/>
      <c r="Q836" s="76"/>
      <c r="R836" s="106"/>
      <c r="S836" s="48">
        <v>1</v>
      </c>
      <c r="T836" s="48">
        <v>0</v>
      </c>
      <c r="U836" s="49">
        <v>0</v>
      </c>
      <c r="V836" s="49">
        <v>0.169008</v>
      </c>
      <c r="W836" s="107"/>
      <c r="X836" s="50"/>
      <c r="Y836" s="50"/>
      <c r="Z836" s="49">
        <v>0</v>
      </c>
      <c r="AA836" s="71">
        <v>836</v>
      </c>
      <c r="AB836" s="71"/>
      <c r="AC836" s="72"/>
      <c r="AD836" s="79" t="s">
        <v>3050</v>
      </c>
      <c r="AE836" s="79" t="s">
        <v>3460</v>
      </c>
      <c r="AF836" s="79" t="s">
        <v>3678</v>
      </c>
      <c r="AG836" s="79" t="s">
        <v>1497</v>
      </c>
      <c r="AH836" s="79" t="s">
        <v>4418</v>
      </c>
      <c r="AI836" s="79">
        <v>3508</v>
      </c>
      <c r="AJ836" s="79">
        <v>5</v>
      </c>
      <c r="AK836" s="79">
        <v>116</v>
      </c>
      <c r="AL836" s="79">
        <v>0</v>
      </c>
      <c r="AM836" s="79" t="s">
        <v>2092</v>
      </c>
      <c r="AN836" s="114" t="str">
        <f>HYPERLINK("https://www.youtube.com/watch?v=dOswkY8gxQw")</f>
        <v>https://www.youtube.com/watch?v=dOswkY8gxQw</v>
      </c>
      <c r="AO836" s="78" t="str">
        <f>REPLACE(INDEX(GroupVertices[Group],MATCH(Vertices[[#This Row],[Vertex]],GroupVertices[Vertex],0)),1,1,"")</f>
        <v>ODAY</v>
      </c>
      <c r="AP836" s="2"/>
      <c r="AQ836" s="3"/>
      <c r="AR836" s="3"/>
      <c r="AS836" s="3"/>
      <c r="AT836" s="3"/>
    </row>
    <row r="837" spans="1:46" ht="15">
      <c r="A837" s="64" t="s">
        <v>2578</v>
      </c>
      <c r="B837" s="65"/>
      <c r="C837" s="65"/>
      <c r="D837" s="66">
        <v>150</v>
      </c>
      <c r="E837" s="102">
        <v>97.85714285714286</v>
      </c>
      <c r="F837" s="98" t="str">
        <f>HYPERLINK("https://i.ytimg.com/vi/U8fwd3qKDOU/default.jpg")</f>
        <v>https://i.ytimg.com/vi/U8fwd3qKDOU/default.jpg</v>
      </c>
      <c r="G837" s="100"/>
      <c r="H837" s="69" t="s">
        <v>3051</v>
      </c>
      <c r="I837" s="70"/>
      <c r="J837" s="104" t="s">
        <v>159</v>
      </c>
      <c r="K837" s="69" t="s">
        <v>3051</v>
      </c>
      <c r="L837" s="105">
        <v>1</v>
      </c>
      <c r="M837" s="74">
        <v>7844.95556640625</v>
      </c>
      <c r="N837" s="74">
        <v>6001.9384765625</v>
      </c>
      <c r="O837" s="75"/>
      <c r="P837" s="76"/>
      <c r="Q837" s="76"/>
      <c r="R837" s="106"/>
      <c r="S837" s="48">
        <v>1</v>
      </c>
      <c r="T837" s="48">
        <v>0</v>
      </c>
      <c r="U837" s="49">
        <v>0</v>
      </c>
      <c r="V837" s="49">
        <v>0.169008</v>
      </c>
      <c r="W837" s="107"/>
      <c r="X837" s="50"/>
      <c r="Y837" s="50"/>
      <c r="Z837" s="49">
        <v>0</v>
      </c>
      <c r="AA837" s="71">
        <v>837</v>
      </c>
      <c r="AB837" s="71"/>
      <c r="AC837" s="72"/>
      <c r="AD837" s="79" t="s">
        <v>3051</v>
      </c>
      <c r="AE837" s="79" t="s">
        <v>3461</v>
      </c>
      <c r="AF837" s="79" t="s">
        <v>3678</v>
      </c>
      <c r="AG837" s="79" t="s">
        <v>1497</v>
      </c>
      <c r="AH837" s="79" t="s">
        <v>4419</v>
      </c>
      <c r="AI837" s="79">
        <v>2256</v>
      </c>
      <c r="AJ837" s="79">
        <v>0</v>
      </c>
      <c r="AK837" s="79">
        <v>14</v>
      </c>
      <c r="AL837" s="79">
        <v>0</v>
      </c>
      <c r="AM837" s="79" t="s">
        <v>2092</v>
      </c>
      <c r="AN837" s="114" t="str">
        <f>HYPERLINK("https://www.youtube.com/watch?v=U8fwd3qKDOU")</f>
        <v>https://www.youtube.com/watch?v=U8fwd3qKDOU</v>
      </c>
      <c r="AO837" s="78" t="str">
        <f>REPLACE(INDEX(GroupVertices[Group],MATCH(Vertices[[#This Row],[Vertex]],GroupVertices[Vertex],0)),1,1,"")</f>
        <v>ODAY</v>
      </c>
      <c r="AP837" s="2"/>
      <c r="AQ837" s="3"/>
      <c r="AR837" s="3"/>
      <c r="AS837" s="3"/>
      <c r="AT837" s="3"/>
    </row>
    <row r="838" spans="1:46" ht="15">
      <c r="A838" s="64" t="s">
        <v>2579</v>
      </c>
      <c r="B838" s="65"/>
      <c r="C838" s="65"/>
      <c r="D838" s="66">
        <v>150</v>
      </c>
      <c r="E838" s="102">
        <v>97.85714285714286</v>
      </c>
      <c r="F838" s="98" t="str">
        <f>HYPERLINK("https://i.ytimg.com/vi/qFQug6Lwan4/default.jpg")</f>
        <v>https://i.ytimg.com/vi/qFQug6Lwan4/default.jpg</v>
      </c>
      <c r="G838" s="100"/>
      <c r="H838" s="69" t="s">
        <v>3052</v>
      </c>
      <c r="I838" s="70"/>
      <c r="J838" s="104" t="s">
        <v>159</v>
      </c>
      <c r="K838" s="69" t="s">
        <v>3052</v>
      </c>
      <c r="L838" s="105">
        <v>1</v>
      </c>
      <c r="M838" s="74">
        <v>6608.23974609375</v>
      </c>
      <c r="N838" s="74">
        <v>5924.41357421875</v>
      </c>
      <c r="O838" s="75"/>
      <c r="P838" s="76"/>
      <c r="Q838" s="76"/>
      <c r="R838" s="106"/>
      <c r="S838" s="48">
        <v>1</v>
      </c>
      <c r="T838" s="48">
        <v>0</v>
      </c>
      <c r="U838" s="49">
        <v>0</v>
      </c>
      <c r="V838" s="49">
        <v>0.169008</v>
      </c>
      <c r="W838" s="107"/>
      <c r="X838" s="50"/>
      <c r="Y838" s="50"/>
      <c r="Z838" s="49">
        <v>0</v>
      </c>
      <c r="AA838" s="71">
        <v>838</v>
      </c>
      <c r="AB838" s="71"/>
      <c r="AC838" s="72"/>
      <c r="AD838" s="79" t="s">
        <v>3052</v>
      </c>
      <c r="AE838" s="79" t="s">
        <v>3462</v>
      </c>
      <c r="AF838" s="79" t="s">
        <v>3681</v>
      </c>
      <c r="AG838" s="79" t="s">
        <v>1497</v>
      </c>
      <c r="AH838" s="79" t="s">
        <v>4420</v>
      </c>
      <c r="AI838" s="79">
        <v>35496</v>
      </c>
      <c r="AJ838" s="79">
        <v>92</v>
      </c>
      <c r="AK838" s="79">
        <v>329</v>
      </c>
      <c r="AL838" s="79">
        <v>0</v>
      </c>
      <c r="AM838" s="79" t="s">
        <v>2092</v>
      </c>
      <c r="AN838" s="114" t="str">
        <f>HYPERLINK("https://www.youtube.com/watch?v=qFQug6Lwan4")</f>
        <v>https://www.youtube.com/watch?v=qFQug6Lwan4</v>
      </c>
      <c r="AO838" s="78" t="str">
        <f>REPLACE(INDEX(GroupVertices[Group],MATCH(Vertices[[#This Row],[Vertex]],GroupVertices[Vertex],0)),1,1,"")</f>
        <v>ODAY</v>
      </c>
      <c r="AP838" s="2"/>
      <c r="AQ838" s="3"/>
      <c r="AR838" s="3"/>
      <c r="AS838" s="3"/>
      <c r="AT838" s="3"/>
    </row>
    <row r="839" spans="1:46" ht="15">
      <c r="A839" s="64" t="s">
        <v>2580</v>
      </c>
      <c r="B839" s="65"/>
      <c r="C839" s="65"/>
      <c r="D839" s="66">
        <v>150</v>
      </c>
      <c r="E839" s="102">
        <v>97.85714285714286</v>
      </c>
      <c r="F839" s="98" t="str">
        <f>HYPERLINK("https://i.ytimg.com/vi/A4xbL9TuHlA/default.jpg")</f>
        <v>https://i.ytimg.com/vi/A4xbL9TuHlA/default.jpg</v>
      </c>
      <c r="G839" s="100"/>
      <c r="H839" s="69" t="s">
        <v>3053</v>
      </c>
      <c r="I839" s="70"/>
      <c r="J839" s="104" t="s">
        <v>159</v>
      </c>
      <c r="K839" s="69" t="s">
        <v>3053</v>
      </c>
      <c r="L839" s="105">
        <v>1</v>
      </c>
      <c r="M839" s="74">
        <v>7711.2060546875</v>
      </c>
      <c r="N839" s="74">
        <v>6854.00830078125</v>
      </c>
      <c r="O839" s="75"/>
      <c r="P839" s="76"/>
      <c r="Q839" s="76"/>
      <c r="R839" s="106"/>
      <c r="S839" s="48">
        <v>1</v>
      </c>
      <c r="T839" s="48">
        <v>0</v>
      </c>
      <c r="U839" s="49">
        <v>0</v>
      </c>
      <c r="V839" s="49">
        <v>0.169008</v>
      </c>
      <c r="W839" s="107"/>
      <c r="X839" s="50"/>
      <c r="Y839" s="50"/>
      <c r="Z839" s="49">
        <v>0</v>
      </c>
      <c r="AA839" s="71">
        <v>839</v>
      </c>
      <c r="AB839" s="71"/>
      <c r="AC839" s="72"/>
      <c r="AD839" s="79" t="s">
        <v>3053</v>
      </c>
      <c r="AE839" s="79" t="s">
        <v>3463</v>
      </c>
      <c r="AF839" s="79" t="s">
        <v>3678</v>
      </c>
      <c r="AG839" s="79" t="s">
        <v>1497</v>
      </c>
      <c r="AH839" s="79" t="s">
        <v>4421</v>
      </c>
      <c r="AI839" s="79">
        <v>5472</v>
      </c>
      <c r="AJ839" s="79">
        <v>3</v>
      </c>
      <c r="AK839" s="79">
        <v>199</v>
      </c>
      <c r="AL839" s="79">
        <v>0</v>
      </c>
      <c r="AM839" s="79" t="s">
        <v>2092</v>
      </c>
      <c r="AN839" s="114" t="str">
        <f>HYPERLINK("https://www.youtube.com/watch?v=A4xbL9TuHlA")</f>
        <v>https://www.youtube.com/watch?v=A4xbL9TuHlA</v>
      </c>
      <c r="AO839" s="78" t="str">
        <f>REPLACE(INDEX(GroupVertices[Group],MATCH(Vertices[[#This Row],[Vertex]],GroupVertices[Vertex],0)),1,1,"")</f>
        <v>ODAY</v>
      </c>
      <c r="AP839" s="2"/>
      <c r="AQ839" s="3"/>
      <c r="AR839" s="3"/>
      <c r="AS839" s="3"/>
      <c r="AT839" s="3"/>
    </row>
    <row r="840" spans="1:46" ht="15">
      <c r="A840" s="64" t="s">
        <v>2581</v>
      </c>
      <c r="B840" s="65"/>
      <c r="C840" s="65"/>
      <c r="D840" s="66">
        <v>150</v>
      </c>
      <c r="E840" s="102">
        <v>97.85714285714286</v>
      </c>
      <c r="F840" s="98" t="str">
        <f>HYPERLINK("https://i.ytimg.com/vi/Pxlnxvuj_rA/default.jpg")</f>
        <v>https://i.ytimg.com/vi/Pxlnxvuj_rA/default.jpg</v>
      </c>
      <c r="G840" s="100"/>
      <c r="H840" s="69" t="s">
        <v>3054</v>
      </c>
      <c r="I840" s="70"/>
      <c r="J840" s="104" t="s">
        <v>159</v>
      </c>
      <c r="K840" s="69" t="s">
        <v>3054</v>
      </c>
      <c r="L840" s="105">
        <v>1</v>
      </c>
      <c r="M840" s="74">
        <v>8205.3369140625</v>
      </c>
      <c r="N840" s="74">
        <v>6594.4365234375</v>
      </c>
      <c r="O840" s="75"/>
      <c r="P840" s="76"/>
      <c r="Q840" s="76"/>
      <c r="R840" s="106"/>
      <c r="S840" s="48">
        <v>1</v>
      </c>
      <c r="T840" s="48">
        <v>0</v>
      </c>
      <c r="U840" s="49">
        <v>0</v>
      </c>
      <c r="V840" s="49">
        <v>0.169008</v>
      </c>
      <c r="W840" s="107"/>
      <c r="X840" s="50"/>
      <c r="Y840" s="50"/>
      <c r="Z840" s="49">
        <v>0</v>
      </c>
      <c r="AA840" s="71">
        <v>840</v>
      </c>
      <c r="AB840" s="71"/>
      <c r="AC840" s="72"/>
      <c r="AD840" s="79" t="s">
        <v>3054</v>
      </c>
      <c r="AE840" s="79" t="s">
        <v>3464</v>
      </c>
      <c r="AF840" s="79" t="s">
        <v>3681</v>
      </c>
      <c r="AG840" s="79" t="s">
        <v>1497</v>
      </c>
      <c r="AH840" s="79" t="s">
        <v>4422</v>
      </c>
      <c r="AI840" s="79">
        <v>2853</v>
      </c>
      <c r="AJ840" s="79">
        <v>8</v>
      </c>
      <c r="AK840" s="79">
        <v>30</v>
      </c>
      <c r="AL840" s="79">
        <v>0</v>
      </c>
      <c r="AM840" s="79" t="s">
        <v>2092</v>
      </c>
      <c r="AN840" s="114" t="str">
        <f>HYPERLINK("https://www.youtube.com/watch?v=Pxlnxvuj_rA")</f>
        <v>https://www.youtube.com/watch?v=Pxlnxvuj_rA</v>
      </c>
      <c r="AO840" s="78" t="str">
        <f>REPLACE(INDEX(GroupVertices[Group],MATCH(Vertices[[#This Row],[Vertex]],GroupVertices[Vertex],0)),1,1,"")</f>
        <v>ODAY</v>
      </c>
      <c r="AP840" s="2"/>
      <c r="AQ840" s="3"/>
      <c r="AR840" s="3"/>
      <c r="AS840" s="3"/>
      <c r="AT840" s="3"/>
    </row>
    <row r="841" spans="1:46" ht="15">
      <c r="A841" s="64" t="s">
        <v>2582</v>
      </c>
      <c r="B841" s="65"/>
      <c r="C841" s="65"/>
      <c r="D841" s="66">
        <v>150</v>
      </c>
      <c r="E841" s="102">
        <v>97.85714285714286</v>
      </c>
      <c r="F841" s="98" t="str">
        <f>HYPERLINK("https://i.ytimg.com/vi/dBYSPMJiSyw/default.jpg")</f>
        <v>https://i.ytimg.com/vi/dBYSPMJiSyw/default.jpg</v>
      </c>
      <c r="G841" s="100"/>
      <c r="H841" s="69" t="s">
        <v>3055</v>
      </c>
      <c r="I841" s="70"/>
      <c r="J841" s="104" t="s">
        <v>159</v>
      </c>
      <c r="K841" s="69" t="s">
        <v>3055</v>
      </c>
      <c r="L841" s="105">
        <v>1</v>
      </c>
      <c r="M841" s="74">
        <v>6896.6953125</v>
      </c>
      <c r="N841" s="74">
        <v>5902.7734375</v>
      </c>
      <c r="O841" s="75"/>
      <c r="P841" s="76"/>
      <c r="Q841" s="76"/>
      <c r="R841" s="106"/>
      <c r="S841" s="48">
        <v>1</v>
      </c>
      <c r="T841" s="48">
        <v>0</v>
      </c>
      <c r="U841" s="49">
        <v>0</v>
      </c>
      <c r="V841" s="49">
        <v>0.169008</v>
      </c>
      <c r="W841" s="107"/>
      <c r="X841" s="50"/>
      <c r="Y841" s="50"/>
      <c r="Z841" s="49">
        <v>0</v>
      </c>
      <c r="AA841" s="71">
        <v>841</v>
      </c>
      <c r="AB841" s="71"/>
      <c r="AC841" s="72"/>
      <c r="AD841" s="79" t="s">
        <v>3055</v>
      </c>
      <c r="AE841" s="79" t="s">
        <v>3465</v>
      </c>
      <c r="AF841" s="79" t="s">
        <v>3681</v>
      </c>
      <c r="AG841" s="79" t="s">
        <v>1497</v>
      </c>
      <c r="AH841" s="79" t="s">
        <v>4423</v>
      </c>
      <c r="AI841" s="79">
        <v>993</v>
      </c>
      <c r="AJ841" s="79">
        <v>0</v>
      </c>
      <c r="AK841" s="79">
        <v>18</v>
      </c>
      <c r="AL841" s="79">
        <v>0</v>
      </c>
      <c r="AM841" s="79" t="s">
        <v>2092</v>
      </c>
      <c r="AN841" s="114" t="str">
        <f>HYPERLINK("https://www.youtube.com/watch?v=dBYSPMJiSyw")</f>
        <v>https://www.youtube.com/watch?v=dBYSPMJiSyw</v>
      </c>
      <c r="AO841" s="78" t="str">
        <f>REPLACE(INDEX(GroupVertices[Group],MATCH(Vertices[[#This Row],[Vertex]],GroupVertices[Vertex],0)),1,1,"")</f>
        <v>ODAY</v>
      </c>
      <c r="AP841" s="2"/>
      <c r="AQ841" s="3"/>
      <c r="AR841" s="3"/>
      <c r="AS841" s="3"/>
      <c r="AT841" s="3"/>
    </row>
    <row r="842" spans="1:46" ht="15">
      <c r="A842" s="64" t="s">
        <v>2583</v>
      </c>
      <c r="B842" s="65"/>
      <c r="C842" s="65"/>
      <c r="D842" s="66">
        <v>150</v>
      </c>
      <c r="E842" s="102">
        <v>97.85714285714286</v>
      </c>
      <c r="F842" s="98" t="str">
        <f>HYPERLINK("https://i.ytimg.com/vi/yMYk98QfpGc/default.jpg")</f>
        <v>https://i.ytimg.com/vi/yMYk98QfpGc/default.jpg</v>
      </c>
      <c r="G842" s="100"/>
      <c r="H842" s="69" t="s">
        <v>3056</v>
      </c>
      <c r="I842" s="70"/>
      <c r="J842" s="104" t="s">
        <v>159</v>
      </c>
      <c r="K842" s="69" t="s">
        <v>3056</v>
      </c>
      <c r="L842" s="105">
        <v>1</v>
      </c>
      <c r="M842" s="74">
        <v>7544.51953125</v>
      </c>
      <c r="N842" s="74">
        <v>7398.685546875</v>
      </c>
      <c r="O842" s="75"/>
      <c r="P842" s="76"/>
      <c r="Q842" s="76"/>
      <c r="R842" s="106"/>
      <c r="S842" s="48">
        <v>1</v>
      </c>
      <c r="T842" s="48">
        <v>0</v>
      </c>
      <c r="U842" s="49">
        <v>0</v>
      </c>
      <c r="V842" s="49">
        <v>0.169008</v>
      </c>
      <c r="W842" s="107"/>
      <c r="X842" s="50"/>
      <c r="Y842" s="50"/>
      <c r="Z842" s="49">
        <v>0</v>
      </c>
      <c r="AA842" s="71">
        <v>842</v>
      </c>
      <c r="AB842" s="71"/>
      <c r="AC842" s="72"/>
      <c r="AD842" s="79" t="s">
        <v>3056</v>
      </c>
      <c r="AE842" s="79" t="s">
        <v>3466</v>
      </c>
      <c r="AF842" s="79" t="s">
        <v>3678</v>
      </c>
      <c r="AG842" s="79" t="s">
        <v>1497</v>
      </c>
      <c r="AH842" s="79" t="s">
        <v>4424</v>
      </c>
      <c r="AI842" s="79">
        <v>1723</v>
      </c>
      <c r="AJ842" s="79">
        <v>0</v>
      </c>
      <c r="AK842" s="79">
        <v>35</v>
      </c>
      <c r="AL842" s="79">
        <v>0</v>
      </c>
      <c r="AM842" s="79" t="s">
        <v>2092</v>
      </c>
      <c r="AN842" s="114" t="str">
        <f>HYPERLINK("https://www.youtube.com/watch?v=yMYk98QfpGc")</f>
        <v>https://www.youtube.com/watch?v=yMYk98QfpGc</v>
      </c>
      <c r="AO842" s="78" t="str">
        <f>REPLACE(INDEX(GroupVertices[Group],MATCH(Vertices[[#This Row],[Vertex]],GroupVertices[Vertex],0)),1,1,"")</f>
        <v>ODAY</v>
      </c>
      <c r="AP842" s="2"/>
      <c r="AQ842" s="3"/>
      <c r="AR842" s="3"/>
      <c r="AS842" s="3"/>
      <c r="AT842" s="3"/>
    </row>
    <row r="843" spans="1:46" ht="15">
      <c r="A843" s="64" t="s">
        <v>2584</v>
      </c>
      <c r="B843" s="65"/>
      <c r="C843" s="65"/>
      <c r="D843" s="66">
        <v>150</v>
      </c>
      <c r="E843" s="102">
        <v>97.85714285714286</v>
      </c>
      <c r="F843" s="98" t="str">
        <f>HYPERLINK("https://i.ytimg.com/vi/TLqLe4fRJNE/default.jpg")</f>
        <v>https://i.ytimg.com/vi/TLqLe4fRJNE/default.jpg</v>
      </c>
      <c r="G843" s="100"/>
      <c r="H843" s="69" t="s">
        <v>3057</v>
      </c>
      <c r="I843" s="70"/>
      <c r="J843" s="104" t="s">
        <v>159</v>
      </c>
      <c r="K843" s="69" t="s">
        <v>3057</v>
      </c>
      <c r="L843" s="105">
        <v>1</v>
      </c>
      <c r="M843" s="74">
        <v>7032.06298828125</v>
      </c>
      <c r="N843" s="74">
        <v>6974.2626953125</v>
      </c>
      <c r="O843" s="75"/>
      <c r="P843" s="76"/>
      <c r="Q843" s="76"/>
      <c r="R843" s="106"/>
      <c r="S843" s="48">
        <v>1</v>
      </c>
      <c r="T843" s="48">
        <v>0</v>
      </c>
      <c r="U843" s="49">
        <v>0</v>
      </c>
      <c r="V843" s="49">
        <v>0.169008</v>
      </c>
      <c r="W843" s="107"/>
      <c r="X843" s="50"/>
      <c r="Y843" s="50"/>
      <c r="Z843" s="49">
        <v>0</v>
      </c>
      <c r="AA843" s="71">
        <v>843</v>
      </c>
      <c r="AB843" s="71"/>
      <c r="AC843" s="72"/>
      <c r="AD843" s="79" t="s">
        <v>3057</v>
      </c>
      <c r="AE843" s="79" t="s">
        <v>3467</v>
      </c>
      <c r="AF843" s="79" t="s">
        <v>3682</v>
      </c>
      <c r="AG843" s="79" t="s">
        <v>1497</v>
      </c>
      <c r="AH843" s="79" t="s">
        <v>4425</v>
      </c>
      <c r="AI843" s="79">
        <v>1839</v>
      </c>
      <c r="AJ843" s="79">
        <v>2</v>
      </c>
      <c r="AK843" s="79">
        <v>13</v>
      </c>
      <c r="AL843" s="79">
        <v>0</v>
      </c>
      <c r="AM843" s="79" t="s">
        <v>2092</v>
      </c>
      <c r="AN843" s="114" t="str">
        <f>HYPERLINK("https://www.youtube.com/watch?v=TLqLe4fRJNE")</f>
        <v>https://www.youtube.com/watch?v=TLqLe4fRJNE</v>
      </c>
      <c r="AO843" s="78" t="str">
        <f>REPLACE(INDEX(GroupVertices[Group],MATCH(Vertices[[#This Row],[Vertex]],GroupVertices[Vertex],0)),1,1,"")</f>
        <v>ODAY</v>
      </c>
      <c r="AP843" s="2"/>
      <c r="AQ843" s="3"/>
      <c r="AR843" s="3"/>
      <c r="AS843" s="3"/>
      <c r="AT843" s="3"/>
    </row>
    <row r="844" spans="1:46" ht="15">
      <c r="A844" s="64" t="s">
        <v>2585</v>
      </c>
      <c r="B844" s="65"/>
      <c r="C844" s="65"/>
      <c r="D844" s="66">
        <v>150</v>
      </c>
      <c r="E844" s="102">
        <v>97.85714285714286</v>
      </c>
      <c r="F844" s="98" t="str">
        <f>HYPERLINK("https://i.ytimg.com/vi/tEUw-BTkaCI/default.jpg")</f>
        <v>https://i.ytimg.com/vi/tEUw-BTkaCI/default.jpg</v>
      </c>
      <c r="G844" s="100"/>
      <c r="H844" s="69" t="s">
        <v>3058</v>
      </c>
      <c r="I844" s="70"/>
      <c r="J844" s="104" t="s">
        <v>159</v>
      </c>
      <c r="K844" s="69" t="s">
        <v>3058</v>
      </c>
      <c r="L844" s="105">
        <v>1</v>
      </c>
      <c r="M844" s="74">
        <v>6550.62158203125</v>
      </c>
      <c r="N844" s="74">
        <v>6188.234375</v>
      </c>
      <c r="O844" s="75"/>
      <c r="P844" s="76"/>
      <c r="Q844" s="76"/>
      <c r="R844" s="106"/>
      <c r="S844" s="48">
        <v>1</v>
      </c>
      <c r="T844" s="48">
        <v>0</v>
      </c>
      <c r="U844" s="49">
        <v>0</v>
      </c>
      <c r="V844" s="49">
        <v>0.169008</v>
      </c>
      <c r="W844" s="107"/>
      <c r="X844" s="50"/>
      <c r="Y844" s="50"/>
      <c r="Z844" s="49">
        <v>0</v>
      </c>
      <c r="AA844" s="71">
        <v>844</v>
      </c>
      <c r="AB844" s="71"/>
      <c r="AC844" s="72"/>
      <c r="AD844" s="79" t="s">
        <v>3058</v>
      </c>
      <c r="AE844" s="79" t="s">
        <v>3468</v>
      </c>
      <c r="AF844" s="79" t="s">
        <v>3682</v>
      </c>
      <c r="AG844" s="79" t="s">
        <v>1497</v>
      </c>
      <c r="AH844" s="79" t="s">
        <v>4426</v>
      </c>
      <c r="AI844" s="79">
        <v>3227</v>
      </c>
      <c r="AJ844" s="79">
        <v>4</v>
      </c>
      <c r="AK844" s="79">
        <v>27</v>
      </c>
      <c r="AL844" s="79">
        <v>0</v>
      </c>
      <c r="AM844" s="79" t="s">
        <v>2092</v>
      </c>
      <c r="AN844" s="114" t="str">
        <f>HYPERLINK("https://www.youtube.com/watch?v=tEUw-BTkaCI")</f>
        <v>https://www.youtube.com/watch?v=tEUw-BTkaCI</v>
      </c>
      <c r="AO844" s="78" t="str">
        <f>REPLACE(INDEX(GroupVertices[Group],MATCH(Vertices[[#This Row],[Vertex]],GroupVertices[Vertex],0)),1,1,"")</f>
        <v>ODAY</v>
      </c>
      <c r="AP844" s="2"/>
      <c r="AQ844" s="3"/>
      <c r="AR844" s="3"/>
      <c r="AS844" s="3"/>
      <c r="AT844" s="3"/>
    </row>
    <row r="845" spans="1:46" ht="15">
      <c r="A845" s="64" t="s">
        <v>2586</v>
      </c>
      <c r="B845" s="65"/>
      <c r="C845" s="65"/>
      <c r="D845" s="66">
        <v>150</v>
      </c>
      <c r="E845" s="102">
        <v>97.85714285714286</v>
      </c>
      <c r="F845" s="98" t="str">
        <f>HYPERLINK("https://i.ytimg.com/vi/1EcJmCYI4Sc/default.jpg")</f>
        <v>https://i.ytimg.com/vi/1EcJmCYI4Sc/default.jpg</v>
      </c>
      <c r="G845" s="100"/>
      <c r="H845" s="69" t="s">
        <v>3059</v>
      </c>
      <c r="I845" s="70"/>
      <c r="J845" s="104" t="s">
        <v>159</v>
      </c>
      <c r="K845" s="69" t="s">
        <v>3059</v>
      </c>
      <c r="L845" s="105">
        <v>1</v>
      </c>
      <c r="M845" s="74">
        <v>7684.642578125</v>
      </c>
      <c r="N845" s="74">
        <v>5437.99462890625</v>
      </c>
      <c r="O845" s="75"/>
      <c r="P845" s="76"/>
      <c r="Q845" s="76"/>
      <c r="R845" s="106"/>
      <c r="S845" s="48">
        <v>1</v>
      </c>
      <c r="T845" s="48">
        <v>0</v>
      </c>
      <c r="U845" s="49">
        <v>0</v>
      </c>
      <c r="V845" s="49">
        <v>0.169008</v>
      </c>
      <c r="W845" s="107"/>
      <c r="X845" s="50"/>
      <c r="Y845" s="50"/>
      <c r="Z845" s="49">
        <v>0</v>
      </c>
      <c r="AA845" s="71">
        <v>845</v>
      </c>
      <c r="AB845" s="71"/>
      <c r="AC845" s="72"/>
      <c r="AD845" s="79" t="s">
        <v>3059</v>
      </c>
      <c r="AE845" s="79" t="s">
        <v>3469</v>
      </c>
      <c r="AF845" s="79" t="s">
        <v>3681</v>
      </c>
      <c r="AG845" s="79" t="s">
        <v>1497</v>
      </c>
      <c r="AH845" s="79" t="s">
        <v>4427</v>
      </c>
      <c r="AI845" s="79">
        <v>459</v>
      </c>
      <c r="AJ845" s="79">
        <v>0</v>
      </c>
      <c r="AK845" s="79">
        <v>9</v>
      </c>
      <c r="AL845" s="79">
        <v>0</v>
      </c>
      <c r="AM845" s="79" t="s">
        <v>2092</v>
      </c>
      <c r="AN845" s="114" t="str">
        <f>HYPERLINK("https://www.youtube.com/watch?v=1EcJmCYI4Sc")</f>
        <v>https://www.youtube.com/watch?v=1EcJmCYI4Sc</v>
      </c>
      <c r="AO845" s="78" t="str">
        <f>REPLACE(INDEX(GroupVertices[Group],MATCH(Vertices[[#This Row],[Vertex]],GroupVertices[Vertex],0)),1,1,"")</f>
        <v>ODAY</v>
      </c>
      <c r="AP845" s="2"/>
      <c r="AQ845" s="3"/>
      <c r="AR845" s="3"/>
      <c r="AS845" s="3"/>
      <c r="AT845" s="3"/>
    </row>
    <row r="846" spans="1:46" ht="15">
      <c r="A846" s="64" t="s">
        <v>2587</v>
      </c>
      <c r="B846" s="65"/>
      <c r="C846" s="65"/>
      <c r="D846" s="66">
        <v>150</v>
      </c>
      <c r="E846" s="102">
        <v>97.85714285714286</v>
      </c>
      <c r="F846" s="98" t="str">
        <f>HYPERLINK("https://i.ytimg.com/vi/dkmNiaglx8g/default.jpg")</f>
        <v>https://i.ytimg.com/vi/dkmNiaglx8g/default.jpg</v>
      </c>
      <c r="G846" s="100"/>
      <c r="H846" s="69" t="s">
        <v>3060</v>
      </c>
      <c r="I846" s="70"/>
      <c r="J846" s="104" t="s">
        <v>159</v>
      </c>
      <c r="K846" s="69" t="s">
        <v>3060</v>
      </c>
      <c r="L846" s="105">
        <v>1</v>
      </c>
      <c r="M846" s="74">
        <v>8097.66650390625</v>
      </c>
      <c r="N846" s="74">
        <v>6895.8623046875</v>
      </c>
      <c r="O846" s="75"/>
      <c r="P846" s="76"/>
      <c r="Q846" s="76"/>
      <c r="R846" s="106"/>
      <c r="S846" s="48">
        <v>1</v>
      </c>
      <c r="T846" s="48">
        <v>0</v>
      </c>
      <c r="U846" s="49">
        <v>0</v>
      </c>
      <c r="V846" s="49">
        <v>0.169008</v>
      </c>
      <c r="W846" s="107"/>
      <c r="X846" s="50"/>
      <c r="Y846" s="50"/>
      <c r="Z846" s="49">
        <v>0</v>
      </c>
      <c r="AA846" s="71">
        <v>846</v>
      </c>
      <c r="AB846" s="71"/>
      <c r="AC846" s="72"/>
      <c r="AD846" s="79" t="s">
        <v>3060</v>
      </c>
      <c r="AE846" s="79" t="s">
        <v>3470</v>
      </c>
      <c r="AF846" s="79" t="s">
        <v>3682</v>
      </c>
      <c r="AG846" s="79" t="s">
        <v>1497</v>
      </c>
      <c r="AH846" s="79" t="s">
        <v>4428</v>
      </c>
      <c r="AI846" s="79">
        <v>766</v>
      </c>
      <c r="AJ846" s="79">
        <v>1</v>
      </c>
      <c r="AK846" s="79">
        <v>12</v>
      </c>
      <c r="AL846" s="79">
        <v>0</v>
      </c>
      <c r="AM846" s="79" t="s">
        <v>2092</v>
      </c>
      <c r="AN846" s="114" t="str">
        <f>HYPERLINK("https://www.youtube.com/watch?v=dkmNiaglx8g")</f>
        <v>https://www.youtube.com/watch?v=dkmNiaglx8g</v>
      </c>
      <c r="AO846" s="78" t="str">
        <f>REPLACE(INDEX(GroupVertices[Group],MATCH(Vertices[[#This Row],[Vertex]],GroupVertices[Vertex],0)),1,1,"")</f>
        <v>ODAY</v>
      </c>
      <c r="AP846" s="2"/>
      <c r="AQ846" s="3"/>
      <c r="AR846" s="3"/>
      <c r="AS846" s="3"/>
      <c r="AT846" s="3"/>
    </row>
    <row r="847" spans="1:46" ht="15">
      <c r="A847" s="64" t="s">
        <v>2588</v>
      </c>
      <c r="B847" s="65"/>
      <c r="C847" s="65"/>
      <c r="D847" s="66">
        <v>150</v>
      </c>
      <c r="E847" s="102">
        <v>97.85714285714286</v>
      </c>
      <c r="F847" s="98" t="str">
        <f>HYPERLINK("https://i.ytimg.com/vi/4i4OmvlhfXk/default.jpg")</f>
        <v>https://i.ytimg.com/vi/4i4OmvlhfXk/default.jpg</v>
      </c>
      <c r="G847" s="100"/>
      <c r="H847" s="69" t="s">
        <v>3061</v>
      </c>
      <c r="I847" s="70"/>
      <c r="J847" s="104" t="s">
        <v>159</v>
      </c>
      <c r="K847" s="69" t="s">
        <v>3061</v>
      </c>
      <c r="L847" s="105">
        <v>1</v>
      </c>
      <c r="M847" s="74">
        <v>7764.89892578125</v>
      </c>
      <c r="N847" s="74">
        <v>7273.66943359375</v>
      </c>
      <c r="O847" s="75"/>
      <c r="P847" s="76"/>
      <c r="Q847" s="76"/>
      <c r="R847" s="106"/>
      <c r="S847" s="48">
        <v>1</v>
      </c>
      <c r="T847" s="48">
        <v>0</v>
      </c>
      <c r="U847" s="49">
        <v>0</v>
      </c>
      <c r="V847" s="49">
        <v>0.169008</v>
      </c>
      <c r="W847" s="107"/>
      <c r="X847" s="50"/>
      <c r="Y847" s="50"/>
      <c r="Z847" s="49">
        <v>0</v>
      </c>
      <c r="AA847" s="71">
        <v>847</v>
      </c>
      <c r="AB847" s="71"/>
      <c r="AC847" s="72"/>
      <c r="AD847" s="79" t="s">
        <v>3061</v>
      </c>
      <c r="AE847" s="79" t="s">
        <v>3471</v>
      </c>
      <c r="AF847" s="79" t="s">
        <v>3678</v>
      </c>
      <c r="AG847" s="79" t="s">
        <v>1497</v>
      </c>
      <c r="AH847" s="79" t="s">
        <v>4429</v>
      </c>
      <c r="AI847" s="79">
        <v>4503</v>
      </c>
      <c r="AJ847" s="79">
        <v>0</v>
      </c>
      <c r="AK847" s="79">
        <v>106</v>
      </c>
      <c r="AL847" s="79">
        <v>0</v>
      </c>
      <c r="AM847" s="79" t="s">
        <v>2092</v>
      </c>
      <c r="AN847" s="114" t="str">
        <f>HYPERLINK("https://www.youtube.com/watch?v=4i4OmvlhfXk")</f>
        <v>https://www.youtube.com/watch?v=4i4OmvlhfXk</v>
      </c>
      <c r="AO847" s="78" t="str">
        <f>REPLACE(INDEX(GroupVertices[Group],MATCH(Vertices[[#This Row],[Vertex]],GroupVertices[Vertex],0)),1,1,"")</f>
        <v>ODAY</v>
      </c>
      <c r="AP847" s="2"/>
      <c r="AQ847" s="3"/>
      <c r="AR847" s="3"/>
      <c r="AS847" s="3"/>
      <c r="AT847" s="3"/>
    </row>
    <row r="848" spans="1:46" ht="15">
      <c r="A848" s="64" t="s">
        <v>2589</v>
      </c>
      <c r="B848" s="65"/>
      <c r="C848" s="65"/>
      <c r="D848" s="66">
        <v>150</v>
      </c>
      <c r="E848" s="102">
        <v>97.85714285714286</v>
      </c>
      <c r="F848" s="98" t="str">
        <f>HYPERLINK("https://i.ytimg.com/vi/QzsIlRoCLWY/default.jpg")</f>
        <v>https://i.ytimg.com/vi/QzsIlRoCLWY/default.jpg</v>
      </c>
      <c r="G848" s="100"/>
      <c r="H848" s="69" t="s">
        <v>3062</v>
      </c>
      <c r="I848" s="70"/>
      <c r="J848" s="104" t="s">
        <v>159</v>
      </c>
      <c r="K848" s="69" t="s">
        <v>3062</v>
      </c>
      <c r="L848" s="105">
        <v>1</v>
      </c>
      <c r="M848" s="74">
        <v>7458.861328125</v>
      </c>
      <c r="N848" s="74">
        <v>5371.5791015625</v>
      </c>
      <c r="O848" s="75"/>
      <c r="P848" s="76"/>
      <c r="Q848" s="76"/>
      <c r="R848" s="106"/>
      <c r="S848" s="48">
        <v>1</v>
      </c>
      <c r="T848" s="48">
        <v>0</v>
      </c>
      <c r="U848" s="49">
        <v>0</v>
      </c>
      <c r="V848" s="49">
        <v>0.169008</v>
      </c>
      <c r="W848" s="107"/>
      <c r="X848" s="50"/>
      <c r="Y848" s="50"/>
      <c r="Z848" s="49">
        <v>0</v>
      </c>
      <c r="AA848" s="71">
        <v>848</v>
      </c>
      <c r="AB848" s="71"/>
      <c r="AC848" s="72"/>
      <c r="AD848" s="79" t="s">
        <v>3062</v>
      </c>
      <c r="AE848" s="79" t="s">
        <v>3472</v>
      </c>
      <c r="AF848" s="79" t="s">
        <v>3681</v>
      </c>
      <c r="AG848" s="79" t="s">
        <v>1497</v>
      </c>
      <c r="AH848" s="79" t="s">
        <v>4430</v>
      </c>
      <c r="AI848" s="79">
        <v>1056</v>
      </c>
      <c r="AJ848" s="79">
        <v>1</v>
      </c>
      <c r="AK848" s="79">
        <v>15</v>
      </c>
      <c r="AL848" s="79">
        <v>0</v>
      </c>
      <c r="AM848" s="79" t="s">
        <v>2092</v>
      </c>
      <c r="AN848" s="114" t="str">
        <f>HYPERLINK("https://www.youtube.com/watch?v=QzsIlRoCLWY")</f>
        <v>https://www.youtube.com/watch?v=QzsIlRoCLWY</v>
      </c>
      <c r="AO848" s="78" t="str">
        <f>REPLACE(INDEX(GroupVertices[Group],MATCH(Vertices[[#This Row],[Vertex]],GroupVertices[Vertex],0)),1,1,"")</f>
        <v>ODAY</v>
      </c>
      <c r="AP848" s="2"/>
      <c r="AQ848" s="3"/>
      <c r="AR848" s="3"/>
      <c r="AS848" s="3"/>
      <c r="AT848" s="3"/>
    </row>
    <row r="849" spans="1:46" ht="15">
      <c r="A849" s="64" t="s">
        <v>2590</v>
      </c>
      <c r="B849" s="65"/>
      <c r="C849" s="65"/>
      <c r="D849" s="66">
        <v>150</v>
      </c>
      <c r="E849" s="102">
        <v>97.85714285714286</v>
      </c>
      <c r="F849" s="98" t="str">
        <f>HYPERLINK("https://i.ytimg.com/vi/jOY-vIxhwOY/default_live.jpg")</f>
        <v>https://i.ytimg.com/vi/jOY-vIxhwOY/default_live.jpg</v>
      </c>
      <c r="G849" s="100"/>
      <c r="H849" s="69" t="s">
        <v>3063</v>
      </c>
      <c r="I849" s="70"/>
      <c r="J849" s="104" t="s">
        <v>159</v>
      </c>
      <c r="K849" s="69" t="s">
        <v>3063</v>
      </c>
      <c r="L849" s="105">
        <v>1</v>
      </c>
      <c r="M849" s="74">
        <v>8182.4208984375</v>
      </c>
      <c r="N849" s="74">
        <v>6305.32958984375</v>
      </c>
      <c r="O849" s="75"/>
      <c r="P849" s="76"/>
      <c r="Q849" s="76"/>
      <c r="R849" s="106"/>
      <c r="S849" s="48">
        <v>1</v>
      </c>
      <c r="T849" s="48">
        <v>0</v>
      </c>
      <c r="U849" s="49">
        <v>0</v>
      </c>
      <c r="V849" s="49">
        <v>0.169008</v>
      </c>
      <c r="W849" s="107"/>
      <c r="X849" s="50"/>
      <c r="Y849" s="50"/>
      <c r="Z849" s="49">
        <v>0</v>
      </c>
      <c r="AA849" s="71">
        <v>849</v>
      </c>
      <c r="AB849" s="71"/>
      <c r="AC849" s="72"/>
      <c r="AD849" s="79" t="s">
        <v>3063</v>
      </c>
      <c r="AE849" s="79" t="s">
        <v>3453</v>
      </c>
      <c r="AF849" s="79" t="s">
        <v>3678</v>
      </c>
      <c r="AG849" s="79" t="s">
        <v>1497</v>
      </c>
      <c r="AH849" s="79" t="s">
        <v>4431</v>
      </c>
      <c r="AI849" s="79">
        <v>620</v>
      </c>
      <c r="AJ849" s="79">
        <v>0</v>
      </c>
      <c r="AK849" s="79">
        <v>50</v>
      </c>
      <c r="AL849" s="79">
        <v>0</v>
      </c>
      <c r="AM849" s="79" t="s">
        <v>2092</v>
      </c>
      <c r="AN849" s="114" t="str">
        <f>HYPERLINK("https://www.youtube.com/watch?v=jOY-vIxhwOY")</f>
        <v>https://www.youtube.com/watch?v=jOY-vIxhwOY</v>
      </c>
      <c r="AO849" s="78" t="str">
        <f>REPLACE(INDEX(GroupVertices[Group],MATCH(Vertices[[#This Row],[Vertex]],GroupVertices[Vertex],0)),1,1,"")</f>
        <v>ODAY</v>
      </c>
      <c r="AP849" s="2"/>
      <c r="AQ849" s="3"/>
      <c r="AR849" s="3"/>
      <c r="AS849" s="3"/>
      <c r="AT849" s="3"/>
    </row>
    <row r="850" spans="1:46" ht="15">
      <c r="A850" s="64" t="s">
        <v>2591</v>
      </c>
      <c r="B850" s="65"/>
      <c r="C850" s="65"/>
      <c r="D850" s="66">
        <v>150</v>
      </c>
      <c r="E850" s="102">
        <v>97.85714285714286</v>
      </c>
      <c r="F850" s="98" t="str">
        <f>HYPERLINK("https://i.ytimg.com/vi/okkXZvYOmL0/default.jpg")</f>
        <v>https://i.ytimg.com/vi/okkXZvYOmL0/default.jpg</v>
      </c>
      <c r="G850" s="100"/>
      <c r="H850" s="69" t="s">
        <v>3064</v>
      </c>
      <c r="I850" s="70"/>
      <c r="J850" s="104" t="s">
        <v>159</v>
      </c>
      <c r="K850" s="69" t="s">
        <v>3064</v>
      </c>
      <c r="L850" s="105">
        <v>1</v>
      </c>
      <c r="M850" s="74">
        <v>6568.85693359375</v>
      </c>
      <c r="N850" s="74">
        <v>6728.19091796875</v>
      </c>
      <c r="O850" s="75"/>
      <c r="P850" s="76"/>
      <c r="Q850" s="76"/>
      <c r="R850" s="106"/>
      <c r="S850" s="48">
        <v>1</v>
      </c>
      <c r="T850" s="48">
        <v>0</v>
      </c>
      <c r="U850" s="49">
        <v>0</v>
      </c>
      <c r="V850" s="49">
        <v>0.169008</v>
      </c>
      <c r="W850" s="107"/>
      <c r="X850" s="50"/>
      <c r="Y850" s="50"/>
      <c r="Z850" s="49">
        <v>0</v>
      </c>
      <c r="AA850" s="71">
        <v>850</v>
      </c>
      <c r="AB850" s="71"/>
      <c r="AC850" s="72"/>
      <c r="AD850" s="79" t="s">
        <v>3064</v>
      </c>
      <c r="AE850" s="79" t="s">
        <v>3473</v>
      </c>
      <c r="AF850" s="79" t="s">
        <v>3681</v>
      </c>
      <c r="AG850" s="79" t="s">
        <v>1497</v>
      </c>
      <c r="AH850" s="79" t="s">
        <v>4432</v>
      </c>
      <c r="AI850" s="79">
        <v>1239</v>
      </c>
      <c r="AJ850" s="79">
        <v>2</v>
      </c>
      <c r="AK850" s="79">
        <v>25</v>
      </c>
      <c r="AL850" s="79">
        <v>0</v>
      </c>
      <c r="AM850" s="79" t="s">
        <v>2092</v>
      </c>
      <c r="AN850" s="114" t="str">
        <f>HYPERLINK("https://www.youtube.com/watch?v=okkXZvYOmL0")</f>
        <v>https://www.youtube.com/watch?v=okkXZvYOmL0</v>
      </c>
      <c r="AO850" s="78" t="str">
        <f>REPLACE(INDEX(GroupVertices[Group],MATCH(Vertices[[#This Row],[Vertex]],GroupVertices[Vertex],0)),1,1,"")</f>
        <v>ODAY</v>
      </c>
      <c r="AP850" s="2"/>
      <c r="AQ850" s="3"/>
      <c r="AR850" s="3"/>
      <c r="AS850" s="3"/>
      <c r="AT850" s="3"/>
    </row>
    <row r="851" spans="1:46" ht="15">
      <c r="A851" s="64" t="s">
        <v>484</v>
      </c>
      <c r="B851" s="65"/>
      <c r="C851" s="65"/>
      <c r="D851" s="66">
        <v>150</v>
      </c>
      <c r="E851" s="102">
        <v>97.85714285714286</v>
      </c>
      <c r="F851" s="98" t="str">
        <f>HYPERLINK("https://i.ytimg.com/vi/-E_EZnD7n_U/default.jpg")</f>
        <v>https://i.ytimg.com/vi/-E_EZnD7n_U/default.jpg</v>
      </c>
      <c r="G851" s="100"/>
      <c r="H851" s="69" t="s">
        <v>906</v>
      </c>
      <c r="I851" s="70"/>
      <c r="J851" s="104" t="s">
        <v>159</v>
      </c>
      <c r="K851" s="69" t="s">
        <v>906</v>
      </c>
      <c r="L851" s="105">
        <v>1</v>
      </c>
      <c r="M851" s="74">
        <v>6855.62451171875</v>
      </c>
      <c r="N851" s="74">
        <v>6635.42431640625</v>
      </c>
      <c r="O851" s="75"/>
      <c r="P851" s="76"/>
      <c r="Q851" s="76"/>
      <c r="R851" s="106"/>
      <c r="S851" s="48">
        <v>1</v>
      </c>
      <c r="T851" s="48">
        <v>0</v>
      </c>
      <c r="U851" s="49">
        <v>0</v>
      </c>
      <c r="V851" s="49">
        <v>0.169008</v>
      </c>
      <c r="W851" s="107"/>
      <c r="X851" s="50"/>
      <c r="Y851" s="50"/>
      <c r="Z851" s="49">
        <v>0</v>
      </c>
      <c r="AA851" s="71">
        <v>851</v>
      </c>
      <c r="AB851" s="71"/>
      <c r="AC851" s="72"/>
      <c r="AD851" s="79" t="s">
        <v>906</v>
      </c>
      <c r="AE851" s="79" t="s">
        <v>1207</v>
      </c>
      <c r="AF851" s="79" t="s">
        <v>1418</v>
      </c>
      <c r="AG851" s="79" t="s">
        <v>1497</v>
      </c>
      <c r="AH851" s="79" t="s">
        <v>1962</v>
      </c>
      <c r="AI851" s="79">
        <v>46954</v>
      </c>
      <c r="AJ851" s="79">
        <v>55</v>
      </c>
      <c r="AK851" s="79">
        <v>171</v>
      </c>
      <c r="AL851" s="79">
        <v>0</v>
      </c>
      <c r="AM851" s="79" t="s">
        <v>2092</v>
      </c>
      <c r="AN851" s="114" t="str">
        <f>HYPERLINK("https://www.youtube.com/watch?v=-E_EZnD7n_U")</f>
        <v>https://www.youtube.com/watch?v=-E_EZnD7n_U</v>
      </c>
      <c r="AO851" s="78" t="str">
        <f>REPLACE(INDEX(GroupVertices[Group],MATCH(Vertices[[#This Row],[Vertex]],GroupVertices[Vertex],0)),1,1,"")</f>
        <v>ODAY</v>
      </c>
      <c r="AP851" s="2"/>
      <c r="AQ851" s="3"/>
      <c r="AR851" s="3"/>
      <c r="AS851" s="3"/>
      <c r="AT851" s="3"/>
    </row>
    <row r="852" spans="1:46" ht="15">
      <c r="A852" s="64" t="s">
        <v>2592</v>
      </c>
      <c r="B852" s="65"/>
      <c r="C852" s="65"/>
      <c r="D852" s="66">
        <v>150</v>
      </c>
      <c r="E852" s="102">
        <v>97.85714285714286</v>
      </c>
      <c r="F852" s="98" t="str">
        <f>HYPERLINK("https://i.ytimg.com/vi/0B_ghLlO8qk/default.jpg")</f>
        <v>https://i.ytimg.com/vi/0B_ghLlO8qk/default.jpg</v>
      </c>
      <c r="G852" s="100"/>
      <c r="H852" s="69" t="s">
        <v>3065</v>
      </c>
      <c r="I852" s="70"/>
      <c r="J852" s="104" t="s">
        <v>159</v>
      </c>
      <c r="K852" s="69" t="s">
        <v>3065</v>
      </c>
      <c r="L852" s="105">
        <v>1</v>
      </c>
      <c r="M852" s="74">
        <v>5953.62451171875</v>
      </c>
      <c r="N852" s="74">
        <v>7625.7099609375</v>
      </c>
      <c r="O852" s="75"/>
      <c r="P852" s="76"/>
      <c r="Q852" s="76"/>
      <c r="R852" s="106"/>
      <c r="S852" s="48">
        <v>1</v>
      </c>
      <c r="T852" s="48">
        <v>0</v>
      </c>
      <c r="U852" s="49">
        <v>0</v>
      </c>
      <c r="V852" s="49">
        <v>0.181599</v>
      </c>
      <c r="W852" s="107"/>
      <c r="X852" s="50"/>
      <c r="Y852" s="50"/>
      <c r="Z852" s="49">
        <v>0</v>
      </c>
      <c r="AA852" s="71">
        <v>852</v>
      </c>
      <c r="AB852" s="71"/>
      <c r="AC852" s="72"/>
      <c r="AD852" s="79" t="s">
        <v>3065</v>
      </c>
      <c r="AE852" s="79" t="s">
        <v>3475</v>
      </c>
      <c r="AF852" s="79"/>
      <c r="AG852" s="79" t="s">
        <v>3961</v>
      </c>
      <c r="AH852" s="79" t="s">
        <v>4433</v>
      </c>
      <c r="AI852" s="79">
        <v>13</v>
      </c>
      <c r="AJ852" s="79">
        <v>0</v>
      </c>
      <c r="AK852" s="79">
        <v>1</v>
      </c>
      <c r="AL852" s="79">
        <v>0</v>
      </c>
      <c r="AM852" s="79" t="s">
        <v>2092</v>
      </c>
      <c r="AN852" s="114" t="str">
        <f>HYPERLINK("https://www.youtube.com/watch?v=0B_ghLlO8qk")</f>
        <v>https://www.youtube.com/watch?v=0B_ghLlO8qk</v>
      </c>
      <c r="AO852" s="78" t="str">
        <f>REPLACE(INDEX(GroupVertices[Group],MATCH(Vertices[[#This Row],[Vertex]],GroupVertices[Vertex],0)),1,1,"")</f>
        <v>layBoardNI</v>
      </c>
      <c r="AP852" s="2"/>
      <c r="AQ852" s="3"/>
      <c r="AR852" s="3"/>
      <c r="AS852" s="3"/>
      <c r="AT852" s="3"/>
    </row>
    <row r="853" spans="1:46" ht="15">
      <c r="A853" s="64" t="s">
        <v>2593</v>
      </c>
      <c r="B853" s="65"/>
      <c r="C853" s="65"/>
      <c r="D853" s="66">
        <v>150</v>
      </c>
      <c r="E853" s="102">
        <v>95.71428571428571</v>
      </c>
      <c r="F853" s="98" t="str">
        <f>HYPERLINK("https://i.ytimg.com/vi/kvwRAETrDgA/default.jpg")</f>
        <v>https://i.ytimg.com/vi/kvwRAETrDgA/default.jpg</v>
      </c>
      <c r="G853" s="100"/>
      <c r="H853" s="69" t="s">
        <v>3066</v>
      </c>
      <c r="I853" s="70"/>
      <c r="J853" s="104" t="s">
        <v>159</v>
      </c>
      <c r="K853" s="69" t="s">
        <v>3066</v>
      </c>
      <c r="L853" s="105">
        <v>1</v>
      </c>
      <c r="M853" s="74">
        <v>6686.95068359375</v>
      </c>
      <c r="N853" s="74">
        <v>8530.267578125</v>
      </c>
      <c r="O853" s="75"/>
      <c r="P853" s="76"/>
      <c r="Q853" s="76"/>
      <c r="R853" s="106"/>
      <c r="S853" s="48">
        <v>2</v>
      </c>
      <c r="T853" s="48">
        <v>0</v>
      </c>
      <c r="U853" s="49">
        <v>0</v>
      </c>
      <c r="V853" s="49">
        <v>0.182702</v>
      </c>
      <c r="W853" s="107"/>
      <c r="X853" s="50"/>
      <c r="Y853" s="50"/>
      <c r="Z853" s="49">
        <v>0</v>
      </c>
      <c r="AA853" s="71">
        <v>853</v>
      </c>
      <c r="AB853" s="71"/>
      <c r="AC853" s="72"/>
      <c r="AD853" s="79" t="s">
        <v>3066</v>
      </c>
      <c r="AE853" s="79" t="s">
        <v>3476</v>
      </c>
      <c r="AF853" s="79" t="s">
        <v>3683</v>
      </c>
      <c r="AG853" s="79" t="s">
        <v>3962</v>
      </c>
      <c r="AH853" s="79" t="s">
        <v>4434</v>
      </c>
      <c r="AI853" s="79">
        <v>349</v>
      </c>
      <c r="AJ853" s="79">
        <v>0</v>
      </c>
      <c r="AK853" s="79">
        <v>3</v>
      </c>
      <c r="AL853" s="79">
        <v>0</v>
      </c>
      <c r="AM853" s="79" t="s">
        <v>2092</v>
      </c>
      <c r="AN853" s="114" t="str">
        <f>HYPERLINK("https://www.youtube.com/watch?v=kvwRAETrDgA")</f>
        <v>https://www.youtube.com/watch?v=kvwRAETrDgA</v>
      </c>
      <c r="AO853" s="78" t="str">
        <f>REPLACE(INDEX(GroupVertices[Group],MATCH(Vertices[[#This Row],[Vertex]],GroupVertices[Vertex],0)),1,1,"")</f>
        <v>uths Straight Talk</v>
      </c>
      <c r="AP853" s="2"/>
      <c r="AQ853" s="3"/>
      <c r="AR853" s="3"/>
      <c r="AS853" s="3"/>
      <c r="AT853" s="3"/>
    </row>
    <row r="854" spans="1:46" ht="15">
      <c r="A854" s="64" t="s">
        <v>2594</v>
      </c>
      <c r="B854" s="65"/>
      <c r="C854" s="65"/>
      <c r="D854" s="66">
        <v>150</v>
      </c>
      <c r="E854" s="102">
        <v>95.71428571428571</v>
      </c>
      <c r="F854" s="98" t="str">
        <f>HYPERLINK("https://i.ytimg.com/vi/YOLktWQbGzI/default.jpg")</f>
        <v>https://i.ytimg.com/vi/YOLktWQbGzI/default.jpg</v>
      </c>
      <c r="G854" s="100"/>
      <c r="H854" s="69" t="s">
        <v>3067</v>
      </c>
      <c r="I854" s="70"/>
      <c r="J854" s="104" t="s">
        <v>159</v>
      </c>
      <c r="K854" s="69" t="s">
        <v>3067</v>
      </c>
      <c r="L854" s="105">
        <v>1</v>
      </c>
      <c r="M854" s="74">
        <v>6772.23974609375</v>
      </c>
      <c r="N854" s="74">
        <v>8881.2900390625</v>
      </c>
      <c r="O854" s="75"/>
      <c r="P854" s="76"/>
      <c r="Q854" s="76"/>
      <c r="R854" s="106"/>
      <c r="S854" s="48">
        <v>2</v>
      </c>
      <c r="T854" s="48">
        <v>0</v>
      </c>
      <c r="U854" s="49">
        <v>0</v>
      </c>
      <c r="V854" s="49">
        <v>0.182702</v>
      </c>
      <c r="W854" s="107"/>
      <c r="X854" s="50"/>
      <c r="Y854" s="50"/>
      <c r="Z854" s="49">
        <v>0</v>
      </c>
      <c r="AA854" s="71">
        <v>854</v>
      </c>
      <c r="AB854" s="71"/>
      <c r="AC854" s="72"/>
      <c r="AD854" s="79" t="s">
        <v>3067</v>
      </c>
      <c r="AE854" s="79" t="s">
        <v>3477</v>
      </c>
      <c r="AF854" s="79" t="s">
        <v>3684</v>
      </c>
      <c r="AG854" s="79" t="s">
        <v>3963</v>
      </c>
      <c r="AH854" s="79" t="s">
        <v>4435</v>
      </c>
      <c r="AI854" s="79">
        <v>3846</v>
      </c>
      <c r="AJ854" s="79">
        <v>3</v>
      </c>
      <c r="AK854" s="79">
        <v>250</v>
      </c>
      <c r="AL854" s="79">
        <v>0</v>
      </c>
      <c r="AM854" s="79" t="s">
        <v>2092</v>
      </c>
      <c r="AN854" s="114" t="str">
        <f>HYPERLINK("https://www.youtube.com/watch?v=YOLktWQbGzI")</f>
        <v>https://www.youtube.com/watch?v=YOLktWQbGzI</v>
      </c>
      <c r="AO854" s="78" t="str">
        <f>REPLACE(INDEX(GroupVertices[Group],MATCH(Vertices[[#This Row],[Vertex]],GroupVertices[Vertex],0)),1,1,"")</f>
        <v>ll Day Dreaming</v>
      </c>
      <c r="AP854" s="2"/>
      <c r="AQ854" s="3"/>
      <c r="AR854" s="3"/>
      <c r="AS854" s="3"/>
      <c r="AT854" s="3"/>
    </row>
    <row r="855" spans="1:46" ht="15">
      <c r="A855" s="64" t="s">
        <v>2595</v>
      </c>
      <c r="B855" s="65"/>
      <c r="C855" s="65"/>
      <c r="D855" s="66">
        <v>150</v>
      </c>
      <c r="E855" s="102">
        <v>95.71428571428571</v>
      </c>
      <c r="F855" s="98" t="str">
        <f>HYPERLINK("https://i.ytimg.com/vi/zaRVjqVjY2Y/default.jpg")</f>
        <v>https://i.ytimg.com/vi/zaRVjqVjY2Y/default.jpg</v>
      </c>
      <c r="G855" s="100"/>
      <c r="H855" s="69" t="s">
        <v>3068</v>
      </c>
      <c r="I855" s="70"/>
      <c r="J855" s="104" t="s">
        <v>159</v>
      </c>
      <c r="K855" s="69" t="s">
        <v>3068</v>
      </c>
      <c r="L855" s="105">
        <v>1</v>
      </c>
      <c r="M855" s="74">
        <v>6865.7265625</v>
      </c>
      <c r="N855" s="74">
        <v>8331.2587890625</v>
      </c>
      <c r="O855" s="75"/>
      <c r="P855" s="76"/>
      <c r="Q855" s="76"/>
      <c r="R855" s="106"/>
      <c r="S855" s="48">
        <v>2</v>
      </c>
      <c r="T855" s="48">
        <v>0</v>
      </c>
      <c r="U855" s="49">
        <v>0</v>
      </c>
      <c r="V855" s="49">
        <v>0.182702</v>
      </c>
      <c r="W855" s="107"/>
      <c r="X855" s="50"/>
      <c r="Y855" s="50"/>
      <c r="Z855" s="49">
        <v>0</v>
      </c>
      <c r="AA855" s="71">
        <v>855</v>
      </c>
      <c r="AB855" s="71"/>
      <c r="AC855" s="72"/>
      <c r="AD855" s="79" t="s">
        <v>3068</v>
      </c>
      <c r="AE855" s="79" t="s">
        <v>3478</v>
      </c>
      <c r="AF855" s="79" t="s">
        <v>3685</v>
      </c>
      <c r="AG855" s="79" t="s">
        <v>3964</v>
      </c>
      <c r="AH855" s="79" t="s">
        <v>4436</v>
      </c>
      <c r="AI855" s="79">
        <v>25799</v>
      </c>
      <c r="AJ855" s="79">
        <v>49</v>
      </c>
      <c r="AK855" s="79">
        <v>750</v>
      </c>
      <c r="AL855" s="79">
        <v>0</v>
      </c>
      <c r="AM855" s="79" t="s">
        <v>2092</v>
      </c>
      <c r="AN855" s="114" t="str">
        <f>HYPERLINK("https://www.youtube.com/watch?v=zaRVjqVjY2Y")</f>
        <v>https://www.youtube.com/watch?v=zaRVjqVjY2Y</v>
      </c>
      <c r="AO855" s="78" t="str">
        <f>REPLACE(INDEX(GroupVertices[Group],MATCH(Vertices[[#This Row],[Vertex]],GroupVertices[Vertex],0)),1,1,"")</f>
        <v>J Pictures</v>
      </c>
      <c r="AP855" s="2"/>
      <c r="AQ855" s="3"/>
      <c r="AR855" s="3"/>
      <c r="AS855" s="3"/>
      <c r="AT855" s="3"/>
    </row>
    <row r="856" spans="1:46" ht="15">
      <c r="A856" s="64" t="s">
        <v>343</v>
      </c>
      <c r="B856" s="65"/>
      <c r="C856" s="65"/>
      <c r="D856" s="66">
        <v>150</v>
      </c>
      <c r="E856" s="102">
        <v>93.57142857142857</v>
      </c>
      <c r="F856" s="98" t="str">
        <f>HYPERLINK("https://i.ytimg.com/vi/kpDoDI38ta0/default.jpg")</f>
        <v>https://i.ytimg.com/vi/kpDoDI38ta0/default.jpg</v>
      </c>
      <c r="G856" s="100"/>
      <c r="H856" s="69" t="s">
        <v>744</v>
      </c>
      <c r="I856" s="70"/>
      <c r="J856" s="104" t="s">
        <v>159</v>
      </c>
      <c r="K856" s="69" t="s">
        <v>744</v>
      </c>
      <c r="L856" s="105">
        <v>1</v>
      </c>
      <c r="M856" s="74">
        <v>1346.6121826171875</v>
      </c>
      <c r="N856" s="74">
        <v>8592.55078125</v>
      </c>
      <c r="O856" s="75"/>
      <c r="P856" s="76"/>
      <c r="Q856" s="76"/>
      <c r="R856" s="106"/>
      <c r="S856" s="48">
        <v>3</v>
      </c>
      <c r="T856" s="48">
        <v>0</v>
      </c>
      <c r="U856" s="49">
        <v>0</v>
      </c>
      <c r="V856" s="49">
        <v>0.198301</v>
      </c>
      <c r="W856" s="107"/>
      <c r="X856" s="50"/>
      <c r="Y856" s="50"/>
      <c r="Z856" s="49">
        <v>0</v>
      </c>
      <c r="AA856" s="71">
        <v>856</v>
      </c>
      <c r="AB856" s="71"/>
      <c r="AC856" s="72"/>
      <c r="AD856" s="79" t="s">
        <v>744</v>
      </c>
      <c r="AE856" s="79"/>
      <c r="AF856" s="79"/>
      <c r="AG856" s="79" t="s">
        <v>1569</v>
      </c>
      <c r="AH856" s="79" t="s">
        <v>1800</v>
      </c>
      <c r="AI856" s="79">
        <v>3399</v>
      </c>
      <c r="AJ856" s="79">
        <v>0</v>
      </c>
      <c r="AK856" s="79">
        <v>40</v>
      </c>
      <c r="AL856" s="79">
        <v>0</v>
      </c>
      <c r="AM856" s="79" t="s">
        <v>2092</v>
      </c>
      <c r="AN856" s="114" t="str">
        <f>HYPERLINK("https://www.youtube.com/watch?v=kpDoDI38ta0")</f>
        <v>https://www.youtube.com/watch?v=kpDoDI38ta0</v>
      </c>
      <c r="AO856" s="78" t="str">
        <f>REPLACE(INDEX(GroupVertices[Group],MATCH(Vertices[[#This Row],[Vertex]],GroupVertices[Vertex],0)),1,1,"")</f>
        <v>لمعلم النفسي Psychiatric Teacher</v>
      </c>
      <c r="AP856" s="2"/>
      <c r="AQ856" s="3"/>
      <c r="AR856" s="3"/>
      <c r="AS856" s="3"/>
      <c r="AT856" s="3"/>
    </row>
    <row r="857" spans="1:46" ht="15">
      <c r="A857" s="64" t="s">
        <v>366</v>
      </c>
      <c r="B857" s="65"/>
      <c r="C857" s="65"/>
      <c r="D857" s="66">
        <v>150</v>
      </c>
      <c r="E857" s="102">
        <v>97.85714285714286</v>
      </c>
      <c r="F857" s="98" t="str">
        <f>HYPERLINK("https://i.ytimg.com/vi/_HaQoSb1QKU/default.jpg")</f>
        <v>https://i.ytimg.com/vi/_HaQoSb1QKU/default.jpg</v>
      </c>
      <c r="G857" s="100"/>
      <c r="H857" s="69" t="s">
        <v>772</v>
      </c>
      <c r="I857" s="70"/>
      <c r="J857" s="104" t="s">
        <v>159</v>
      </c>
      <c r="K857" s="69" t="s">
        <v>772</v>
      </c>
      <c r="L857" s="105">
        <v>1</v>
      </c>
      <c r="M857" s="74">
        <v>5835.3466796875</v>
      </c>
      <c r="N857" s="74">
        <v>9594.107421875</v>
      </c>
      <c r="O857" s="75"/>
      <c r="P857" s="76"/>
      <c r="Q857" s="76"/>
      <c r="R857" s="106"/>
      <c r="S857" s="48">
        <v>1</v>
      </c>
      <c r="T857" s="48">
        <v>0</v>
      </c>
      <c r="U857" s="49">
        <v>0</v>
      </c>
      <c r="V857" s="49">
        <v>0.181599</v>
      </c>
      <c r="W857" s="107"/>
      <c r="X857" s="50"/>
      <c r="Y857" s="50"/>
      <c r="Z857" s="49">
        <v>0</v>
      </c>
      <c r="AA857" s="71">
        <v>857</v>
      </c>
      <c r="AB857" s="71"/>
      <c r="AC857" s="72"/>
      <c r="AD857" s="79" t="s">
        <v>772</v>
      </c>
      <c r="AE857" s="79" t="s">
        <v>1119</v>
      </c>
      <c r="AF857" s="79" t="s">
        <v>1368</v>
      </c>
      <c r="AG857" s="79" t="s">
        <v>1581</v>
      </c>
      <c r="AH857" s="79" t="s">
        <v>1828</v>
      </c>
      <c r="AI857" s="79">
        <v>2933</v>
      </c>
      <c r="AJ857" s="79">
        <v>15</v>
      </c>
      <c r="AK857" s="79">
        <v>93</v>
      </c>
      <c r="AL857" s="79">
        <v>0</v>
      </c>
      <c r="AM857" s="79" t="s">
        <v>2092</v>
      </c>
      <c r="AN857" s="114" t="str">
        <f>HYPERLINK("https://www.youtube.com/watch?v=_HaQoSb1QKU")</f>
        <v>https://www.youtube.com/watch?v=_HaQoSb1QKU</v>
      </c>
      <c r="AO857" s="78" t="str">
        <f>REPLACE(INDEX(GroupVertices[Group],MATCH(Vertices[[#This Row],[Vertex]],GroupVertices[Vertex],0)),1,1,"")</f>
        <v>hriving with Richard Bass</v>
      </c>
      <c r="AP857" s="2"/>
      <c r="AQ857" s="3"/>
      <c r="AR857" s="3"/>
      <c r="AS857" s="3"/>
      <c r="AT857" s="3"/>
    </row>
    <row r="858" spans="1:46" ht="15">
      <c r="A858" s="64" t="s">
        <v>2596</v>
      </c>
      <c r="B858" s="65"/>
      <c r="C858" s="65"/>
      <c r="D858" s="66">
        <v>150</v>
      </c>
      <c r="E858" s="102">
        <v>95.71428571428571</v>
      </c>
      <c r="F858" s="98" t="str">
        <f>HYPERLINK("https://i.ytimg.com/vi/H1Q1MmkWr4o/default.jpg")</f>
        <v>https://i.ytimg.com/vi/H1Q1MmkWr4o/default.jpg</v>
      </c>
      <c r="G858" s="100"/>
      <c r="H858" s="69" t="s">
        <v>3069</v>
      </c>
      <c r="I858" s="70"/>
      <c r="J858" s="104" t="s">
        <v>159</v>
      </c>
      <c r="K858" s="69" t="s">
        <v>3069</v>
      </c>
      <c r="L858" s="105">
        <v>1</v>
      </c>
      <c r="M858" s="74">
        <v>6858.43701171875</v>
      </c>
      <c r="N858" s="74">
        <v>9158.1357421875</v>
      </c>
      <c r="O858" s="75"/>
      <c r="P858" s="76"/>
      <c r="Q858" s="76"/>
      <c r="R858" s="106"/>
      <c r="S858" s="48">
        <v>2</v>
      </c>
      <c r="T858" s="48">
        <v>0</v>
      </c>
      <c r="U858" s="49">
        <v>0</v>
      </c>
      <c r="V858" s="49">
        <v>0.182702</v>
      </c>
      <c r="W858" s="107"/>
      <c r="X858" s="50"/>
      <c r="Y858" s="50"/>
      <c r="Z858" s="49">
        <v>0</v>
      </c>
      <c r="AA858" s="71">
        <v>858</v>
      </c>
      <c r="AB858" s="71"/>
      <c r="AC858" s="72"/>
      <c r="AD858" s="79" t="s">
        <v>3069</v>
      </c>
      <c r="AE858" s="79"/>
      <c r="AF858" s="79"/>
      <c r="AG858" s="79" t="s">
        <v>3965</v>
      </c>
      <c r="AH858" s="79" t="s">
        <v>4437</v>
      </c>
      <c r="AI858" s="79">
        <v>56</v>
      </c>
      <c r="AJ858" s="79">
        <v>0</v>
      </c>
      <c r="AK858" s="79">
        <v>3</v>
      </c>
      <c r="AL858" s="79">
        <v>0</v>
      </c>
      <c r="AM858" s="79" t="s">
        <v>2092</v>
      </c>
      <c r="AN858" s="114" t="str">
        <f>HYPERLINK("https://www.youtube.com/watch?v=H1Q1MmkWr4o")</f>
        <v>https://www.youtube.com/watch?v=H1Q1MmkWr4o</v>
      </c>
      <c r="AO858" s="78" t="str">
        <f>REPLACE(INDEX(GroupVertices[Group],MATCH(Vertices[[#This Row],[Vertex]],GroupVertices[Vertex],0)),1,1,"")</f>
        <v>oVaDC CHADD</v>
      </c>
      <c r="AP858" s="2"/>
      <c r="AQ858" s="3"/>
      <c r="AR858" s="3"/>
      <c r="AS858" s="3"/>
      <c r="AT858" s="3"/>
    </row>
    <row r="859" spans="1:46" ht="15">
      <c r="A859" s="64" t="s">
        <v>364</v>
      </c>
      <c r="B859" s="65"/>
      <c r="C859" s="65"/>
      <c r="D859" s="66">
        <v>150</v>
      </c>
      <c r="E859" s="102">
        <v>95.71428571428571</v>
      </c>
      <c r="F859" s="98" t="str">
        <f>HYPERLINK("https://i.ytimg.com/vi/Z4Flg6TUPTY/default.jpg")</f>
        <v>https://i.ytimg.com/vi/Z4Flg6TUPTY/default.jpg</v>
      </c>
      <c r="G859" s="100"/>
      <c r="H859" s="69" t="s">
        <v>770</v>
      </c>
      <c r="I859" s="70"/>
      <c r="J859" s="104" t="s">
        <v>159</v>
      </c>
      <c r="K859" s="69" t="s">
        <v>770</v>
      </c>
      <c r="L859" s="105">
        <v>1</v>
      </c>
      <c r="M859" s="74">
        <v>6595.52294921875</v>
      </c>
      <c r="N859" s="74">
        <v>8141.7822265625</v>
      </c>
      <c r="O859" s="75"/>
      <c r="P859" s="76"/>
      <c r="Q859" s="76"/>
      <c r="R859" s="106"/>
      <c r="S859" s="48">
        <v>2</v>
      </c>
      <c r="T859" s="48">
        <v>0</v>
      </c>
      <c r="U859" s="49">
        <v>0</v>
      </c>
      <c r="V859" s="49">
        <v>0.182702</v>
      </c>
      <c r="W859" s="107"/>
      <c r="X859" s="50"/>
      <c r="Y859" s="50"/>
      <c r="Z859" s="49">
        <v>0</v>
      </c>
      <c r="AA859" s="71">
        <v>859</v>
      </c>
      <c r="AB859" s="71"/>
      <c r="AC859" s="72"/>
      <c r="AD859" s="79" t="s">
        <v>770</v>
      </c>
      <c r="AE859" s="79" t="s">
        <v>1118</v>
      </c>
      <c r="AF859" s="79" t="s">
        <v>1366</v>
      </c>
      <c r="AG859" s="79" t="s">
        <v>1580</v>
      </c>
      <c r="AH859" s="79" t="s">
        <v>1826</v>
      </c>
      <c r="AI859" s="79">
        <v>967</v>
      </c>
      <c r="AJ859" s="79">
        <v>5</v>
      </c>
      <c r="AK859" s="79">
        <v>39</v>
      </c>
      <c r="AL859" s="79">
        <v>0</v>
      </c>
      <c r="AM859" s="79" t="s">
        <v>2092</v>
      </c>
      <c r="AN859" s="114" t="str">
        <f>HYPERLINK("https://www.youtube.com/watch?v=Z4Flg6TUPTY")</f>
        <v>https://www.youtube.com/watch?v=Z4Flg6TUPTY</v>
      </c>
      <c r="AO859" s="78" t="str">
        <f>REPLACE(INDEX(GroupVertices[Group],MATCH(Vertices[[#This Row],[Vertex]],GroupVertices[Vertex],0)),1,1,"")</f>
        <v>arolyn Carrara-Live With Joy Now-ADHD Recovery</v>
      </c>
      <c r="AP859" s="2"/>
      <c r="AQ859" s="3"/>
      <c r="AR859" s="3"/>
      <c r="AS859" s="3"/>
      <c r="AT859" s="3"/>
    </row>
    <row r="860" spans="1:46" ht="15">
      <c r="A860" s="64" t="s">
        <v>2597</v>
      </c>
      <c r="B860" s="65"/>
      <c r="C860" s="65"/>
      <c r="D860" s="66">
        <v>150</v>
      </c>
      <c r="E860" s="102">
        <v>97.85714285714286</v>
      </c>
      <c r="F860" s="98" t="str">
        <f>HYPERLINK("https://i.ytimg.com/vi/BV_WpZ4Z0lk/default.jpg")</f>
        <v>https://i.ytimg.com/vi/BV_WpZ4Z0lk/default.jpg</v>
      </c>
      <c r="G860" s="100"/>
      <c r="H860" s="69" t="s">
        <v>3070</v>
      </c>
      <c r="I860" s="70"/>
      <c r="J860" s="104" t="s">
        <v>159</v>
      </c>
      <c r="K860" s="69" t="s">
        <v>3070</v>
      </c>
      <c r="L860" s="105">
        <v>1</v>
      </c>
      <c r="M860" s="74">
        <v>5958.537109375</v>
      </c>
      <c r="N860" s="74">
        <v>9777.7666015625</v>
      </c>
      <c r="O860" s="75"/>
      <c r="P860" s="76"/>
      <c r="Q860" s="76"/>
      <c r="R860" s="106"/>
      <c r="S860" s="48">
        <v>1</v>
      </c>
      <c r="T860" s="48">
        <v>0</v>
      </c>
      <c r="U860" s="49">
        <v>0</v>
      </c>
      <c r="V860" s="49">
        <v>0.181599</v>
      </c>
      <c r="W860" s="107"/>
      <c r="X860" s="50"/>
      <c r="Y860" s="50"/>
      <c r="Z860" s="49">
        <v>0</v>
      </c>
      <c r="AA860" s="71">
        <v>860</v>
      </c>
      <c r="AB860" s="71"/>
      <c r="AC860" s="72"/>
      <c r="AD860" s="79" t="s">
        <v>3070</v>
      </c>
      <c r="AE860" s="79" t="s">
        <v>3479</v>
      </c>
      <c r="AF860" s="79" t="s">
        <v>3686</v>
      </c>
      <c r="AG860" s="79" t="s">
        <v>3966</v>
      </c>
      <c r="AH860" s="79" t="s">
        <v>4438</v>
      </c>
      <c r="AI860" s="79">
        <v>207746</v>
      </c>
      <c r="AJ860" s="79">
        <v>381</v>
      </c>
      <c r="AK860" s="79">
        <v>1890</v>
      </c>
      <c r="AL860" s="79">
        <v>0</v>
      </c>
      <c r="AM860" s="79" t="s">
        <v>2092</v>
      </c>
      <c r="AN860" s="114" t="str">
        <f>HYPERLINK("https://www.youtube.com/watch?v=BV_WpZ4Z0lk")</f>
        <v>https://www.youtube.com/watch?v=BV_WpZ4Z0lk</v>
      </c>
      <c r="AO860" s="78" t="str">
        <f>REPLACE(INDEX(GroupVertices[Group],MATCH(Vertices[[#This Row],[Vertex]],GroupVertices[Vertex],0)),1,1,"")</f>
        <v>atie Couric</v>
      </c>
      <c r="AP860" s="2"/>
      <c r="AQ860" s="3"/>
      <c r="AR860" s="3"/>
      <c r="AS860" s="3"/>
      <c r="AT860" s="3"/>
    </row>
    <row r="861" spans="1:46" ht="15">
      <c r="A861" s="64" t="s">
        <v>267</v>
      </c>
      <c r="B861" s="65"/>
      <c r="C861" s="65"/>
      <c r="D861" s="66">
        <v>150</v>
      </c>
      <c r="E861" s="102">
        <v>97.85714285714286</v>
      </c>
      <c r="F861" s="98" t="str">
        <f>HYPERLINK("https://i.ytimg.com/vi/lc5XDJIgz1s/default.jpg")</f>
        <v>https://i.ytimg.com/vi/lc5XDJIgz1s/default.jpg</v>
      </c>
      <c r="G861" s="100"/>
      <c r="H861" s="69" t="s">
        <v>650</v>
      </c>
      <c r="I861" s="70"/>
      <c r="J861" s="104" t="s">
        <v>159</v>
      </c>
      <c r="K861" s="69" t="s">
        <v>650</v>
      </c>
      <c r="L861" s="105">
        <v>1</v>
      </c>
      <c r="M861" s="74">
        <v>5734.70166015625</v>
      </c>
      <c r="N861" s="74">
        <v>9407.9306640625</v>
      </c>
      <c r="O861" s="75"/>
      <c r="P861" s="76"/>
      <c r="Q861" s="76"/>
      <c r="R861" s="106"/>
      <c r="S861" s="48">
        <v>1</v>
      </c>
      <c r="T861" s="48">
        <v>0</v>
      </c>
      <c r="U861" s="49">
        <v>0</v>
      </c>
      <c r="V861" s="49">
        <v>0.181599</v>
      </c>
      <c r="W861" s="107"/>
      <c r="X861" s="50"/>
      <c r="Y861" s="50"/>
      <c r="Z861" s="49">
        <v>0</v>
      </c>
      <c r="AA861" s="71">
        <v>861</v>
      </c>
      <c r="AB861" s="71"/>
      <c r="AC861" s="72"/>
      <c r="AD861" s="79" t="s">
        <v>650</v>
      </c>
      <c r="AE861" s="79" t="s">
        <v>3480</v>
      </c>
      <c r="AF861" s="79" t="s">
        <v>1313</v>
      </c>
      <c r="AG861" s="79" t="s">
        <v>1513</v>
      </c>
      <c r="AH861" s="79" t="s">
        <v>1706</v>
      </c>
      <c r="AI861" s="79">
        <v>51379</v>
      </c>
      <c r="AJ861" s="79">
        <v>14</v>
      </c>
      <c r="AK861" s="79">
        <v>419</v>
      </c>
      <c r="AL861" s="79">
        <v>0</v>
      </c>
      <c r="AM861" s="79" t="s">
        <v>2092</v>
      </c>
      <c r="AN861" s="114" t="str">
        <f>HYPERLINK("https://www.youtube.com/watch?v=lc5XDJIgz1s")</f>
        <v>https://www.youtube.com/watch?v=lc5XDJIgz1s</v>
      </c>
      <c r="AO861" s="78" t="str">
        <f>REPLACE(INDEX(GroupVertices[Group],MATCH(Vertices[[#This Row],[Vertex]],GroupVertices[Vertex],0)),1,1,"")</f>
        <v>hanacademymedicine</v>
      </c>
      <c r="AP861" s="2"/>
      <c r="AQ861" s="3"/>
      <c r="AR861" s="3"/>
      <c r="AS861" s="3"/>
      <c r="AT861" s="3"/>
    </row>
    <row r="862" spans="1:46" ht="15">
      <c r="A862" s="64" t="s">
        <v>281</v>
      </c>
      <c r="B862" s="65"/>
      <c r="C862" s="65"/>
      <c r="D862" s="66">
        <v>150</v>
      </c>
      <c r="E862" s="102">
        <v>95.71428571428571</v>
      </c>
      <c r="F862" s="98" t="str">
        <f>HYPERLINK("https://i.ytimg.com/vi/wwJvM0sWsBg/default.jpg")</f>
        <v>https://i.ytimg.com/vi/wwJvM0sWsBg/default.jpg</v>
      </c>
      <c r="G862" s="100"/>
      <c r="H862" s="69" t="s">
        <v>674</v>
      </c>
      <c r="I862" s="70"/>
      <c r="J862" s="104" t="s">
        <v>159</v>
      </c>
      <c r="K862" s="69" t="s">
        <v>674</v>
      </c>
      <c r="L862" s="105">
        <v>1</v>
      </c>
      <c r="M862" s="74">
        <v>4243.98291015625</v>
      </c>
      <c r="N862" s="74">
        <v>3588.43994140625</v>
      </c>
      <c r="O862" s="75"/>
      <c r="P862" s="76"/>
      <c r="Q862" s="76"/>
      <c r="R862" s="106"/>
      <c r="S862" s="48">
        <v>2</v>
      </c>
      <c r="T862" s="48">
        <v>0</v>
      </c>
      <c r="U862" s="49">
        <v>0</v>
      </c>
      <c r="V862" s="49">
        <v>0.186931</v>
      </c>
      <c r="W862" s="107"/>
      <c r="X862" s="50"/>
      <c r="Y862" s="50"/>
      <c r="Z862" s="49">
        <v>0</v>
      </c>
      <c r="AA862" s="71">
        <v>862</v>
      </c>
      <c r="AB862" s="71"/>
      <c r="AC862" s="72"/>
      <c r="AD862" s="79" t="s">
        <v>674</v>
      </c>
      <c r="AE862" s="79" t="s">
        <v>1064</v>
      </c>
      <c r="AF862" s="79" t="s">
        <v>1327</v>
      </c>
      <c r="AG862" s="79" t="s">
        <v>1539</v>
      </c>
      <c r="AH862" s="79" t="s">
        <v>1727</v>
      </c>
      <c r="AI862" s="79">
        <v>136667</v>
      </c>
      <c r="AJ862" s="79">
        <v>615</v>
      </c>
      <c r="AK862" s="79">
        <v>3062</v>
      </c>
      <c r="AL862" s="79">
        <v>0</v>
      </c>
      <c r="AM862" s="79" t="s">
        <v>2092</v>
      </c>
      <c r="AN862" s="114" t="str">
        <f>HYPERLINK("https://www.youtube.com/watch?v=wwJvM0sWsBg")</f>
        <v>https://www.youtube.com/watch?v=wwJvM0sWsBg</v>
      </c>
      <c r="AO862" s="78" t="str">
        <f>REPLACE(INDEX(GroupVertices[Group],MATCH(Vertices[[#This Row],[Vertex]],GroupVertices[Vertex],0)),1,1,"")</f>
        <v>ive On Purpose TV</v>
      </c>
      <c r="AP862" s="2"/>
      <c r="AQ862" s="3"/>
      <c r="AR862" s="3"/>
      <c r="AS862" s="3"/>
      <c r="AT862" s="3"/>
    </row>
    <row r="863" spans="1:46" ht="15">
      <c r="A863" s="64" t="s">
        <v>266</v>
      </c>
      <c r="B863" s="65"/>
      <c r="C863" s="65"/>
      <c r="D863" s="66">
        <v>150</v>
      </c>
      <c r="E863" s="102">
        <v>97.85714285714286</v>
      </c>
      <c r="F863" s="98" t="str">
        <f>HYPERLINK("https://i.ytimg.com/vi/6v0QGQh9GCk/default.jpg")</f>
        <v>https://i.ytimg.com/vi/6v0QGQh9GCk/default.jpg</v>
      </c>
      <c r="G863" s="100"/>
      <c r="H863" s="69" t="s">
        <v>647</v>
      </c>
      <c r="I863" s="70"/>
      <c r="J863" s="104" t="s">
        <v>159</v>
      </c>
      <c r="K863" s="69" t="s">
        <v>647</v>
      </c>
      <c r="L863" s="105">
        <v>1</v>
      </c>
      <c r="M863" s="74">
        <v>5666.2783203125</v>
      </c>
      <c r="N863" s="74">
        <v>8414.5546875</v>
      </c>
      <c r="O863" s="75"/>
      <c r="P863" s="76"/>
      <c r="Q863" s="76"/>
      <c r="R863" s="106"/>
      <c r="S863" s="48">
        <v>1</v>
      </c>
      <c r="T863" s="48">
        <v>0</v>
      </c>
      <c r="U863" s="49">
        <v>0</v>
      </c>
      <c r="V863" s="49">
        <v>0.181599</v>
      </c>
      <c r="W863" s="107"/>
      <c r="X863" s="50"/>
      <c r="Y863" s="50"/>
      <c r="Z863" s="49">
        <v>0</v>
      </c>
      <c r="AA863" s="71">
        <v>863</v>
      </c>
      <c r="AB863" s="71"/>
      <c r="AC863" s="72"/>
      <c r="AD863" s="79" t="s">
        <v>647</v>
      </c>
      <c r="AE863" s="79" t="s">
        <v>1050</v>
      </c>
      <c r="AF863" s="79" t="s">
        <v>665</v>
      </c>
      <c r="AG863" s="79" t="s">
        <v>1517</v>
      </c>
      <c r="AH863" s="79" t="s">
        <v>1703</v>
      </c>
      <c r="AI863" s="79">
        <v>251044</v>
      </c>
      <c r="AJ863" s="79">
        <v>436</v>
      </c>
      <c r="AK863" s="79">
        <v>1144</v>
      </c>
      <c r="AL863" s="79">
        <v>0</v>
      </c>
      <c r="AM863" s="79" t="s">
        <v>2092</v>
      </c>
      <c r="AN863" s="114" t="str">
        <f>HYPERLINK("https://www.youtube.com/watch?v=6v0QGQh9GCk")</f>
        <v>https://www.youtube.com/watch?v=6v0QGQh9GCk</v>
      </c>
      <c r="AO863" s="78" t="str">
        <f>REPLACE(INDEX(GroupVertices[Group],MATCH(Vertices[[#This Row],[Vertex]],GroupVertices[Vertex],0)),1,1,"")</f>
        <v>onnieandThomasLiotta</v>
      </c>
      <c r="AP863" s="2"/>
      <c r="AQ863" s="3"/>
      <c r="AR863" s="3"/>
      <c r="AS863" s="3"/>
      <c r="AT863" s="3"/>
    </row>
    <row r="864" spans="1:46" ht="15">
      <c r="A864" s="64" t="s">
        <v>342</v>
      </c>
      <c r="B864" s="65"/>
      <c r="C864" s="65"/>
      <c r="D864" s="66">
        <v>150</v>
      </c>
      <c r="E864" s="102">
        <v>95.71428571428571</v>
      </c>
      <c r="F864" s="98" t="str">
        <f>HYPERLINK("https://i.ytimg.com/vi/bG6XQwfIyXs/default.jpg")</f>
        <v>https://i.ytimg.com/vi/bG6XQwfIyXs/default.jpg</v>
      </c>
      <c r="G864" s="100"/>
      <c r="H864" s="69" t="s">
        <v>743</v>
      </c>
      <c r="I864" s="70"/>
      <c r="J864" s="104" t="s">
        <v>159</v>
      </c>
      <c r="K864" s="69" t="s">
        <v>743</v>
      </c>
      <c r="L864" s="105">
        <v>1</v>
      </c>
      <c r="M864" s="74">
        <v>5541.69287109375</v>
      </c>
      <c r="N864" s="74">
        <v>143.66378784179688</v>
      </c>
      <c r="O864" s="75"/>
      <c r="P864" s="76"/>
      <c r="Q864" s="76"/>
      <c r="R864" s="106"/>
      <c r="S864" s="48">
        <v>2</v>
      </c>
      <c r="T864" s="48">
        <v>0</v>
      </c>
      <c r="U864" s="49">
        <v>0</v>
      </c>
      <c r="V864" s="49">
        <v>0.183383</v>
      </c>
      <c r="W864" s="107"/>
      <c r="X864" s="50"/>
      <c r="Y864" s="50"/>
      <c r="Z864" s="49">
        <v>0</v>
      </c>
      <c r="AA864" s="71">
        <v>864</v>
      </c>
      <c r="AB864" s="71"/>
      <c r="AC864" s="72"/>
      <c r="AD864" s="79" t="s">
        <v>743</v>
      </c>
      <c r="AE864" s="79" t="s">
        <v>1104</v>
      </c>
      <c r="AF864" s="79" t="s">
        <v>1356</v>
      </c>
      <c r="AG864" s="79" t="s">
        <v>1560</v>
      </c>
      <c r="AH864" s="79" t="s">
        <v>1799</v>
      </c>
      <c r="AI864" s="79">
        <v>236750</v>
      </c>
      <c r="AJ864" s="79">
        <v>260</v>
      </c>
      <c r="AK864" s="79">
        <v>1014</v>
      </c>
      <c r="AL864" s="79">
        <v>0</v>
      </c>
      <c r="AM864" s="79" t="s">
        <v>2092</v>
      </c>
      <c r="AN864" s="114" t="str">
        <f>HYPERLINK("https://www.youtube.com/watch?v=bG6XQwfIyXs")</f>
        <v>https://www.youtube.com/watch?v=bG6XQwfIyXs</v>
      </c>
      <c r="AO864" s="78" t="str">
        <f>REPLACE(INDEX(GroupVertices[Group],MATCH(Vertices[[#This Row],[Vertex]],GroupVertices[Vertex],0)),1,1,"")</f>
        <v>owcast</v>
      </c>
      <c r="AP864" s="2"/>
      <c r="AQ864" s="3"/>
      <c r="AR864" s="3"/>
      <c r="AS864" s="3"/>
      <c r="AT864" s="3"/>
    </row>
    <row r="865" spans="1:46" ht="15">
      <c r="A865" s="64" t="s">
        <v>2598</v>
      </c>
      <c r="B865" s="65"/>
      <c r="C865" s="65"/>
      <c r="D865" s="66">
        <v>150</v>
      </c>
      <c r="E865" s="102">
        <v>95.71428571428571</v>
      </c>
      <c r="F865" s="98" t="str">
        <f>HYPERLINK("https://i.ytimg.com/vi/JozQY57D1X0/default.jpg")</f>
        <v>https://i.ytimg.com/vi/JozQY57D1X0/default.jpg</v>
      </c>
      <c r="G865" s="100"/>
      <c r="H865" s="69" t="s">
        <v>3071</v>
      </c>
      <c r="I865" s="70"/>
      <c r="J865" s="104" t="s">
        <v>159</v>
      </c>
      <c r="K865" s="69" t="s">
        <v>3071</v>
      </c>
      <c r="L865" s="105">
        <v>1</v>
      </c>
      <c r="M865" s="74">
        <v>6368.60546875</v>
      </c>
      <c r="N865" s="74">
        <v>9328.5556640625</v>
      </c>
      <c r="O865" s="75"/>
      <c r="P865" s="76"/>
      <c r="Q865" s="76"/>
      <c r="R865" s="106"/>
      <c r="S865" s="48">
        <v>2</v>
      </c>
      <c r="T865" s="48">
        <v>0</v>
      </c>
      <c r="U865" s="49">
        <v>0</v>
      </c>
      <c r="V865" s="49">
        <v>0.182702</v>
      </c>
      <c r="W865" s="107"/>
      <c r="X865" s="50"/>
      <c r="Y865" s="50"/>
      <c r="Z865" s="49">
        <v>0</v>
      </c>
      <c r="AA865" s="71">
        <v>865</v>
      </c>
      <c r="AB865" s="71"/>
      <c r="AC865" s="72"/>
      <c r="AD865" s="79" t="s">
        <v>3071</v>
      </c>
      <c r="AE865" s="79" t="s">
        <v>3481</v>
      </c>
      <c r="AF865" s="79" t="s">
        <v>3687</v>
      </c>
      <c r="AG865" s="79" t="s">
        <v>1524</v>
      </c>
      <c r="AH865" s="79" t="s">
        <v>4439</v>
      </c>
      <c r="AI865" s="79">
        <v>7</v>
      </c>
      <c r="AJ865" s="79">
        <v>0</v>
      </c>
      <c r="AK865" s="79">
        <v>0</v>
      </c>
      <c r="AL865" s="79">
        <v>0</v>
      </c>
      <c r="AM865" s="79" t="s">
        <v>2092</v>
      </c>
      <c r="AN865" s="114" t="str">
        <f>HYPERLINK("https://www.youtube.com/watch?v=JozQY57D1X0")</f>
        <v>https://www.youtube.com/watch?v=JozQY57D1X0</v>
      </c>
      <c r="AO865" s="78" t="str">
        <f>REPLACE(INDEX(GroupVertices[Group],MATCH(Vertices[[#This Row],[Vertex]],GroupVertices[Vertex],0)),1,1,"")</f>
        <v>ip in the Bud</v>
      </c>
      <c r="AP865" s="2"/>
      <c r="AQ865" s="3"/>
      <c r="AR865" s="3"/>
      <c r="AS865" s="3"/>
      <c r="AT865" s="3"/>
    </row>
    <row r="866" spans="1:46" ht="15">
      <c r="A866" s="64" t="s">
        <v>595</v>
      </c>
      <c r="B866" s="65"/>
      <c r="C866" s="65"/>
      <c r="D866" s="66">
        <v>150</v>
      </c>
      <c r="E866" s="102">
        <v>95.71428571428571</v>
      </c>
      <c r="F866" s="98" t="str">
        <f>HYPERLINK("https://i.ytimg.com/vi/qmMYsVaZ0zo/default.jpg")</f>
        <v>https://i.ytimg.com/vi/qmMYsVaZ0zo/default.jpg</v>
      </c>
      <c r="G866" s="100"/>
      <c r="H866" s="69" t="s">
        <v>1019</v>
      </c>
      <c r="I866" s="70"/>
      <c r="J866" s="104" t="s">
        <v>159</v>
      </c>
      <c r="K866" s="69" t="s">
        <v>1019</v>
      </c>
      <c r="L866" s="105">
        <v>1</v>
      </c>
      <c r="M866" s="74">
        <v>8837.5947265625</v>
      </c>
      <c r="N866" s="74">
        <v>9275.7197265625</v>
      </c>
      <c r="O866" s="75"/>
      <c r="P866" s="76"/>
      <c r="Q866" s="76"/>
      <c r="R866" s="106"/>
      <c r="S866" s="48">
        <v>2</v>
      </c>
      <c r="T866" s="48">
        <v>0</v>
      </c>
      <c r="U866" s="49">
        <v>0</v>
      </c>
      <c r="V866" s="49">
        <v>0.192997</v>
      </c>
      <c r="W866" s="107"/>
      <c r="X866" s="50"/>
      <c r="Y866" s="50"/>
      <c r="Z866" s="49">
        <v>0</v>
      </c>
      <c r="AA866" s="71">
        <v>866</v>
      </c>
      <c r="AB866" s="71"/>
      <c r="AC866" s="72"/>
      <c r="AD866" s="79" t="s">
        <v>1019</v>
      </c>
      <c r="AE866" s="79" t="s">
        <v>1287</v>
      </c>
      <c r="AF866" s="79" t="s">
        <v>1471</v>
      </c>
      <c r="AG866" s="79" t="s">
        <v>1527</v>
      </c>
      <c r="AH866" s="79" t="s">
        <v>2076</v>
      </c>
      <c r="AI866" s="79">
        <v>603887</v>
      </c>
      <c r="AJ866" s="79">
        <v>272</v>
      </c>
      <c r="AK866" s="79">
        <v>7586</v>
      </c>
      <c r="AL866" s="79">
        <v>0</v>
      </c>
      <c r="AM866" s="79" t="s">
        <v>2092</v>
      </c>
      <c r="AN866" s="114" t="str">
        <f>HYPERLINK("https://www.youtube.com/watch?v=qmMYsVaZ0zo")</f>
        <v>https://www.youtube.com/watch?v=qmMYsVaZ0zo</v>
      </c>
      <c r="AO866" s="78" t="str">
        <f>REPLACE(INDEX(GroupVertices[Group],MATCH(Vertices[[#This Row],[Vertex]],GroupVertices[Vertex],0)),1,1,"")</f>
        <v>smosis from Elsevier</v>
      </c>
      <c r="AP866" s="2"/>
      <c r="AQ866" s="3"/>
      <c r="AR866" s="3"/>
      <c r="AS866" s="3"/>
      <c r="AT866" s="3"/>
    </row>
    <row r="867" spans="1:46" ht="15">
      <c r="A867" s="64" t="s">
        <v>2599</v>
      </c>
      <c r="B867" s="65"/>
      <c r="C867" s="65"/>
      <c r="D867" s="66">
        <v>150</v>
      </c>
      <c r="E867" s="102">
        <v>95.71428571428571</v>
      </c>
      <c r="F867" s="98" t="str">
        <f>HYPERLINK("https://i.ytimg.com/vi/9LgNOkd78Jk/default.jpg")</f>
        <v>https://i.ytimg.com/vi/9LgNOkd78Jk/default.jpg</v>
      </c>
      <c r="G867" s="100"/>
      <c r="H867" s="69" t="s">
        <v>3072</v>
      </c>
      <c r="I867" s="70"/>
      <c r="J867" s="104" t="s">
        <v>159</v>
      </c>
      <c r="K867" s="69" t="s">
        <v>3072</v>
      </c>
      <c r="L867" s="105">
        <v>1</v>
      </c>
      <c r="M867" s="74">
        <v>6608.29833984375</v>
      </c>
      <c r="N867" s="74">
        <v>9714.3984375</v>
      </c>
      <c r="O867" s="75"/>
      <c r="P867" s="76"/>
      <c r="Q867" s="76"/>
      <c r="R867" s="106"/>
      <c r="S867" s="48">
        <v>2</v>
      </c>
      <c r="T867" s="48">
        <v>0</v>
      </c>
      <c r="U867" s="49">
        <v>0</v>
      </c>
      <c r="V867" s="49">
        <v>0.182702</v>
      </c>
      <c r="W867" s="107"/>
      <c r="X867" s="50"/>
      <c r="Y867" s="50"/>
      <c r="Z867" s="49">
        <v>0</v>
      </c>
      <c r="AA867" s="71">
        <v>867</v>
      </c>
      <c r="AB867" s="71"/>
      <c r="AC867" s="72"/>
      <c r="AD867" s="79" t="s">
        <v>3072</v>
      </c>
      <c r="AE867" s="79" t="s">
        <v>3482</v>
      </c>
      <c r="AF867" s="79"/>
      <c r="AG867" s="79" t="s">
        <v>1524</v>
      </c>
      <c r="AH867" s="79" t="s">
        <v>4440</v>
      </c>
      <c r="AI867" s="79">
        <v>112</v>
      </c>
      <c r="AJ867" s="79">
        <v>0</v>
      </c>
      <c r="AK867" s="79">
        <v>1</v>
      </c>
      <c r="AL867" s="79">
        <v>0</v>
      </c>
      <c r="AM867" s="79" t="s">
        <v>2092</v>
      </c>
      <c r="AN867" s="114" t="str">
        <f>HYPERLINK("https://www.youtube.com/watch?v=9LgNOkd78Jk")</f>
        <v>https://www.youtube.com/watch?v=9LgNOkd78Jk</v>
      </c>
      <c r="AO867" s="78" t="str">
        <f>REPLACE(INDEX(GroupVertices[Group],MATCH(Vertices[[#This Row],[Vertex]],GroupVertices[Vertex],0)),1,1,"")</f>
        <v>ip in the Bud</v>
      </c>
      <c r="AP867" s="2"/>
      <c r="AQ867" s="3"/>
      <c r="AR867" s="3"/>
      <c r="AS867" s="3"/>
      <c r="AT867" s="3"/>
    </row>
    <row r="868" spans="1:46" ht="15">
      <c r="A868" s="64" t="s">
        <v>2600</v>
      </c>
      <c r="B868" s="65"/>
      <c r="C868" s="65"/>
      <c r="D868" s="66">
        <v>150</v>
      </c>
      <c r="E868" s="102">
        <v>97.85714285714286</v>
      </c>
      <c r="F868" s="98" t="str">
        <f>HYPERLINK("https://i.ytimg.com/vi/9ZjQILd5esk/default.jpg")</f>
        <v>https://i.ytimg.com/vi/9ZjQILd5esk/default.jpg</v>
      </c>
      <c r="G868" s="100"/>
      <c r="H868" s="69" t="s">
        <v>3073</v>
      </c>
      <c r="I868" s="70"/>
      <c r="J868" s="104" t="s">
        <v>159</v>
      </c>
      <c r="K868" s="69" t="s">
        <v>3073</v>
      </c>
      <c r="L868" s="105">
        <v>1</v>
      </c>
      <c r="M868" s="74">
        <v>5649.74951171875</v>
      </c>
      <c r="N868" s="74">
        <v>8198.1171875</v>
      </c>
      <c r="O868" s="75"/>
      <c r="P868" s="76"/>
      <c r="Q868" s="76"/>
      <c r="R868" s="106"/>
      <c r="S868" s="48">
        <v>1</v>
      </c>
      <c r="T868" s="48">
        <v>0</v>
      </c>
      <c r="U868" s="49">
        <v>0</v>
      </c>
      <c r="V868" s="49">
        <v>0.181599</v>
      </c>
      <c r="W868" s="107"/>
      <c r="X868" s="50"/>
      <c r="Y868" s="50"/>
      <c r="Z868" s="49">
        <v>0</v>
      </c>
      <c r="AA868" s="71">
        <v>868</v>
      </c>
      <c r="AB868" s="71"/>
      <c r="AC868" s="72"/>
      <c r="AD868" s="79" t="s">
        <v>3073</v>
      </c>
      <c r="AE868" s="79" t="s">
        <v>3483</v>
      </c>
      <c r="AF868" s="79" t="s">
        <v>3688</v>
      </c>
      <c r="AG868" s="79" t="s">
        <v>3967</v>
      </c>
      <c r="AH868" s="79" t="s">
        <v>4441</v>
      </c>
      <c r="AI868" s="79">
        <v>144249</v>
      </c>
      <c r="AJ868" s="79">
        <v>153</v>
      </c>
      <c r="AK868" s="79">
        <v>768</v>
      </c>
      <c r="AL868" s="79">
        <v>0</v>
      </c>
      <c r="AM868" s="79" t="s">
        <v>2092</v>
      </c>
      <c r="AN868" s="114" t="str">
        <f>HYPERLINK("https://www.youtube.com/watch?v=9ZjQILd5esk")</f>
        <v>https://www.youtube.com/watch?v=9ZjQILd5esk</v>
      </c>
      <c r="AO868" s="78" t="str">
        <f>REPLACE(INDEX(GroupVertices[Group],MATCH(Vertices[[#This Row],[Vertex]],GroupVertices[Vertex],0)),1,1,"")</f>
        <v>xford Brookes University</v>
      </c>
      <c r="AP868" s="2"/>
      <c r="AQ868" s="3"/>
      <c r="AR868" s="3"/>
      <c r="AS868" s="3"/>
      <c r="AT868" s="3"/>
    </row>
    <row r="869" spans="1:46" ht="15">
      <c r="A869" s="64" t="s">
        <v>361</v>
      </c>
      <c r="B869" s="65"/>
      <c r="C869" s="65"/>
      <c r="D869" s="66">
        <v>150</v>
      </c>
      <c r="E869" s="102">
        <v>95.71428571428571</v>
      </c>
      <c r="F869" s="98" t="str">
        <f>HYPERLINK("https://i.ytimg.com/vi/cGfGBAX7nw0/default.jpg")</f>
        <v>https://i.ytimg.com/vi/cGfGBAX7nw0/default.jpg</v>
      </c>
      <c r="G869" s="100"/>
      <c r="H869" s="69" t="s">
        <v>767</v>
      </c>
      <c r="I869" s="70"/>
      <c r="J869" s="104" t="s">
        <v>159</v>
      </c>
      <c r="K869" s="69" t="s">
        <v>767</v>
      </c>
      <c r="L869" s="105">
        <v>1</v>
      </c>
      <c r="M869" s="74">
        <v>6302.9228515625</v>
      </c>
      <c r="N869" s="74">
        <v>8291.4501953125</v>
      </c>
      <c r="O869" s="75"/>
      <c r="P869" s="76"/>
      <c r="Q869" s="76"/>
      <c r="R869" s="106"/>
      <c r="S869" s="48">
        <v>2</v>
      </c>
      <c r="T869" s="48">
        <v>0</v>
      </c>
      <c r="U869" s="49">
        <v>0</v>
      </c>
      <c r="V869" s="49">
        <v>0.182702</v>
      </c>
      <c r="W869" s="107"/>
      <c r="X869" s="50"/>
      <c r="Y869" s="50"/>
      <c r="Z869" s="49">
        <v>0</v>
      </c>
      <c r="AA869" s="71">
        <v>869</v>
      </c>
      <c r="AB869" s="71"/>
      <c r="AC869" s="72"/>
      <c r="AD869" s="79" t="s">
        <v>767</v>
      </c>
      <c r="AE869" s="79" t="s">
        <v>3484</v>
      </c>
      <c r="AF869" s="79" t="s">
        <v>1363</v>
      </c>
      <c r="AG869" s="79" t="s">
        <v>1524</v>
      </c>
      <c r="AH869" s="79" t="s">
        <v>1823</v>
      </c>
      <c r="AI869" s="79">
        <v>185</v>
      </c>
      <c r="AJ869" s="79">
        <v>0</v>
      </c>
      <c r="AK869" s="79">
        <v>3</v>
      </c>
      <c r="AL869" s="79">
        <v>0</v>
      </c>
      <c r="AM869" s="79" t="s">
        <v>2092</v>
      </c>
      <c r="AN869" s="114" t="str">
        <f>HYPERLINK("https://www.youtube.com/watch?v=cGfGBAX7nw0")</f>
        <v>https://www.youtube.com/watch?v=cGfGBAX7nw0</v>
      </c>
      <c r="AO869" s="78" t="str">
        <f>REPLACE(INDEX(GroupVertices[Group],MATCH(Vertices[[#This Row],[Vertex]],GroupVertices[Vertex],0)),1,1,"")</f>
        <v>ip in the Bud</v>
      </c>
      <c r="AP869" s="2"/>
      <c r="AQ869" s="3"/>
      <c r="AR869" s="3"/>
      <c r="AS869" s="3"/>
      <c r="AT869" s="3"/>
    </row>
    <row r="870" spans="1:46" ht="15">
      <c r="A870" s="64" t="s">
        <v>399</v>
      </c>
      <c r="B870" s="65"/>
      <c r="C870" s="65"/>
      <c r="D870" s="66">
        <v>150</v>
      </c>
      <c r="E870" s="102">
        <v>97.85714285714286</v>
      </c>
      <c r="F870" s="98" t="str">
        <f>HYPERLINK("https://i.ytimg.com/vi/S8043fEHmxk/default.jpg")</f>
        <v>https://i.ytimg.com/vi/S8043fEHmxk/default.jpg</v>
      </c>
      <c r="G870" s="100"/>
      <c r="H870" s="69" t="s">
        <v>811</v>
      </c>
      <c r="I870" s="70"/>
      <c r="J870" s="104" t="s">
        <v>159</v>
      </c>
      <c r="K870" s="69" t="s">
        <v>811</v>
      </c>
      <c r="L870" s="105">
        <v>1</v>
      </c>
      <c r="M870" s="74">
        <v>5648.06591796875</v>
      </c>
      <c r="N870" s="74">
        <v>8799.87890625</v>
      </c>
      <c r="O870" s="75"/>
      <c r="P870" s="76"/>
      <c r="Q870" s="76"/>
      <c r="R870" s="106"/>
      <c r="S870" s="48">
        <v>1</v>
      </c>
      <c r="T870" s="48">
        <v>0</v>
      </c>
      <c r="U870" s="49">
        <v>0</v>
      </c>
      <c r="V870" s="49">
        <v>0.181599</v>
      </c>
      <c r="W870" s="107"/>
      <c r="X870" s="50"/>
      <c r="Y870" s="50"/>
      <c r="Z870" s="49">
        <v>0</v>
      </c>
      <c r="AA870" s="71">
        <v>870</v>
      </c>
      <c r="AB870" s="71"/>
      <c r="AC870" s="72"/>
      <c r="AD870" s="79" t="s">
        <v>811</v>
      </c>
      <c r="AE870" s="79" t="s">
        <v>3485</v>
      </c>
      <c r="AF870" s="79" t="s">
        <v>1389</v>
      </c>
      <c r="AG870" s="79" t="s">
        <v>1592</v>
      </c>
      <c r="AH870" s="79" t="s">
        <v>1866</v>
      </c>
      <c r="AI870" s="79">
        <v>1060</v>
      </c>
      <c r="AJ870" s="79">
        <v>1</v>
      </c>
      <c r="AK870" s="79">
        <v>15</v>
      </c>
      <c r="AL870" s="79">
        <v>0</v>
      </c>
      <c r="AM870" s="79" t="s">
        <v>2092</v>
      </c>
      <c r="AN870" s="114" t="str">
        <f>HYPERLINK("https://www.youtube.com/watch?v=S8043fEHmxk")</f>
        <v>https://www.youtube.com/watch?v=S8043fEHmxk</v>
      </c>
      <c r="AO870" s="78" t="str">
        <f>REPLACE(INDEX(GroupVertices[Group],MATCH(Vertices[[#This Row],[Vertex]],GroupVertices[Vertex],0)),1,1,"")</f>
        <v>rof . M.THANGA DARWIN</v>
      </c>
      <c r="AP870" s="2"/>
      <c r="AQ870" s="3"/>
      <c r="AR870" s="3"/>
      <c r="AS870" s="3"/>
      <c r="AT870" s="3"/>
    </row>
    <row r="871" spans="1:46" ht="15">
      <c r="A871" s="64" t="s">
        <v>609</v>
      </c>
      <c r="B871" s="65"/>
      <c r="C871" s="65"/>
      <c r="D871" s="66">
        <v>150</v>
      </c>
      <c r="E871" s="102">
        <v>91.42857142857143</v>
      </c>
      <c r="F871" s="98" t="str">
        <f>HYPERLINK("https://i.ytimg.com/vi/EucwpTJMpqk/default.jpg")</f>
        <v>https://i.ytimg.com/vi/EucwpTJMpqk/default.jpg</v>
      </c>
      <c r="G871" s="100"/>
      <c r="H871" s="69" t="s">
        <v>1034</v>
      </c>
      <c r="I871" s="70"/>
      <c r="J871" s="104" t="s">
        <v>75</v>
      </c>
      <c r="K871" s="69" t="s">
        <v>1034</v>
      </c>
      <c r="L871" s="105">
        <v>150.10954603461892</v>
      </c>
      <c r="M871" s="74">
        <v>6587.263671875</v>
      </c>
      <c r="N871" s="74">
        <v>7710.95703125</v>
      </c>
      <c r="O871" s="75"/>
      <c r="P871" s="76"/>
      <c r="Q871" s="76"/>
      <c r="R871" s="106"/>
      <c r="S871" s="48">
        <v>4</v>
      </c>
      <c r="T871" s="48">
        <v>0</v>
      </c>
      <c r="U871" s="49">
        <v>2082.857143</v>
      </c>
      <c r="V871" s="49">
        <v>0.191902</v>
      </c>
      <c r="W871" s="107"/>
      <c r="X871" s="50"/>
      <c r="Y871" s="50"/>
      <c r="Z871" s="49">
        <v>0</v>
      </c>
      <c r="AA871" s="71">
        <v>871</v>
      </c>
      <c r="AB871" s="71"/>
      <c r="AC871" s="72"/>
      <c r="AD871" s="79" t="s">
        <v>1034</v>
      </c>
      <c r="AE871" s="79" t="s">
        <v>1293</v>
      </c>
      <c r="AF871" s="79" t="s">
        <v>1483</v>
      </c>
      <c r="AG871" s="79" t="s">
        <v>1678</v>
      </c>
      <c r="AH871" s="79" t="s">
        <v>2091</v>
      </c>
      <c r="AI871" s="79">
        <v>4756</v>
      </c>
      <c r="AJ871" s="79">
        <v>8</v>
      </c>
      <c r="AK871" s="79">
        <v>75</v>
      </c>
      <c r="AL871" s="79">
        <v>0</v>
      </c>
      <c r="AM871" s="79" t="s">
        <v>2092</v>
      </c>
      <c r="AN871" s="114" t="str">
        <f>HYPERLINK("https://www.youtube.com/watch?v=EucwpTJMpqk")</f>
        <v>https://www.youtube.com/watch?v=EucwpTJMpqk</v>
      </c>
      <c r="AO871" s="78" t="str">
        <f>REPLACE(INDEX(GroupVertices[Group],MATCH(Vertices[[#This Row],[Vertex]],GroupVertices[Vertex],0)),1,1,"")</f>
        <v>HADIS</v>
      </c>
      <c r="AP871" s="2"/>
      <c r="AQ871" s="3"/>
      <c r="AR871" s="3"/>
      <c r="AS871" s="3"/>
      <c r="AT871" s="3"/>
    </row>
    <row r="872" spans="1:46" ht="15">
      <c r="A872" s="64" t="s">
        <v>282</v>
      </c>
      <c r="B872" s="65"/>
      <c r="C872" s="65"/>
      <c r="D872" s="66">
        <v>150</v>
      </c>
      <c r="E872" s="102">
        <v>93.57142857142857</v>
      </c>
      <c r="F872" s="98" t="str">
        <f>HYPERLINK("https://i.ytimg.com/vi/69cMZGDjCTM/default.jpg")</f>
        <v>https://i.ytimg.com/vi/69cMZGDjCTM/default.jpg</v>
      </c>
      <c r="G872" s="100"/>
      <c r="H872" s="69" t="s">
        <v>675</v>
      </c>
      <c r="I872" s="70"/>
      <c r="J872" s="104" t="s">
        <v>159</v>
      </c>
      <c r="K872" s="69" t="s">
        <v>675</v>
      </c>
      <c r="L872" s="105">
        <v>1</v>
      </c>
      <c r="M872" s="74">
        <v>1319.50146484375</v>
      </c>
      <c r="N872" s="74">
        <v>8211.6689453125</v>
      </c>
      <c r="O872" s="75"/>
      <c r="P872" s="76"/>
      <c r="Q872" s="76"/>
      <c r="R872" s="106"/>
      <c r="S872" s="48">
        <v>3</v>
      </c>
      <c r="T872" s="48">
        <v>0</v>
      </c>
      <c r="U872" s="49">
        <v>0</v>
      </c>
      <c r="V872" s="49">
        <v>0.198301</v>
      </c>
      <c r="W872" s="107"/>
      <c r="X872" s="50"/>
      <c r="Y872" s="50"/>
      <c r="Z872" s="49">
        <v>0</v>
      </c>
      <c r="AA872" s="71">
        <v>872</v>
      </c>
      <c r="AB872" s="71"/>
      <c r="AC872" s="72"/>
      <c r="AD872" s="79" t="s">
        <v>675</v>
      </c>
      <c r="AE872" s="79" t="s">
        <v>1065</v>
      </c>
      <c r="AF872" s="79" t="s">
        <v>1328</v>
      </c>
      <c r="AG872" s="79" t="s">
        <v>1540</v>
      </c>
      <c r="AH872" s="79" t="s">
        <v>1728</v>
      </c>
      <c r="AI872" s="79">
        <v>60916</v>
      </c>
      <c r="AJ872" s="79">
        <v>3</v>
      </c>
      <c r="AK872" s="79">
        <v>740</v>
      </c>
      <c r="AL872" s="79">
        <v>0</v>
      </c>
      <c r="AM872" s="79" t="s">
        <v>2092</v>
      </c>
      <c r="AN872" s="114" t="str">
        <f>HYPERLINK("https://www.youtube.com/watch?v=69cMZGDjCTM")</f>
        <v>https://www.youtube.com/watch?v=69cMZGDjCTM</v>
      </c>
      <c r="AO872" s="78" t="str">
        <f>REPLACE(INDEX(GroupVertices[Group],MATCH(Vertices[[#This Row],[Vertex]],GroupVertices[Vertex],0)),1,1,"")</f>
        <v>ractical Behaviour Solutions</v>
      </c>
      <c r="AP872" s="2"/>
      <c r="AQ872" s="3"/>
      <c r="AR872" s="3"/>
      <c r="AS872" s="3"/>
      <c r="AT872" s="3"/>
    </row>
    <row r="873" spans="1:46" ht="15">
      <c r="A873" s="64" t="s">
        <v>265</v>
      </c>
      <c r="B873" s="65"/>
      <c r="C873" s="65"/>
      <c r="D873" s="66">
        <v>150</v>
      </c>
      <c r="E873" s="102">
        <v>97.85714285714286</v>
      </c>
      <c r="F873" s="98" t="str">
        <f>HYPERLINK("https://i.ytimg.com/vi/_6wEu5AQTeE/default.jpg")</f>
        <v>https://i.ytimg.com/vi/_6wEu5AQTeE/default.jpg</v>
      </c>
      <c r="G873" s="100"/>
      <c r="H873" s="69" t="s">
        <v>641</v>
      </c>
      <c r="I873" s="70"/>
      <c r="J873" s="104" t="s">
        <v>159</v>
      </c>
      <c r="K873" s="69" t="s">
        <v>641</v>
      </c>
      <c r="L873" s="105">
        <v>1</v>
      </c>
      <c r="M873" s="74">
        <v>5568.3857421875</v>
      </c>
      <c r="N873" s="74">
        <v>8599.2265625</v>
      </c>
      <c r="O873" s="75"/>
      <c r="P873" s="76"/>
      <c r="Q873" s="76"/>
      <c r="R873" s="106"/>
      <c r="S873" s="48">
        <v>1</v>
      </c>
      <c r="T873" s="48">
        <v>0</v>
      </c>
      <c r="U873" s="49">
        <v>0</v>
      </c>
      <c r="V873" s="49">
        <v>0.181599</v>
      </c>
      <c r="W873" s="107"/>
      <c r="X873" s="50"/>
      <c r="Y873" s="50"/>
      <c r="Z873" s="49">
        <v>0</v>
      </c>
      <c r="AA873" s="71">
        <v>873</v>
      </c>
      <c r="AB873" s="71"/>
      <c r="AC873" s="72"/>
      <c r="AD873" s="79" t="s">
        <v>641</v>
      </c>
      <c r="AE873" s="79"/>
      <c r="AF873" s="79"/>
      <c r="AG873" s="79" t="s">
        <v>1509</v>
      </c>
      <c r="AH873" s="79" t="s">
        <v>1697</v>
      </c>
      <c r="AI873" s="79">
        <v>4775</v>
      </c>
      <c r="AJ873" s="79">
        <v>1</v>
      </c>
      <c r="AK873" s="79">
        <v>46</v>
      </c>
      <c r="AL873" s="79">
        <v>0</v>
      </c>
      <c r="AM873" s="79" t="s">
        <v>2092</v>
      </c>
      <c r="AN873" s="114" t="str">
        <f>HYPERLINK("https://www.youtube.com/watch?v=_6wEu5AQTeE")</f>
        <v>https://www.youtube.com/watch?v=_6wEu5AQTeE</v>
      </c>
      <c r="AO873" s="78" t="str">
        <f>REPLACE(INDEX(GroupVertices[Group],MATCH(Vertices[[#This Row],[Vertex]],GroupVertices[Vertex],0)),1,1,"")</f>
        <v>TUHSC EL PASO</v>
      </c>
      <c r="AP873" s="2"/>
      <c r="AQ873" s="3"/>
      <c r="AR873" s="3"/>
      <c r="AS873" s="3"/>
      <c r="AT873" s="3"/>
    </row>
    <row r="874" spans="1:46" ht="15">
      <c r="A874" s="64" t="s">
        <v>284</v>
      </c>
      <c r="B874" s="65"/>
      <c r="C874" s="65"/>
      <c r="D874" s="66">
        <v>150</v>
      </c>
      <c r="E874" s="102">
        <v>89.28571428571429</v>
      </c>
      <c r="F874" s="98" t="str">
        <f>HYPERLINK("https://i.ytimg.com/vi/KDWJ28gNUOM/default.jpg")</f>
        <v>https://i.ytimg.com/vi/KDWJ28gNUOM/default.jpg</v>
      </c>
      <c r="G874" s="100"/>
      <c r="H874" s="69" t="s">
        <v>677</v>
      </c>
      <c r="I874" s="70"/>
      <c r="J874" s="104" t="s">
        <v>159</v>
      </c>
      <c r="K874" s="69" t="s">
        <v>677</v>
      </c>
      <c r="L874" s="105">
        <v>1</v>
      </c>
      <c r="M874" s="74">
        <v>1287.3837890625</v>
      </c>
      <c r="N874" s="74">
        <v>7824.94873046875</v>
      </c>
      <c r="O874" s="75"/>
      <c r="P874" s="76"/>
      <c r="Q874" s="76"/>
      <c r="R874" s="106"/>
      <c r="S874" s="48">
        <v>5</v>
      </c>
      <c r="T874" s="48">
        <v>0</v>
      </c>
      <c r="U874" s="49">
        <v>0</v>
      </c>
      <c r="V874" s="49">
        <v>0.212722</v>
      </c>
      <c r="W874" s="107"/>
      <c r="X874" s="50"/>
      <c r="Y874" s="50"/>
      <c r="Z874" s="49">
        <v>0</v>
      </c>
      <c r="AA874" s="71">
        <v>874</v>
      </c>
      <c r="AB874" s="71"/>
      <c r="AC874" s="72"/>
      <c r="AD874" s="79" t="s">
        <v>677</v>
      </c>
      <c r="AE874" s="79" t="s">
        <v>1067</v>
      </c>
      <c r="AF874" s="79" t="s">
        <v>1330</v>
      </c>
      <c r="AG874" s="79" t="s">
        <v>1502</v>
      </c>
      <c r="AH874" s="79" t="s">
        <v>1730</v>
      </c>
      <c r="AI874" s="79">
        <v>88882</v>
      </c>
      <c r="AJ874" s="79">
        <v>123</v>
      </c>
      <c r="AK874" s="79">
        <v>1160</v>
      </c>
      <c r="AL874" s="79">
        <v>0</v>
      </c>
      <c r="AM874" s="79" t="s">
        <v>2092</v>
      </c>
      <c r="AN874" s="114" t="str">
        <f>HYPERLINK("https://www.youtube.com/watch?v=KDWJ28gNUOM")</f>
        <v>https://www.youtube.com/watch?v=KDWJ28gNUOM</v>
      </c>
      <c r="AO874" s="78" t="str">
        <f>REPLACE(INDEX(GroupVertices[Group],MATCH(Vertices[[#This Row],[Vertex]],GroupVertices[Vertex],0)),1,1,"")</f>
        <v>EDx Talks</v>
      </c>
      <c r="AP874" s="2"/>
      <c r="AQ874" s="3"/>
      <c r="AR874" s="3"/>
      <c r="AS874" s="3"/>
      <c r="AT874" s="3"/>
    </row>
    <row r="875" spans="1:46" ht="15">
      <c r="A875" s="64" t="s">
        <v>369</v>
      </c>
      <c r="B875" s="65"/>
      <c r="C875" s="65"/>
      <c r="D875" s="66">
        <v>150</v>
      </c>
      <c r="E875" s="102">
        <v>95.71428571428571</v>
      </c>
      <c r="F875" s="98" t="str">
        <f>HYPERLINK("https://i.ytimg.com/vi/3WfG6QRrmXI/default.jpg")</f>
        <v>https://i.ytimg.com/vi/3WfG6QRrmXI/default.jpg</v>
      </c>
      <c r="G875" s="100"/>
      <c r="H875" s="69" t="s">
        <v>775</v>
      </c>
      <c r="I875" s="70"/>
      <c r="J875" s="104" t="s">
        <v>159</v>
      </c>
      <c r="K875" s="69" t="s">
        <v>775</v>
      </c>
      <c r="L875" s="105">
        <v>1</v>
      </c>
      <c r="M875" s="74">
        <v>6800.3291015625</v>
      </c>
      <c r="N875" s="74">
        <v>9465.048828125</v>
      </c>
      <c r="O875" s="75"/>
      <c r="P875" s="76"/>
      <c r="Q875" s="76"/>
      <c r="R875" s="106"/>
      <c r="S875" s="48">
        <v>2</v>
      </c>
      <c r="T875" s="48">
        <v>0</v>
      </c>
      <c r="U875" s="49">
        <v>0</v>
      </c>
      <c r="V875" s="49">
        <v>0.182702</v>
      </c>
      <c r="W875" s="107"/>
      <c r="X875" s="50"/>
      <c r="Y875" s="50"/>
      <c r="Z875" s="49">
        <v>0</v>
      </c>
      <c r="AA875" s="71">
        <v>875</v>
      </c>
      <c r="AB875" s="71"/>
      <c r="AC875" s="72"/>
      <c r="AD875" s="79" t="s">
        <v>775</v>
      </c>
      <c r="AE875" s="79" t="s">
        <v>3486</v>
      </c>
      <c r="AF875" s="79" t="s">
        <v>1370</v>
      </c>
      <c r="AG875" s="79" t="s">
        <v>1524</v>
      </c>
      <c r="AH875" s="79" t="s">
        <v>1831</v>
      </c>
      <c r="AI875" s="79">
        <v>921</v>
      </c>
      <c r="AJ875" s="79">
        <v>1</v>
      </c>
      <c r="AK875" s="79">
        <v>16</v>
      </c>
      <c r="AL875" s="79">
        <v>0</v>
      </c>
      <c r="AM875" s="79" t="s">
        <v>2092</v>
      </c>
      <c r="AN875" s="114" t="str">
        <f>HYPERLINK("https://www.youtube.com/watch?v=3WfG6QRrmXI")</f>
        <v>https://www.youtube.com/watch?v=3WfG6QRrmXI</v>
      </c>
      <c r="AO875" s="78" t="str">
        <f>REPLACE(INDEX(GroupVertices[Group],MATCH(Vertices[[#This Row],[Vertex]],GroupVertices[Vertex],0)),1,1,"")</f>
        <v>ip in the Bud</v>
      </c>
      <c r="AP875" s="2"/>
      <c r="AQ875" s="3"/>
      <c r="AR875" s="3"/>
      <c r="AS875" s="3"/>
      <c r="AT875" s="3"/>
    </row>
    <row r="876" spans="1:46" ht="15">
      <c r="A876" s="64" t="s">
        <v>2601</v>
      </c>
      <c r="B876" s="65"/>
      <c r="C876" s="65"/>
      <c r="D876" s="66">
        <v>150</v>
      </c>
      <c r="E876" s="102">
        <v>95.71428571428571</v>
      </c>
      <c r="F876" s="98" t="str">
        <f>HYPERLINK("https://i.ytimg.com/vi/NmrSiOn1rgY/default.jpg")</f>
        <v>https://i.ytimg.com/vi/NmrSiOn1rgY/default.jpg</v>
      </c>
      <c r="G876" s="100"/>
      <c r="H876" s="69" t="s">
        <v>3074</v>
      </c>
      <c r="I876" s="70"/>
      <c r="J876" s="104" t="s">
        <v>159</v>
      </c>
      <c r="K876" s="69" t="s">
        <v>3074</v>
      </c>
      <c r="L876" s="105">
        <v>1</v>
      </c>
      <c r="M876" s="74">
        <v>6455.8564453125</v>
      </c>
      <c r="N876" s="74">
        <v>7822.640625</v>
      </c>
      <c r="O876" s="75"/>
      <c r="P876" s="76"/>
      <c r="Q876" s="76"/>
      <c r="R876" s="106"/>
      <c r="S876" s="48">
        <v>2</v>
      </c>
      <c r="T876" s="48">
        <v>0</v>
      </c>
      <c r="U876" s="49">
        <v>0</v>
      </c>
      <c r="V876" s="49">
        <v>0.182702</v>
      </c>
      <c r="W876" s="107"/>
      <c r="X876" s="50"/>
      <c r="Y876" s="50"/>
      <c r="Z876" s="49">
        <v>0</v>
      </c>
      <c r="AA876" s="71">
        <v>876</v>
      </c>
      <c r="AB876" s="71"/>
      <c r="AC876" s="72"/>
      <c r="AD876" s="79" t="s">
        <v>3074</v>
      </c>
      <c r="AE876" s="79" t="s">
        <v>3487</v>
      </c>
      <c r="AF876" s="79" t="s">
        <v>3689</v>
      </c>
      <c r="AG876" s="79" t="s">
        <v>1524</v>
      </c>
      <c r="AH876" s="79" t="s">
        <v>4442</v>
      </c>
      <c r="AI876" s="79">
        <v>17</v>
      </c>
      <c r="AJ876" s="79">
        <v>0</v>
      </c>
      <c r="AK876" s="79">
        <v>2</v>
      </c>
      <c r="AL876" s="79">
        <v>0</v>
      </c>
      <c r="AM876" s="79" t="s">
        <v>2092</v>
      </c>
      <c r="AN876" s="114" t="str">
        <f>HYPERLINK("https://www.youtube.com/watch?v=NmrSiOn1rgY")</f>
        <v>https://www.youtube.com/watch?v=NmrSiOn1rgY</v>
      </c>
      <c r="AO876" s="78" t="str">
        <f>REPLACE(INDEX(GroupVertices[Group],MATCH(Vertices[[#This Row],[Vertex]],GroupVertices[Vertex],0)),1,1,"")</f>
        <v>ip in the Bud</v>
      </c>
      <c r="AP876" s="2"/>
      <c r="AQ876" s="3"/>
      <c r="AR876" s="3"/>
      <c r="AS876" s="3"/>
      <c r="AT876" s="3"/>
    </row>
    <row r="877" spans="1:46" ht="15">
      <c r="A877" s="64" t="s">
        <v>447</v>
      </c>
      <c r="B877" s="65"/>
      <c r="C877" s="65"/>
      <c r="D877" s="66">
        <v>150</v>
      </c>
      <c r="E877" s="102">
        <v>95.71428571428571</v>
      </c>
      <c r="F877" s="98" t="str">
        <f>HYPERLINK("https://i.ytimg.com/vi/j9IoozdRM_4/default.jpg")</f>
        <v>https://i.ytimg.com/vi/j9IoozdRM_4/default.jpg</v>
      </c>
      <c r="G877" s="100"/>
      <c r="H877" s="69" t="s">
        <v>865</v>
      </c>
      <c r="I877" s="70"/>
      <c r="J877" s="104" t="s">
        <v>159</v>
      </c>
      <c r="K877" s="69" t="s">
        <v>865</v>
      </c>
      <c r="L877" s="105">
        <v>1</v>
      </c>
      <c r="M877" s="74">
        <v>6724.30322265625</v>
      </c>
      <c r="N877" s="74">
        <v>7805.6298828125</v>
      </c>
      <c r="O877" s="75"/>
      <c r="P877" s="76"/>
      <c r="Q877" s="76"/>
      <c r="R877" s="106"/>
      <c r="S877" s="48">
        <v>2</v>
      </c>
      <c r="T877" s="48">
        <v>0</v>
      </c>
      <c r="U877" s="49">
        <v>0</v>
      </c>
      <c r="V877" s="49">
        <v>0.182702</v>
      </c>
      <c r="W877" s="107"/>
      <c r="X877" s="50"/>
      <c r="Y877" s="50"/>
      <c r="Z877" s="49">
        <v>0</v>
      </c>
      <c r="AA877" s="71">
        <v>877</v>
      </c>
      <c r="AB877" s="71"/>
      <c r="AC877" s="72"/>
      <c r="AD877" s="79" t="s">
        <v>865</v>
      </c>
      <c r="AE877" s="79" t="s">
        <v>3488</v>
      </c>
      <c r="AF877" s="79" t="s">
        <v>1404</v>
      </c>
      <c r="AG877" s="79" t="s">
        <v>1524</v>
      </c>
      <c r="AH877" s="79" t="s">
        <v>1921</v>
      </c>
      <c r="AI877" s="79">
        <v>269</v>
      </c>
      <c r="AJ877" s="79">
        <v>0</v>
      </c>
      <c r="AK877" s="79">
        <v>3</v>
      </c>
      <c r="AL877" s="79">
        <v>0</v>
      </c>
      <c r="AM877" s="79" t="s">
        <v>2092</v>
      </c>
      <c r="AN877" s="114" t="str">
        <f>HYPERLINK("https://www.youtube.com/watch?v=j9IoozdRM_4")</f>
        <v>https://www.youtube.com/watch?v=j9IoozdRM_4</v>
      </c>
      <c r="AO877" s="78" t="str">
        <f>REPLACE(INDEX(GroupVertices[Group],MATCH(Vertices[[#This Row],[Vertex]],GroupVertices[Vertex],0)),1,1,"")</f>
        <v>ip in the Bud</v>
      </c>
      <c r="AP877" s="2"/>
      <c r="AQ877" s="3"/>
      <c r="AR877" s="3"/>
      <c r="AS877" s="3"/>
      <c r="AT877" s="3"/>
    </row>
    <row r="878" spans="1:46" ht="15">
      <c r="A878" s="64" t="s">
        <v>276</v>
      </c>
      <c r="B878" s="65"/>
      <c r="C878" s="65"/>
      <c r="D878" s="66">
        <v>150</v>
      </c>
      <c r="E878" s="102">
        <v>95.71428571428571</v>
      </c>
      <c r="F878" s="98" t="str">
        <f>HYPERLINK("https://i.ytimg.com/vi/MbOIjsjBirI/default.jpg")</f>
        <v>https://i.ytimg.com/vi/MbOIjsjBirI/default.jpg</v>
      </c>
      <c r="G878" s="100"/>
      <c r="H878" s="69" t="s">
        <v>666</v>
      </c>
      <c r="I878" s="70"/>
      <c r="J878" s="104" t="s">
        <v>159</v>
      </c>
      <c r="K878" s="69" t="s">
        <v>666</v>
      </c>
      <c r="L878" s="105">
        <v>1</v>
      </c>
      <c r="M878" s="74">
        <v>2483.514892578125</v>
      </c>
      <c r="N878" s="74">
        <v>7931.220703125</v>
      </c>
      <c r="O878" s="75"/>
      <c r="P878" s="76"/>
      <c r="Q878" s="76"/>
      <c r="R878" s="106"/>
      <c r="S878" s="48">
        <v>2</v>
      </c>
      <c r="T878" s="48">
        <v>0</v>
      </c>
      <c r="U878" s="49">
        <v>0</v>
      </c>
      <c r="V878" s="49">
        <v>0.194384</v>
      </c>
      <c r="W878" s="107"/>
      <c r="X878" s="50"/>
      <c r="Y878" s="50"/>
      <c r="Z878" s="49">
        <v>0</v>
      </c>
      <c r="AA878" s="71">
        <v>878</v>
      </c>
      <c r="AB878" s="71"/>
      <c r="AC878" s="72"/>
      <c r="AD878" s="79" t="s">
        <v>666</v>
      </c>
      <c r="AE878" s="79" t="s">
        <v>1060</v>
      </c>
      <c r="AF878" s="79" t="s">
        <v>1323</v>
      </c>
      <c r="AG878" s="79" t="s">
        <v>1530</v>
      </c>
      <c r="AH878" s="79" t="s">
        <v>1721</v>
      </c>
      <c r="AI878" s="79">
        <v>76278</v>
      </c>
      <c r="AJ878" s="79">
        <v>125</v>
      </c>
      <c r="AK878" s="79">
        <v>691</v>
      </c>
      <c r="AL878" s="79">
        <v>0</v>
      </c>
      <c r="AM878" s="79" t="s">
        <v>2092</v>
      </c>
      <c r="AN878" s="114" t="str">
        <f>HYPERLINK("https://www.youtube.com/watch?v=MbOIjsjBirI")</f>
        <v>https://www.youtube.com/watch?v=MbOIjsjBirI</v>
      </c>
      <c r="AO878" s="78" t="str">
        <f>REPLACE(INDEX(GroupVertices[Group],MATCH(Vertices[[#This Row],[Vertex]],GroupVertices[Vertex],0)),1,1,"")</f>
        <v>DDitude Magazine</v>
      </c>
      <c r="AP878" s="2"/>
      <c r="AQ878" s="3"/>
      <c r="AR878" s="3"/>
      <c r="AS878" s="3"/>
      <c r="AT878" s="3"/>
    </row>
    <row r="879" spans="1:46" ht="15">
      <c r="A879" s="64" t="s">
        <v>287</v>
      </c>
      <c r="B879" s="65"/>
      <c r="C879" s="65"/>
      <c r="D879" s="66">
        <v>150</v>
      </c>
      <c r="E879" s="102">
        <v>95.71428571428571</v>
      </c>
      <c r="F879" s="98" t="str">
        <f>HYPERLINK("https://i.ytimg.com/vi/AnvuZYDE9KQ/default.jpg")</f>
        <v>https://i.ytimg.com/vi/AnvuZYDE9KQ/default.jpg</v>
      </c>
      <c r="G879" s="100"/>
      <c r="H879" s="69" t="s">
        <v>673</v>
      </c>
      <c r="I879" s="70"/>
      <c r="J879" s="104" t="s">
        <v>159</v>
      </c>
      <c r="K879" s="69" t="s">
        <v>673</v>
      </c>
      <c r="L879" s="105">
        <v>1</v>
      </c>
      <c r="M879" s="74">
        <v>2960.565185546875</v>
      </c>
      <c r="N879" s="74">
        <v>3866.797607421875</v>
      </c>
      <c r="O879" s="75"/>
      <c r="P879" s="76"/>
      <c r="Q879" s="76"/>
      <c r="R879" s="106"/>
      <c r="S879" s="48">
        <v>2</v>
      </c>
      <c r="T879" s="48">
        <v>0</v>
      </c>
      <c r="U879" s="49">
        <v>0</v>
      </c>
      <c r="V879" s="49">
        <v>0.186931</v>
      </c>
      <c r="W879" s="107"/>
      <c r="X879" s="50"/>
      <c r="Y879" s="50"/>
      <c r="Z879" s="49">
        <v>0</v>
      </c>
      <c r="AA879" s="71">
        <v>879</v>
      </c>
      <c r="AB879" s="71"/>
      <c r="AC879" s="72"/>
      <c r="AD879" s="79" t="s">
        <v>673</v>
      </c>
      <c r="AE879" s="79" t="s">
        <v>3489</v>
      </c>
      <c r="AF879" s="79" t="s">
        <v>1333</v>
      </c>
      <c r="AG879" s="79" t="s">
        <v>1536</v>
      </c>
      <c r="AH879" s="79" t="s">
        <v>1733</v>
      </c>
      <c r="AI879" s="79">
        <v>39595</v>
      </c>
      <c r="AJ879" s="79">
        <v>71</v>
      </c>
      <c r="AK879" s="79">
        <v>1005</v>
      </c>
      <c r="AL879" s="79">
        <v>0</v>
      </c>
      <c r="AM879" s="79" t="s">
        <v>2092</v>
      </c>
      <c r="AN879" s="114" t="str">
        <f>HYPERLINK("https://www.youtube.com/watch?v=AnvuZYDE9KQ")</f>
        <v>https://www.youtube.com/watch?v=AnvuZYDE9KQ</v>
      </c>
      <c r="AO879" s="78" t="str">
        <f>REPLACE(INDEX(GroupVertices[Group],MATCH(Vertices[[#This Row],[Vertex]],GroupVertices[Vertex],0)),1,1,"")</f>
        <v>icholeen Peck - Teaching Self Government</v>
      </c>
      <c r="AP879" s="2"/>
      <c r="AQ879" s="3"/>
      <c r="AR879" s="3"/>
      <c r="AS879" s="3"/>
      <c r="AT879" s="3"/>
    </row>
    <row r="880" spans="1:46" ht="15">
      <c r="A880" s="64" t="s">
        <v>271</v>
      </c>
      <c r="B880" s="65"/>
      <c r="C880" s="65"/>
      <c r="D880" s="66">
        <v>150</v>
      </c>
      <c r="E880" s="102">
        <v>95.71428571428571</v>
      </c>
      <c r="F880" s="98" t="str">
        <f>HYPERLINK("https://i.ytimg.com/vi/UUN7MUSZyyY/default.jpg")</f>
        <v>https://i.ytimg.com/vi/UUN7MUSZyyY/default.jpg</v>
      </c>
      <c r="G880" s="100"/>
      <c r="H880" s="69" t="s">
        <v>657</v>
      </c>
      <c r="I880" s="70"/>
      <c r="J880" s="104" t="s">
        <v>159</v>
      </c>
      <c r="K880" s="69" t="s">
        <v>657</v>
      </c>
      <c r="L880" s="105">
        <v>1</v>
      </c>
      <c r="M880" s="74">
        <v>4497.5419921875</v>
      </c>
      <c r="N880" s="74">
        <v>3613.2041015625</v>
      </c>
      <c r="O880" s="75"/>
      <c r="P880" s="76"/>
      <c r="Q880" s="76"/>
      <c r="R880" s="106"/>
      <c r="S880" s="48">
        <v>2</v>
      </c>
      <c r="T880" s="48">
        <v>0</v>
      </c>
      <c r="U880" s="49">
        <v>0</v>
      </c>
      <c r="V880" s="49">
        <v>0.186931</v>
      </c>
      <c r="W880" s="107"/>
      <c r="X880" s="50"/>
      <c r="Y880" s="50"/>
      <c r="Z880" s="49">
        <v>0</v>
      </c>
      <c r="AA880" s="71">
        <v>880</v>
      </c>
      <c r="AB880" s="71"/>
      <c r="AC880" s="72"/>
      <c r="AD880" s="79" t="s">
        <v>657</v>
      </c>
      <c r="AE880" s="79" t="s">
        <v>3490</v>
      </c>
      <c r="AF880" s="79" t="s">
        <v>1318</v>
      </c>
      <c r="AG880" s="79" t="s">
        <v>1524</v>
      </c>
      <c r="AH880" s="79" t="s">
        <v>1713</v>
      </c>
      <c r="AI880" s="79">
        <v>79970</v>
      </c>
      <c r="AJ880" s="79">
        <v>286</v>
      </c>
      <c r="AK880" s="79">
        <v>1105</v>
      </c>
      <c r="AL880" s="79">
        <v>0</v>
      </c>
      <c r="AM880" s="79" t="s">
        <v>2092</v>
      </c>
      <c r="AN880" s="114" t="str">
        <f>HYPERLINK("https://www.youtube.com/watch?v=UUN7MUSZyyY")</f>
        <v>https://www.youtube.com/watch?v=UUN7MUSZyyY</v>
      </c>
      <c r="AO880" s="78" t="str">
        <f>REPLACE(INDEX(GroupVertices[Group],MATCH(Vertices[[#This Row],[Vertex]],GroupVertices[Vertex],0)),1,1,"")</f>
        <v>ip in the Bud</v>
      </c>
      <c r="AP880" s="2"/>
      <c r="AQ880" s="3"/>
      <c r="AR880" s="3"/>
      <c r="AS880" s="3"/>
      <c r="AT880" s="3"/>
    </row>
    <row r="881" spans="1:46" ht="15">
      <c r="A881" s="64" t="s">
        <v>607</v>
      </c>
      <c r="B881" s="65"/>
      <c r="C881" s="65"/>
      <c r="D881" s="66">
        <v>150</v>
      </c>
      <c r="E881" s="102">
        <v>95.71428571428571</v>
      </c>
      <c r="F881" s="98" t="str">
        <f>HYPERLINK("https://i.ytimg.com/vi/uMdDB8Gxono/default.jpg")</f>
        <v>https://i.ytimg.com/vi/uMdDB8Gxono/default.jpg</v>
      </c>
      <c r="G881" s="100"/>
      <c r="H881" s="69" t="s">
        <v>1031</v>
      </c>
      <c r="I881" s="70"/>
      <c r="J881" s="104" t="s">
        <v>159</v>
      </c>
      <c r="K881" s="69" t="s">
        <v>1031</v>
      </c>
      <c r="L881" s="105">
        <v>1</v>
      </c>
      <c r="M881" s="74">
        <v>6807.5546875</v>
      </c>
      <c r="N881" s="74">
        <v>8037.48779296875</v>
      </c>
      <c r="O881" s="75"/>
      <c r="P881" s="76"/>
      <c r="Q881" s="76"/>
      <c r="R881" s="106"/>
      <c r="S881" s="48">
        <v>2</v>
      </c>
      <c r="T881" s="48">
        <v>0</v>
      </c>
      <c r="U881" s="49">
        <v>0</v>
      </c>
      <c r="V881" s="49">
        <v>0.182702</v>
      </c>
      <c r="W881" s="107"/>
      <c r="X881" s="50"/>
      <c r="Y881" s="50"/>
      <c r="Z881" s="49">
        <v>0</v>
      </c>
      <c r="AA881" s="71">
        <v>881</v>
      </c>
      <c r="AB881" s="71"/>
      <c r="AC881" s="72"/>
      <c r="AD881" s="79" t="s">
        <v>1031</v>
      </c>
      <c r="AE881" s="79" t="s">
        <v>3491</v>
      </c>
      <c r="AF881" s="79"/>
      <c r="AG881" s="79" t="s">
        <v>1524</v>
      </c>
      <c r="AH881" s="79" t="s">
        <v>2088</v>
      </c>
      <c r="AI881" s="79">
        <v>363</v>
      </c>
      <c r="AJ881" s="79">
        <v>0</v>
      </c>
      <c r="AK881" s="79">
        <v>3</v>
      </c>
      <c r="AL881" s="79">
        <v>0</v>
      </c>
      <c r="AM881" s="79" t="s">
        <v>2092</v>
      </c>
      <c r="AN881" s="114" t="str">
        <f>HYPERLINK("https://www.youtube.com/watch?v=uMdDB8Gxono")</f>
        <v>https://www.youtube.com/watch?v=uMdDB8Gxono</v>
      </c>
      <c r="AO881" s="78" t="str">
        <f>REPLACE(INDEX(GroupVertices[Group],MATCH(Vertices[[#This Row],[Vertex]],GroupVertices[Vertex],0)),1,1,"")</f>
        <v>ip in the Bud</v>
      </c>
      <c r="AP881" s="2"/>
      <c r="AQ881" s="3"/>
      <c r="AR881" s="3"/>
      <c r="AS881" s="3"/>
      <c r="AT881" s="3"/>
    </row>
    <row r="882" spans="1:46" ht="15">
      <c r="A882" s="64" t="s">
        <v>206</v>
      </c>
      <c r="B882" s="65"/>
      <c r="C882" s="65"/>
      <c r="D882" s="66">
        <v>150</v>
      </c>
      <c r="E882" s="102">
        <v>97.85714285714286</v>
      </c>
      <c r="F882" s="98" t="str">
        <f>HYPERLINK("https://i.ytimg.com/vi/6mGyDTIRqH8/default.jpg")</f>
        <v>https://i.ytimg.com/vi/6mGyDTIRqH8/default.jpg</v>
      </c>
      <c r="G882" s="100"/>
      <c r="H882" s="69" t="s">
        <v>750</v>
      </c>
      <c r="I882" s="70"/>
      <c r="J882" s="104" t="s">
        <v>159</v>
      </c>
      <c r="K882" s="69" t="s">
        <v>750</v>
      </c>
      <c r="L882" s="105">
        <v>1</v>
      </c>
      <c r="M882" s="74">
        <v>5601.5107421875</v>
      </c>
      <c r="N882" s="74">
        <v>9010.3466796875</v>
      </c>
      <c r="O882" s="75"/>
      <c r="P882" s="76"/>
      <c r="Q882" s="76"/>
      <c r="R882" s="106"/>
      <c r="S882" s="48">
        <v>1</v>
      </c>
      <c r="T882" s="48">
        <v>0</v>
      </c>
      <c r="U882" s="49">
        <v>0</v>
      </c>
      <c r="V882" s="49">
        <v>0.181599</v>
      </c>
      <c r="W882" s="107"/>
      <c r="X882" s="50"/>
      <c r="Y882" s="50"/>
      <c r="Z882" s="49">
        <v>0</v>
      </c>
      <c r="AA882" s="71">
        <v>882</v>
      </c>
      <c r="AB882" s="71"/>
      <c r="AC882" s="72"/>
      <c r="AD882" s="79" t="s">
        <v>750</v>
      </c>
      <c r="AE882" s="79" t="s">
        <v>3492</v>
      </c>
      <c r="AF882" s="79" t="s">
        <v>1357</v>
      </c>
      <c r="AG882" s="79" t="s">
        <v>1524</v>
      </c>
      <c r="AH882" s="79" t="s">
        <v>1806</v>
      </c>
      <c r="AI882" s="79">
        <v>3126</v>
      </c>
      <c r="AJ882" s="79">
        <v>3</v>
      </c>
      <c r="AK882" s="79">
        <v>24</v>
      </c>
      <c r="AL882" s="79">
        <v>0</v>
      </c>
      <c r="AM882" s="79" t="s">
        <v>2092</v>
      </c>
      <c r="AN882" s="114" t="str">
        <f>HYPERLINK("https://www.youtube.com/watch?v=6mGyDTIRqH8")</f>
        <v>https://www.youtube.com/watch?v=6mGyDTIRqH8</v>
      </c>
      <c r="AO882" s="78" t="str">
        <f>REPLACE(INDEX(GroupVertices[Group],MATCH(Vertices[[#This Row],[Vertex]],GroupVertices[Vertex],0)),1,1,"")</f>
        <v>ip in the Bud</v>
      </c>
      <c r="AP882" s="2"/>
      <c r="AQ882" s="3"/>
      <c r="AR882" s="3"/>
      <c r="AS882" s="3"/>
      <c r="AT882" s="3"/>
    </row>
    <row r="883" spans="1:46" ht="15">
      <c r="A883" s="64" t="s">
        <v>372</v>
      </c>
      <c r="B883" s="65"/>
      <c r="C883" s="65"/>
      <c r="D883" s="66">
        <v>150</v>
      </c>
      <c r="E883" s="102">
        <v>95.71428571428571</v>
      </c>
      <c r="F883" s="98" t="str">
        <f>HYPERLINK("https://i.ytimg.com/vi/pePFZ2Tw5aY/default.jpg")</f>
        <v>https://i.ytimg.com/vi/pePFZ2Tw5aY/default.jpg</v>
      </c>
      <c r="G883" s="100"/>
      <c r="H883" s="69" t="s">
        <v>778</v>
      </c>
      <c r="I883" s="70"/>
      <c r="J883" s="104" t="s">
        <v>159</v>
      </c>
      <c r="K883" s="69" t="s">
        <v>778</v>
      </c>
      <c r="L883" s="105">
        <v>1</v>
      </c>
      <c r="M883" s="74">
        <v>6639.9658203125</v>
      </c>
      <c r="N883" s="74">
        <v>9531.525390625</v>
      </c>
      <c r="O883" s="75"/>
      <c r="P883" s="76"/>
      <c r="Q883" s="76"/>
      <c r="R883" s="106"/>
      <c r="S883" s="48">
        <v>2</v>
      </c>
      <c r="T883" s="48">
        <v>0</v>
      </c>
      <c r="U883" s="49">
        <v>0</v>
      </c>
      <c r="V883" s="49">
        <v>0.182702</v>
      </c>
      <c r="W883" s="107"/>
      <c r="X883" s="50"/>
      <c r="Y883" s="50"/>
      <c r="Z883" s="49">
        <v>0</v>
      </c>
      <c r="AA883" s="71">
        <v>883</v>
      </c>
      <c r="AB883" s="71"/>
      <c r="AC883" s="72"/>
      <c r="AD883" s="79" t="s">
        <v>778</v>
      </c>
      <c r="AE883" s="79" t="s">
        <v>3493</v>
      </c>
      <c r="AF883" s="79"/>
      <c r="AG883" s="79" t="s">
        <v>1524</v>
      </c>
      <c r="AH883" s="79" t="s">
        <v>1834</v>
      </c>
      <c r="AI883" s="79">
        <v>1514</v>
      </c>
      <c r="AJ883" s="79">
        <v>2</v>
      </c>
      <c r="AK883" s="79">
        <v>26</v>
      </c>
      <c r="AL883" s="79">
        <v>0</v>
      </c>
      <c r="AM883" s="79" t="s">
        <v>2092</v>
      </c>
      <c r="AN883" s="114" t="str">
        <f>HYPERLINK("https://www.youtube.com/watch?v=pePFZ2Tw5aY")</f>
        <v>https://www.youtube.com/watch?v=pePFZ2Tw5aY</v>
      </c>
      <c r="AO883" s="78" t="str">
        <f>REPLACE(INDEX(GroupVertices[Group],MATCH(Vertices[[#This Row],[Vertex]],GroupVertices[Vertex],0)),1,1,"")</f>
        <v>ip in the Bud</v>
      </c>
      <c r="AP883" s="2"/>
      <c r="AQ883" s="3"/>
      <c r="AR883" s="3"/>
      <c r="AS883" s="3"/>
      <c r="AT883" s="3"/>
    </row>
    <row r="884" spans="1:46" ht="15">
      <c r="A884" s="64" t="s">
        <v>365</v>
      </c>
      <c r="B884" s="65"/>
      <c r="C884" s="65"/>
      <c r="D884" s="66">
        <v>150</v>
      </c>
      <c r="E884" s="102">
        <v>95.71428571428571</v>
      </c>
      <c r="F884" s="98" t="str">
        <f>HYPERLINK("https://i.ytimg.com/vi/NzbyzGiY_v0/default.jpg")</f>
        <v>https://i.ytimg.com/vi/NzbyzGiY_v0/default.jpg</v>
      </c>
      <c r="G884" s="100"/>
      <c r="H884" s="69" t="s">
        <v>771</v>
      </c>
      <c r="I884" s="70"/>
      <c r="J884" s="104" t="s">
        <v>159</v>
      </c>
      <c r="K884" s="69" t="s">
        <v>771</v>
      </c>
      <c r="L884" s="105">
        <v>1</v>
      </c>
      <c r="M884" s="74">
        <v>6593.6796875</v>
      </c>
      <c r="N884" s="74">
        <v>9206.697265625</v>
      </c>
      <c r="O884" s="75"/>
      <c r="P884" s="76"/>
      <c r="Q884" s="76"/>
      <c r="R884" s="106"/>
      <c r="S884" s="48">
        <v>2</v>
      </c>
      <c r="T884" s="48">
        <v>0</v>
      </c>
      <c r="U884" s="49">
        <v>0</v>
      </c>
      <c r="V884" s="49">
        <v>0.182702</v>
      </c>
      <c r="W884" s="107"/>
      <c r="X884" s="50"/>
      <c r="Y884" s="50"/>
      <c r="Z884" s="49">
        <v>0</v>
      </c>
      <c r="AA884" s="71">
        <v>884</v>
      </c>
      <c r="AB884" s="71"/>
      <c r="AC884" s="72"/>
      <c r="AD884" s="79" t="s">
        <v>771</v>
      </c>
      <c r="AE884" s="79" t="s">
        <v>3494</v>
      </c>
      <c r="AF884" s="79" t="s">
        <v>1367</v>
      </c>
      <c r="AG884" s="79" t="s">
        <v>1524</v>
      </c>
      <c r="AH884" s="79" t="s">
        <v>1827</v>
      </c>
      <c r="AI884" s="79">
        <v>177</v>
      </c>
      <c r="AJ884" s="79">
        <v>2</v>
      </c>
      <c r="AK884" s="79">
        <v>2</v>
      </c>
      <c r="AL884" s="79">
        <v>0</v>
      </c>
      <c r="AM884" s="79" t="s">
        <v>2092</v>
      </c>
      <c r="AN884" s="114" t="str">
        <f>HYPERLINK("https://www.youtube.com/watch?v=NzbyzGiY_v0")</f>
        <v>https://www.youtube.com/watch?v=NzbyzGiY_v0</v>
      </c>
      <c r="AO884" s="78" t="str">
        <f>REPLACE(INDEX(GroupVertices[Group],MATCH(Vertices[[#This Row],[Vertex]],GroupVertices[Vertex],0)),1,1,"")</f>
        <v>ip in the Bud</v>
      </c>
      <c r="AP884" s="2"/>
      <c r="AQ884" s="3"/>
      <c r="AR884" s="3"/>
      <c r="AS884" s="3"/>
      <c r="AT884" s="3"/>
    </row>
    <row r="885" spans="1:46" ht="15">
      <c r="A885" s="64" t="s">
        <v>270</v>
      </c>
      <c r="B885" s="65"/>
      <c r="C885" s="65"/>
      <c r="D885" s="66">
        <v>150</v>
      </c>
      <c r="E885" s="102">
        <v>93.57142857142857</v>
      </c>
      <c r="F885" s="98" t="str">
        <f>HYPERLINK("https://i.ytimg.com/vi/CudUi46zWfk/default.jpg")</f>
        <v>https://i.ytimg.com/vi/CudUi46zWfk/default.jpg</v>
      </c>
      <c r="G885" s="100"/>
      <c r="H885" s="69" t="s">
        <v>655</v>
      </c>
      <c r="I885" s="70"/>
      <c r="J885" s="104" t="s">
        <v>159</v>
      </c>
      <c r="K885" s="69" t="s">
        <v>655</v>
      </c>
      <c r="L885" s="105">
        <v>1</v>
      </c>
      <c r="M885" s="74">
        <v>1296.9403076171875</v>
      </c>
      <c r="N885" s="74">
        <v>8018.01513671875</v>
      </c>
      <c r="O885" s="75"/>
      <c r="P885" s="76"/>
      <c r="Q885" s="76"/>
      <c r="R885" s="106"/>
      <c r="S885" s="48">
        <v>3</v>
      </c>
      <c r="T885" s="48">
        <v>0</v>
      </c>
      <c r="U885" s="49">
        <v>0</v>
      </c>
      <c r="V885" s="49">
        <v>0.198301</v>
      </c>
      <c r="W885" s="107"/>
      <c r="X885" s="50"/>
      <c r="Y885" s="50"/>
      <c r="Z885" s="49">
        <v>0</v>
      </c>
      <c r="AA885" s="71">
        <v>885</v>
      </c>
      <c r="AB885" s="71"/>
      <c r="AC885" s="72"/>
      <c r="AD885" s="79" t="s">
        <v>655</v>
      </c>
      <c r="AE885" s="79" t="s">
        <v>1054</v>
      </c>
      <c r="AF885" s="79" t="s">
        <v>1316</v>
      </c>
      <c r="AG885" s="79" t="s">
        <v>1498</v>
      </c>
      <c r="AH885" s="79" t="s">
        <v>1711</v>
      </c>
      <c r="AI885" s="79">
        <v>16476</v>
      </c>
      <c r="AJ885" s="79">
        <v>12</v>
      </c>
      <c r="AK885" s="79">
        <v>413</v>
      </c>
      <c r="AL885" s="79">
        <v>0</v>
      </c>
      <c r="AM885" s="79" t="s">
        <v>2092</v>
      </c>
      <c r="AN885" s="114" t="str">
        <f>HYPERLINK("https://www.youtube.com/watch?v=CudUi46zWfk")</f>
        <v>https://www.youtube.com/watch?v=CudUi46zWfk</v>
      </c>
      <c r="AO885" s="78" t="str">
        <f>REPLACE(INDEX(GroupVertices[Group],MATCH(Vertices[[#This Row],[Vertex]],GroupVertices[Vertex],0)),1,1,"")</f>
        <v>r. Todd Grande</v>
      </c>
      <c r="AP885" s="2"/>
      <c r="AQ885" s="3"/>
      <c r="AR885" s="3"/>
      <c r="AS885" s="3"/>
      <c r="AT885" s="3"/>
    </row>
    <row r="886" spans="1:46" ht="15">
      <c r="A886" s="64" t="s">
        <v>368</v>
      </c>
      <c r="B886" s="65"/>
      <c r="C886" s="65"/>
      <c r="D886" s="66">
        <v>150</v>
      </c>
      <c r="E886" s="102">
        <v>95.71428571428571</v>
      </c>
      <c r="F886" s="98" t="str">
        <f>HYPERLINK("https://i.ytimg.com/vi/9dQQrsoJM-g/default.jpg")</f>
        <v>https://i.ytimg.com/vi/9dQQrsoJM-g/default.jpg</v>
      </c>
      <c r="G886" s="100"/>
      <c r="H886" s="69" t="s">
        <v>774</v>
      </c>
      <c r="I886" s="70"/>
      <c r="J886" s="104" t="s">
        <v>159</v>
      </c>
      <c r="K886" s="69" t="s">
        <v>774</v>
      </c>
      <c r="L886" s="105">
        <v>1</v>
      </c>
      <c r="M886" s="74">
        <v>6430.5205078125</v>
      </c>
      <c r="N886" s="74">
        <v>8495.7802734375</v>
      </c>
      <c r="O886" s="75"/>
      <c r="P886" s="76"/>
      <c r="Q886" s="76"/>
      <c r="R886" s="106"/>
      <c r="S886" s="48">
        <v>2</v>
      </c>
      <c r="T886" s="48">
        <v>0</v>
      </c>
      <c r="U886" s="49">
        <v>0</v>
      </c>
      <c r="V886" s="49">
        <v>0.182702</v>
      </c>
      <c r="W886" s="107"/>
      <c r="X886" s="50"/>
      <c r="Y886" s="50"/>
      <c r="Z886" s="49">
        <v>0</v>
      </c>
      <c r="AA886" s="71">
        <v>886</v>
      </c>
      <c r="AB886" s="71"/>
      <c r="AC886" s="72"/>
      <c r="AD886" s="79" t="s">
        <v>774</v>
      </c>
      <c r="AE886" s="79" t="s">
        <v>3495</v>
      </c>
      <c r="AF886" s="79"/>
      <c r="AG886" s="79" t="s">
        <v>1524</v>
      </c>
      <c r="AH886" s="79" t="s">
        <v>1830</v>
      </c>
      <c r="AI886" s="79">
        <v>17472</v>
      </c>
      <c r="AJ886" s="79">
        <v>12</v>
      </c>
      <c r="AK886" s="79">
        <v>192</v>
      </c>
      <c r="AL886" s="79">
        <v>0</v>
      </c>
      <c r="AM886" s="79" t="s">
        <v>2092</v>
      </c>
      <c r="AN886" s="114" t="str">
        <f>HYPERLINK("https://www.youtube.com/watch?v=9dQQrsoJM-g")</f>
        <v>https://www.youtube.com/watch?v=9dQQrsoJM-g</v>
      </c>
      <c r="AO886" s="78" t="str">
        <f>REPLACE(INDEX(GroupVertices[Group],MATCH(Vertices[[#This Row],[Vertex]],GroupVertices[Vertex],0)),1,1,"")</f>
        <v>ip in the Bud</v>
      </c>
      <c r="AP886" s="2"/>
      <c r="AQ886" s="3"/>
      <c r="AR886" s="3"/>
      <c r="AS886" s="3"/>
      <c r="AT886" s="3"/>
    </row>
    <row r="887" spans="1:46" ht="15">
      <c r="A887" s="64" t="s">
        <v>363</v>
      </c>
      <c r="B887" s="65"/>
      <c r="C887" s="65"/>
      <c r="D887" s="66">
        <v>150</v>
      </c>
      <c r="E887" s="102">
        <v>95.71428571428571</v>
      </c>
      <c r="F887" s="98" t="str">
        <f>HYPERLINK("https://i.ytimg.com/vi/NHpBxe-DlLM/default.jpg")</f>
        <v>https://i.ytimg.com/vi/NHpBxe-DlLM/default.jpg</v>
      </c>
      <c r="G887" s="100"/>
      <c r="H887" s="69" t="s">
        <v>769</v>
      </c>
      <c r="I887" s="70"/>
      <c r="J887" s="104" t="s">
        <v>159</v>
      </c>
      <c r="K887" s="69" t="s">
        <v>769</v>
      </c>
      <c r="L887" s="105">
        <v>1</v>
      </c>
      <c r="M887" s="74">
        <v>6485.4287109375</v>
      </c>
      <c r="N887" s="74">
        <v>8876.8515625</v>
      </c>
      <c r="O887" s="75"/>
      <c r="P887" s="76"/>
      <c r="Q887" s="76"/>
      <c r="R887" s="106"/>
      <c r="S887" s="48">
        <v>2</v>
      </c>
      <c r="T887" s="48">
        <v>0</v>
      </c>
      <c r="U887" s="49">
        <v>0</v>
      </c>
      <c r="V887" s="49">
        <v>0.182702</v>
      </c>
      <c r="W887" s="107"/>
      <c r="X887" s="50"/>
      <c r="Y887" s="50"/>
      <c r="Z887" s="49">
        <v>0</v>
      </c>
      <c r="AA887" s="71">
        <v>887</v>
      </c>
      <c r="AB887" s="71"/>
      <c r="AC887" s="72"/>
      <c r="AD887" s="79" t="s">
        <v>769</v>
      </c>
      <c r="AE887" s="79" t="s">
        <v>3496</v>
      </c>
      <c r="AF887" s="79" t="s">
        <v>1365</v>
      </c>
      <c r="AG887" s="79" t="s">
        <v>1524</v>
      </c>
      <c r="AH887" s="79" t="s">
        <v>1825</v>
      </c>
      <c r="AI887" s="79">
        <v>248</v>
      </c>
      <c r="AJ887" s="79">
        <v>0</v>
      </c>
      <c r="AK887" s="79">
        <v>2</v>
      </c>
      <c r="AL887" s="79">
        <v>0</v>
      </c>
      <c r="AM887" s="79" t="s">
        <v>2092</v>
      </c>
      <c r="AN887" s="114" t="str">
        <f>HYPERLINK("https://www.youtube.com/watch?v=NHpBxe-DlLM")</f>
        <v>https://www.youtube.com/watch?v=NHpBxe-DlLM</v>
      </c>
      <c r="AO887" s="78" t="str">
        <f>REPLACE(INDEX(GroupVertices[Group],MATCH(Vertices[[#This Row],[Vertex]],GroupVertices[Vertex],0)),1,1,"")</f>
        <v>ip in the Bud</v>
      </c>
      <c r="AP887" s="2"/>
      <c r="AQ887" s="3"/>
      <c r="AR887" s="3"/>
      <c r="AS887" s="3"/>
      <c r="AT887" s="3"/>
    </row>
    <row r="888" spans="1:46" ht="15">
      <c r="A888" s="64" t="s">
        <v>556</v>
      </c>
      <c r="B888" s="65"/>
      <c r="C888" s="65"/>
      <c r="D888" s="66">
        <v>150</v>
      </c>
      <c r="E888" s="102">
        <v>97.85714285714286</v>
      </c>
      <c r="F888" s="98" t="str">
        <f>HYPERLINK("https://i.ytimg.com/vi/1w8lPOgFxt4/default.jpg")</f>
        <v>https://i.ytimg.com/vi/1w8lPOgFxt4/default.jpg</v>
      </c>
      <c r="G888" s="100"/>
      <c r="H888" s="69" t="s">
        <v>979</v>
      </c>
      <c r="I888" s="70"/>
      <c r="J888" s="104" t="s">
        <v>159</v>
      </c>
      <c r="K888" s="69" t="s">
        <v>979</v>
      </c>
      <c r="L888" s="105">
        <v>1</v>
      </c>
      <c r="M888" s="74">
        <v>5738.97119140625</v>
      </c>
      <c r="N888" s="74">
        <v>8006.5390625</v>
      </c>
      <c r="O888" s="75"/>
      <c r="P888" s="76"/>
      <c r="Q888" s="76"/>
      <c r="R888" s="106"/>
      <c r="S888" s="48">
        <v>1</v>
      </c>
      <c r="T888" s="48">
        <v>0</v>
      </c>
      <c r="U888" s="49">
        <v>0</v>
      </c>
      <c r="V888" s="49">
        <v>0.181599</v>
      </c>
      <c r="W888" s="107"/>
      <c r="X888" s="50"/>
      <c r="Y888" s="50"/>
      <c r="Z888" s="49">
        <v>0</v>
      </c>
      <c r="AA888" s="71">
        <v>888</v>
      </c>
      <c r="AB888" s="71"/>
      <c r="AC888" s="72"/>
      <c r="AD888" s="79" t="s">
        <v>979</v>
      </c>
      <c r="AE888" s="79" t="s">
        <v>1260</v>
      </c>
      <c r="AF888" s="79" t="s">
        <v>1454</v>
      </c>
      <c r="AG888" s="79" t="s">
        <v>1527</v>
      </c>
      <c r="AH888" s="79" t="s">
        <v>2035</v>
      </c>
      <c r="AI888" s="79">
        <v>548064</v>
      </c>
      <c r="AJ888" s="79">
        <v>1620</v>
      </c>
      <c r="AK888" s="79">
        <v>9569</v>
      </c>
      <c r="AL888" s="79">
        <v>0</v>
      </c>
      <c r="AM888" s="79" t="s">
        <v>2092</v>
      </c>
      <c r="AN888" s="114" t="str">
        <f>HYPERLINK("https://www.youtube.com/watch?v=1w8lPOgFxt4")</f>
        <v>https://www.youtube.com/watch?v=1w8lPOgFxt4</v>
      </c>
      <c r="AO888" s="78" t="str">
        <f>REPLACE(INDEX(GroupVertices[Group],MATCH(Vertices[[#This Row],[Vertex]],GroupVertices[Vertex],0)),1,1,"")</f>
        <v>smosis from Elsevier</v>
      </c>
      <c r="AP888" s="2"/>
      <c r="AQ888" s="3"/>
      <c r="AR888" s="3"/>
      <c r="AS888" s="3"/>
      <c r="AT888" s="3"/>
    </row>
    <row r="889" spans="1:46" ht="15">
      <c r="A889" s="64" t="s">
        <v>367</v>
      </c>
      <c r="B889" s="65"/>
      <c r="C889" s="65"/>
      <c r="D889" s="66">
        <v>150</v>
      </c>
      <c r="E889" s="102">
        <v>95.71428571428571</v>
      </c>
      <c r="F889" s="98" t="str">
        <f>HYPERLINK("https://i.ytimg.com/vi/fQ-U50daTcE/default.jpg")</f>
        <v>https://i.ytimg.com/vi/fQ-U50daTcE/default.jpg</v>
      </c>
      <c r="G889" s="100"/>
      <c r="H889" s="69" t="s">
        <v>773</v>
      </c>
      <c r="I889" s="70"/>
      <c r="J889" s="104" t="s">
        <v>159</v>
      </c>
      <c r="K889" s="69" t="s">
        <v>773</v>
      </c>
      <c r="L889" s="105">
        <v>1</v>
      </c>
      <c r="M889" s="74">
        <v>6438.3427734375</v>
      </c>
      <c r="N889" s="74">
        <v>9566.9921875</v>
      </c>
      <c r="O889" s="75"/>
      <c r="P889" s="76"/>
      <c r="Q889" s="76"/>
      <c r="R889" s="106"/>
      <c r="S889" s="48">
        <v>2</v>
      </c>
      <c r="T889" s="48">
        <v>0</v>
      </c>
      <c r="U889" s="49">
        <v>0</v>
      </c>
      <c r="V889" s="49">
        <v>0.182702</v>
      </c>
      <c r="W889" s="107"/>
      <c r="X889" s="50"/>
      <c r="Y889" s="50"/>
      <c r="Z889" s="49">
        <v>0</v>
      </c>
      <c r="AA889" s="71">
        <v>889</v>
      </c>
      <c r="AB889" s="71"/>
      <c r="AC889" s="72"/>
      <c r="AD889" s="79" t="s">
        <v>773</v>
      </c>
      <c r="AE889" s="79" t="s">
        <v>3497</v>
      </c>
      <c r="AF889" s="79" t="s">
        <v>1369</v>
      </c>
      <c r="AG889" s="79" t="s">
        <v>1524</v>
      </c>
      <c r="AH889" s="79" t="s">
        <v>1829</v>
      </c>
      <c r="AI889" s="79">
        <v>30</v>
      </c>
      <c r="AJ889" s="79">
        <v>0</v>
      </c>
      <c r="AK889" s="79">
        <v>1</v>
      </c>
      <c r="AL889" s="79">
        <v>0</v>
      </c>
      <c r="AM889" s="79" t="s">
        <v>2092</v>
      </c>
      <c r="AN889" s="114" t="str">
        <f>HYPERLINK("https://www.youtube.com/watch?v=fQ-U50daTcE")</f>
        <v>https://www.youtube.com/watch?v=fQ-U50daTcE</v>
      </c>
      <c r="AO889" s="78" t="str">
        <f>REPLACE(INDEX(GroupVertices[Group],MATCH(Vertices[[#This Row],[Vertex]],GroupVertices[Vertex],0)),1,1,"")</f>
        <v>ip in the Bud</v>
      </c>
      <c r="AP889" s="2"/>
      <c r="AQ889" s="3"/>
      <c r="AR889" s="3"/>
      <c r="AS889" s="3"/>
      <c r="AT889" s="3"/>
    </row>
    <row r="890" spans="1:46" ht="15">
      <c r="A890" s="64" t="s">
        <v>283</v>
      </c>
      <c r="B890" s="65"/>
      <c r="C890" s="65"/>
      <c r="D890" s="66">
        <v>150</v>
      </c>
      <c r="E890" s="102">
        <v>97.85714285714286</v>
      </c>
      <c r="F890" s="98" t="str">
        <f>HYPERLINK("https://i.ytimg.com/vi/paON6JRcCLo/default.jpg")</f>
        <v>https://i.ytimg.com/vi/paON6JRcCLo/default.jpg</v>
      </c>
      <c r="G890" s="100"/>
      <c r="H890" s="69" t="s">
        <v>676</v>
      </c>
      <c r="I890" s="70"/>
      <c r="J890" s="104" t="s">
        <v>159</v>
      </c>
      <c r="K890" s="69" t="s">
        <v>676</v>
      </c>
      <c r="L890" s="105">
        <v>1</v>
      </c>
      <c r="M890" s="74">
        <v>5687.39453125</v>
      </c>
      <c r="N890" s="74">
        <v>9200.544921875</v>
      </c>
      <c r="O890" s="75"/>
      <c r="P890" s="76"/>
      <c r="Q890" s="76"/>
      <c r="R890" s="106"/>
      <c r="S890" s="48">
        <v>1</v>
      </c>
      <c r="T890" s="48">
        <v>0</v>
      </c>
      <c r="U890" s="49">
        <v>0</v>
      </c>
      <c r="V890" s="49">
        <v>0.181599</v>
      </c>
      <c r="W890" s="107"/>
      <c r="X890" s="50"/>
      <c r="Y890" s="50"/>
      <c r="Z890" s="49">
        <v>0</v>
      </c>
      <c r="AA890" s="71">
        <v>890</v>
      </c>
      <c r="AB890" s="71"/>
      <c r="AC890" s="72"/>
      <c r="AD890" s="79" t="s">
        <v>676</v>
      </c>
      <c r="AE890" s="79" t="s">
        <v>1066</v>
      </c>
      <c r="AF890" s="79" t="s">
        <v>1329</v>
      </c>
      <c r="AG890" s="79" t="s">
        <v>1530</v>
      </c>
      <c r="AH890" s="79" t="s">
        <v>1729</v>
      </c>
      <c r="AI890" s="79">
        <v>77324</v>
      </c>
      <c r="AJ890" s="79">
        <v>86</v>
      </c>
      <c r="AK890" s="79">
        <v>393</v>
      </c>
      <c r="AL890" s="79">
        <v>0</v>
      </c>
      <c r="AM890" s="79" t="s">
        <v>2092</v>
      </c>
      <c r="AN890" s="114" t="str">
        <f>HYPERLINK("https://www.youtube.com/watch?v=paON6JRcCLo")</f>
        <v>https://www.youtube.com/watch?v=paON6JRcCLo</v>
      </c>
      <c r="AO890" s="78" t="str">
        <f>REPLACE(INDEX(GroupVertices[Group],MATCH(Vertices[[#This Row],[Vertex]],GroupVertices[Vertex],0)),1,1,"")</f>
        <v>DDitude Magazine</v>
      </c>
      <c r="AP890" s="2"/>
      <c r="AQ890" s="3"/>
      <c r="AR890" s="3"/>
      <c r="AS890" s="3"/>
      <c r="AT890" s="3"/>
    </row>
    <row r="891" spans="1:46" ht="15">
      <c r="A891" s="64" t="s">
        <v>371</v>
      </c>
      <c r="B891" s="65"/>
      <c r="C891" s="65"/>
      <c r="D891" s="66">
        <v>150</v>
      </c>
      <c r="E891" s="102">
        <v>95.71428571428571</v>
      </c>
      <c r="F891" s="98" t="str">
        <f>HYPERLINK("https://i.ytimg.com/vi/BLD0Syj6goQ/default.jpg")</f>
        <v>https://i.ytimg.com/vi/BLD0Syj6goQ/default.jpg</v>
      </c>
      <c r="G891" s="100"/>
      <c r="H891" s="69" t="s">
        <v>777</v>
      </c>
      <c r="I891" s="70"/>
      <c r="J891" s="104" t="s">
        <v>159</v>
      </c>
      <c r="K891" s="69" t="s">
        <v>777</v>
      </c>
      <c r="L891" s="105">
        <v>1</v>
      </c>
      <c r="M891" s="74">
        <v>6380.84765625</v>
      </c>
      <c r="N891" s="74">
        <v>8033.20947265625</v>
      </c>
      <c r="O891" s="75"/>
      <c r="P891" s="76"/>
      <c r="Q891" s="76"/>
      <c r="R891" s="106"/>
      <c r="S891" s="48">
        <v>2</v>
      </c>
      <c r="T891" s="48">
        <v>0</v>
      </c>
      <c r="U891" s="49">
        <v>0</v>
      </c>
      <c r="V891" s="49">
        <v>0.182702</v>
      </c>
      <c r="W891" s="107"/>
      <c r="X891" s="50"/>
      <c r="Y891" s="50"/>
      <c r="Z891" s="49">
        <v>0</v>
      </c>
      <c r="AA891" s="71">
        <v>891</v>
      </c>
      <c r="AB891" s="71"/>
      <c r="AC891" s="72"/>
      <c r="AD891" s="79" t="s">
        <v>777</v>
      </c>
      <c r="AE891" s="79" t="s">
        <v>3498</v>
      </c>
      <c r="AF891" s="79" t="s">
        <v>1372</v>
      </c>
      <c r="AG891" s="79" t="s">
        <v>1524</v>
      </c>
      <c r="AH891" s="79" t="s">
        <v>1833</v>
      </c>
      <c r="AI891" s="79">
        <v>1650</v>
      </c>
      <c r="AJ891" s="79">
        <v>0</v>
      </c>
      <c r="AK891" s="79">
        <v>18</v>
      </c>
      <c r="AL891" s="79">
        <v>0</v>
      </c>
      <c r="AM891" s="79" t="s">
        <v>2092</v>
      </c>
      <c r="AN891" s="114" t="str">
        <f>HYPERLINK("https://www.youtube.com/watch?v=BLD0Syj6goQ")</f>
        <v>https://www.youtube.com/watch?v=BLD0Syj6goQ</v>
      </c>
      <c r="AO891" s="78" t="str">
        <f>REPLACE(INDEX(GroupVertices[Group],MATCH(Vertices[[#This Row],[Vertex]],GroupVertices[Vertex],0)),1,1,"")</f>
        <v>ip in the Bud</v>
      </c>
      <c r="AP891" s="2"/>
      <c r="AQ891" s="3"/>
      <c r="AR891" s="3"/>
      <c r="AS891" s="3"/>
      <c r="AT891" s="3"/>
    </row>
    <row r="892" spans="1:46" ht="15">
      <c r="A892" s="64" t="s">
        <v>608</v>
      </c>
      <c r="B892" s="65"/>
      <c r="C892" s="65"/>
      <c r="D892" s="66">
        <v>150</v>
      </c>
      <c r="E892" s="102">
        <v>95.71428571428571</v>
      </c>
      <c r="F892" s="98" t="str">
        <f>HYPERLINK("https://i.ytimg.com/vi/UXLevZs2xXM/default.jpg")</f>
        <v>https://i.ytimg.com/vi/UXLevZs2xXM/default.jpg</v>
      </c>
      <c r="G892" s="100"/>
      <c r="H892" s="69" t="s">
        <v>1033</v>
      </c>
      <c r="I892" s="70"/>
      <c r="J892" s="104" t="s">
        <v>159</v>
      </c>
      <c r="K892" s="69" t="s">
        <v>1033</v>
      </c>
      <c r="L892" s="105">
        <v>1</v>
      </c>
      <c r="M892" s="74">
        <v>6301.12548828125</v>
      </c>
      <c r="N892" s="74">
        <v>9054.9501953125</v>
      </c>
      <c r="O892" s="75"/>
      <c r="P892" s="76"/>
      <c r="Q892" s="76"/>
      <c r="R892" s="106"/>
      <c r="S892" s="48">
        <v>2</v>
      </c>
      <c r="T892" s="48">
        <v>0</v>
      </c>
      <c r="U892" s="49">
        <v>0</v>
      </c>
      <c r="V892" s="49">
        <v>0.182702</v>
      </c>
      <c r="W892" s="107"/>
      <c r="X892" s="50"/>
      <c r="Y892" s="50"/>
      <c r="Z892" s="49">
        <v>0</v>
      </c>
      <c r="AA892" s="71">
        <v>892</v>
      </c>
      <c r="AB892" s="71"/>
      <c r="AC892" s="72"/>
      <c r="AD892" s="79" t="s">
        <v>1033</v>
      </c>
      <c r="AE892" s="79" t="s">
        <v>3499</v>
      </c>
      <c r="AF892" s="79" t="s">
        <v>1482</v>
      </c>
      <c r="AG892" s="79" t="s">
        <v>1524</v>
      </c>
      <c r="AH892" s="79" t="s">
        <v>2090</v>
      </c>
      <c r="AI892" s="79">
        <v>4272</v>
      </c>
      <c r="AJ892" s="79">
        <v>4</v>
      </c>
      <c r="AK892" s="79">
        <v>86</v>
      </c>
      <c r="AL892" s="79">
        <v>0</v>
      </c>
      <c r="AM892" s="79" t="s">
        <v>2092</v>
      </c>
      <c r="AN892" s="114" t="str">
        <f>HYPERLINK("https://www.youtube.com/watch?v=UXLevZs2xXM")</f>
        <v>https://www.youtube.com/watch?v=UXLevZs2xXM</v>
      </c>
      <c r="AO892" s="78" t="str">
        <f>REPLACE(INDEX(GroupVertices[Group],MATCH(Vertices[[#This Row],[Vertex]],GroupVertices[Vertex],0)),1,1,"")</f>
        <v>ip in the Bud</v>
      </c>
      <c r="AP892" s="2"/>
      <c r="AQ892" s="3"/>
      <c r="AR892" s="3"/>
      <c r="AS892" s="3"/>
      <c r="AT892" s="3"/>
    </row>
    <row r="893" spans="1:46" ht="15">
      <c r="A893" s="81" t="s">
        <v>286</v>
      </c>
      <c r="B893" s="82"/>
      <c r="C893" s="82"/>
      <c r="D893" s="83">
        <v>150</v>
      </c>
      <c r="E893" s="84">
        <v>97.85714285714286</v>
      </c>
      <c r="F893" s="99" t="str">
        <f>HYPERLINK("https://i.ytimg.com/vi/_aEip07Y4js/default.jpg")</f>
        <v>https://i.ytimg.com/vi/_aEip07Y4js/default.jpg</v>
      </c>
      <c r="G893" s="82"/>
      <c r="H893" s="85" t="s">
        <v>678</v>
      </c>
      <c r="I893" s="86"/>
      <c r="J893" s="86" t="s">
        <v>159</v>
      </c>
      <c r="K893" s="85" t="s">
        <v>678</v>
      </c>
      <c r="L893" s="87">
        <v>1</v>
      </c>
      <c r="M893" s="88">
        <v>5828.84619140625</v>
      </c>
      <c r="N893" s="88">
        <v>7811.12060546875</v>
      </c>
      <c r="O893" s="89"/>
      <c r="P893" s="90"/>
      <c r="Q893" s="90"/>
      <c r="R893" s="91"/>
      <c r="S893" s="48">
        <v>1</v>
      </c>
      <c r="T893" s="48">
        <v>0</v>
      </c>
      <c r="U893" s="49">
        <v>0</v>
      </c>
      <c r="V893" s="49">
        <v>0.181599</v>
      </c>
      <c r="W893" s="92"/>
      <c r="X893" s="92"/>
      <c r="Y893" s="92"/>
      <c r="Z893" s="49">
        <v>0</v>
      </c>
      <c r="AA893" s="93">
        <v>893</v>
      </c>
      <c r="AB893" s="93"/>
      <c r="AC893" s="94"/>
      <c r="AD893" s="111" t="s">
        <v>678</v>
      </c>
      <c r="AE893" s="111" t="s">
        <v>1069</v>
      </c>
      <c r="AF893" s="111" t="s">
        <v>1332</v>
      </c>
      <c r="AG893" s="111" t="s">
        <v>1531</v>
      </c>
      <c r="AH893" s="111" t="s">
        <v>1732</v>
      </c>
      <c r="AI893" s="111">
        <v>113591</v>
      </c>
      <c r="AJ893" s="111">
        <v>603</v>
      </c>
      <c r="AK893" s="111">
        <v>2651</v>
      </c>
      <c r="AL893" s="111">
        <v>0</v>
      </c>
      <c r="AM893" s="111" t="s">
        <v>2092</v>
      </c>
      <c r="AN893" s="115" t="str">
        <f>HYPERLINK("https://www.youtube.com/watch?v=_aEip07Y4js")</f>
        <v>https://www.youtube.com/watch?v=_aEip07Y4js</v>
      </c>
      <c r="AO893" s="78" t="str">
        <f>REPLACE(INDEX(GroupVertices[Group],MATCH(Vertices[[#This Row],[Vertex]],GroupVertices[Vertex],0)),1,1,"")</f>
        <v>edCircle</v>
      </c>
      <c r="AP893" s="2"/>
      <c r="AQ893" s="3"/>
      <c r="AR893" s="3"/>
      <c r="AS893" s="3"/>
      <c r="AT893" s="3"/>
    </row>
    <row r="894" spans="1:45" ht="15">
      <c r="A894"/>
      <c r="J894"/>
      <c r="AA894"/>
      <c r="AB894"/>
      <c r="AC894"/>
      <c r="AD894"/>
      <c r="AE894"/>
      <c r="AF894"/>
      <c r="AG894"/>
      <c r="AH894"/>
      <c r="AO894" s="2"/>
      <c r="AP894" s="3"/>
      <c r="AQ894" s="3"/>
      <c r="AR894" s="3"/>
      <c r="AS894" s="3"/>
    </row>
    <row r="895" spans="1:45" ht="15">
      <c r="A895"/>
      <c r="J895"/>
      <c r="AA895"/>
      <c r="AB895"/>
      <c r="AC895"/>
      <c r="AD895"/>
      <c r="AE895"/>
      <c r="AF895"/>
      <c r="AG895"/>
      <c r="AH895"/>
      <c r="AO895" s="2"/>
      <c r="AP895" s="3"/>
      <c r="AQ895" s="3"/>
      <c r="AR895" s="3"/>
      <c r="AS895" s="3"/>
    </row>
    <row r="896" spans="1:45" ht="15">
      <c r="A896"/>
      <c r="J896"/>
      <c r="AA896"/>
      <c r="AB896"/>
      <c r="AC896"/>
      <c r="AD896"/>
      <c r="AE896"/>
      <c r="AF896"/>
      <c r="AG896"/>
      <c r="AH896"/>
      <c r="AO896" s="2"/>
      <c r="AP896" s="3"/>
      <c r="AQ896" s="3"/>
      <c r="AR896" s="3"/>
      <c r="AS896" s="3"/>
    </row>
    <row r="897" spans="1:45" ht="15">
      <c r="A897"/>
      <c r="J897"/>
      <c r="AA897"/>
      <c r="AB897"/>
      <c r="AC897"/>
      <c r="AD897"/>
      <c r="AE897"/>
      <c r="AF897"/>
      <c r="AG897"/>
      <c r="AH897"/>
      <c r="AO897" s="2"/>
      <c r="AP897" s="3"/>
      <c r="AQ897" s="3"/>
      <c r="AR897" s="3"/>
      <c r="AS897" s="3"/>
    </row>
    <row r="898" spans="1:45" ht="15">
      <c r="A898"/>
      <c r="J898"/>
      <c r="AA898"/>
      <c r="AB898"/>
      <c r="AC898"/>
      <c r="AD898"/>
      <c r="AE898"/>
      <c r="AF898"/>
      <c r="AG898"/>
      <c r="AH898"/>
      <c r="AO898" s="2"/>
      <c r="AP898" s="3"/>
      <c r="AQ898" s="3"/>
      <c r="AR898" s="3"/>
      <c r="AS898" s="3"/>
    </row>
    <row r="899" spans="1:45" ht="15">
      <c r="A899"/>
      <c r="J899"/>
      <c r="AA899"/>
      <c r="AB899"/>
      <c r="AC899"/>
      <c r="AD899"/>
      <c r="AE899"/>
      <c r="AF899"/>
      <c r="AG899"/>
      <c r="AH899"/>
      <c r="AO899" s="2"/>
      <c r="AP899" s="3"/>
      <c r="AQ899" s="3"/>
      <c r="AR899" s="3"/>
      <c r="AS899" s="3"/>
    </row>
    <row r="900" spans="1:45" ht="15">
      <c r="A900"/>
      <c r="J900"/>
      <c r="AA900"/>
      <c r="AB900"/>
      <c r="AC900"/>
      <c r="AD900"/>
      <c r="AE900"/>
      <c r="AF900"/>
      <c r="AG900"/>
      <c r="AH900"/>
      <c r="AO900" s="2"/>
      <c r="AP900" s="3"/>
      <c r="AQ900" s="3"/>
      <c r="AR900" s="3"/>
      <c r="AS900" s="3"/>
    </row>
    <row r="901" spans="1:45" ht="15">
      <c r="A901"/>
      <c r="J901"/>
      <c r="AA901"/>
      <c r="AB901"/>
      <c r="AC901"/>
      <c r="AD901"/>
      <c r="AE901"/>
      <c r="AF901"/>
      <c r="AG901"/>
      <c r="AH901"/>
      <c r="AO901" s="2"/>
      <c r="AP901" s="3"/>
      <c r="AQ901" s="3"/>
      <c r="AR901" s="3"/>
      <c r="AS901" s="3"/>
    </row>
    <row r="902" spans="1:45" ht="15">
      <c r="A902"/>
      <c r="J902"/>
      <c r="AA902"/>
      <c r="AB902"/>
      <c r="AC902"/>
      <c r="AD902"/>
      <c r="AE902"/>
      <c r="AF902"/>
      <c r="AG902"/>
      <c r="AH902"/>
      <c r="AO902" s="2"/>
      <c r="AP902" s="3"/>
      <c r="AQ902" s="3"/>
      <c r="AR902" s="3"/>
      <c r="AS902" s="3"/>
    </row>
    <row r="903" spans="1:45" ht="15">
      <c r="A903"/>
      <c r="J903"/>
      <c r="AA903"/>
      <c r="AB903"/>
      <c r="AC903"/>
      <c r="AD903"/>
      <c r="AE903"/>
      <c r="AF903"/>
      <c r="AG903"/>
      <c r="AH903"/>
      <c r="AO903" s="2"/>
      <c r="AP903" s="3"/>
      <c r="AQ903" s="3"/>
      <c r="AR903" s="3"/>
      <c r="AS903" s="3"/>
    </row>
    <row r="904" spans="1:45" ht="15">
      <c r="A904"/>
      <c r="J904"/>
      <c r="AA904"/>
      <c r="AB904"/>
      <c r="AC904"/>
      <c r="AD904"/>
      <c r="AE904"/>
      <c r="AF904"/>
      <c r="AG904"/>
      <c r="AH904"/>
      <c r="AO904" s="2"/>
      <c r="AP904" s="3"/>
      <c r="AQ904" s="3"/>
      <c r="AR904" s="3"/>
      <c r="AS904" s="3"/>
    </row>
    <row r="905" spans="1:45" ht="15">
      <c r="A905"/>
      <c r="J905"/>
      <c r="AA905"/>
      <c r="AB905"/>
      <c r="AC905"/>
      <c r="AD905"/>
      <c r="AE905"/>
      <c r="AF905"/>
      <c r="AG905"/>
      <c r="AH905"/>
      <c r="AO905" s="2"/>
      <c r="AP905" s="3"/>
      <c r="AQ905" s="3"/>
      <c r="AR905" s="3"/>
      <c r="AS905" s="3"/>
    </row>
    <row r="906" spans="1:45" ht="15">
      <c r="A906"/>
      <c r="J906"/>
      <c r="AA906"/>
      <c r="AB906"/>
      <c r="AC906"/>
      <c r="AD906"/>
      <c r="AE906"/>
      <c r="AF906"/>
      <c r="AG906"/>
      <c r="AH906"/>
      <c r="AO906" s="2"/>
      <c r="AP906" s="3"/>
      <c r="AQ906" s="3"/>
      <c r="AR906" s="3"/>
      <c r="AS906" s="3"/>
    </row>
    <row r="907" spans="1:45" ht="15">
      <c r="A907"/>
      <c r="J907"/>
      <c r="AA907"/>
      <c r="AB907"/>
      <c r="AC907"/>
      <c r="AD907"/>
      <c r="AE907"/>
      <c r="AF907"/>
      <c r="AG907"/>
      <c r="AH907"/>
      <c r="AO907" s="2"/>
      <c r="AP907" s="3"/>
      <c r="AQ907" s="3"/>
      <c r="AR907" s="3"/>
      <c r="AS907" s="3"/>
    </row>
    <row r="908" spans="1:45" ht="15">
      <c r="A908"/>
      <c r="J908"/>
      <c r="AA908"/>
      <c r="AB908"/>
      <c r="AC908"/>
      <c r="AD908"/>
      <c r="AE908"/>
      <c r="AF908"/>
      <c r="AG908"/>
      <c r="AH908"/>
      <c r="AO908" s="2"/>
      <c r="AP908" s="3"/>
      <c r="AQ908" s="3"/>
      <c r="AR908" s="3"/>
      <c r="AS908" s="3"/>
    </row>
    <row r="909" spans="1:45" ht="15">
      <c r="A909"/>
      <c r="J909"/>
      <c r="AA909"/>
      <c r="AB909"/>
      <c r="AC909"/>
      <c r="AD909"/>
      <c r="AE909"/>
      <c r="AF909"/>
      <c r="AG909"/>
      <c r="AH909"/>
      <c r="AO909" s="2"/>
      <c r="AP909" s="3"/>
      <c r="AQ909" s="3"/>
      <c r="AR909" s="3"/>
      <c r="AS909" s="3"/>
    </row>
    <row r="910" spans="1:45" ht="15">
      <c r="A910"/>
      <c r="J910"/>
      <c r="AA910"/>
      <c r="AB910"/>
      <c r="AC910"/>
      <c r="AD910"/>
      <c r="AE910"/>
      <c r="AF910"/>
      <c r="AG910"/>
      <c r="AH910"/>
      <c r="AO910" s="2"/>
      <c r="AP910" s="3"/>
      <c r="AQ910" s="3"/>
      <c r="AR910" s="3"/>
      <c r="AS910" s="3"/>
    </row>
    <row r="911" spans="1:45" ht="15">
      <c r="A911"/>
      <c r="J911"/>
      <c r="AA911"/>
      <c r="AB911"/>
      <c r="AC911"/>
      <c r="AD911"/>
      <c r="AE911"/>
      <c r="AF911"/>
      <c r="AG911"/>
      <c r="AH911"/>
      <c r="AO911" s="2"/>
      <c r="AP911" s="3"/>
      <c r="AQ911" s="3"/>
      <c r="AR911" s="3"/>
      <c r="AS911" s="3"/>
    </row>
    <row r="912" spans="1:45" ht="15">
      <c r="A912"/>
      <c r="J912"/>
      <c r="AA912"/>
      <c r="AB912"/>
      <c r="AC912"/>
      <c r="AD912"/>
      <c r="AE912"/>
      <c r="AF912"/>
      <c r="AG912"/>
      <c r="AH912"/>
      <c r="AO912" s="2"/>
      <c r="AP912" s="3"/>
      <c r="AQ912" s="3"/>
      <c r="AR912" s="3"/>
      <c r="AS912" s="3"/>
    </row>
    <row r="913" spans="1:45" ht="15">
      <c r="A913"/>
      <c r="J913"/>
      <c r="AA913"/>
      <c r="AB913"/>
      <c r="AC913"/>
      <c r="AD913"/>
      <c r="AE913"/>
      <c r="AF913"/>
      <c r="AG913"/>
      <c r="AH913"/>
      <c r="AO913" s="2"/>
      <c r="AP913" s="3"/>
      <c r="AQ913" s="3"/>
      <c r="AR913" s="3"/>
      <c r="AS913" s="3"/>
    </row>
    <row r="914" spans="1:45" ht="15">
      <c r="A914"/>
      <c r="J914"/>
      <c r="AA914"/>
      <c r="AB914"/>
      <c r="AC914"/>
      <c r="AD914"/>
      <c r="AE914"/>
      <c r="AF914"/>
      <c r="AG914"/>
      <c r="AH914"/>
      <c r="AO914" s="2"/>
      <c r="AP914" s="3"/>
      <c r="AQ914" s="3"/>
      <c r="AR914" s="3"/>
      <c r="AS914" s="3"/>
    </row>
    <row r="915" spans="1:45" ht="15">
      <c r="A915"/>
      <c r="J915"/>
      <c r="AA915"/>
      <c r="AB915"/>
      <c r="AC915"/>
      <c r="AD915"/>
      <c r="AE915"/>
      <c r="AF915"/>
      <c r="AG915"/>
      <c r="AH915"/>
      <c r="AO915" s="2"/>
      <c r="AP915" s="3"/>
      <c r="AQ915" s="3"/>
      <c r="AR915" s="3"/>
      <c r="AS915" s="3"/>
    </row>
    <row r="916" spans="1:45" ht="15">
      <c r="A916"/>
      <c r="J916"/>
      <c r="AA916"/>
      <c r="AB916"/>
      <c r="AC916"/>
      <c r="AD916"/>
      <c r="AE916"/>
      <c r="AF916"/>
      <c r="AG916"/>
      <c r="AH916"/>
      <c r="AO916" s="2"/>
      <c r="AP916" s="3"/>
      <c r="AQ916" s="3"/>
      <c r="AR916" s="3"/>
      <c r="AS916" s="3"/>
    </row>
    <row r="917" spans="1:45" ht="15">
      <c r="A917"/>
      <c r="J917"/>
      <c r="AA917"/>
      <c r="AB917"/>
      <c r="AC917"/>
      <c r="AD917"/>
      <c r="AE917"/>
      <c r="AF917"/>
      <c r="AG917"/>
      <c r="AH917"/>
      <c r="AO917" s="2"/>
      <c r="AP917" s="3"/>
      <c r="AQ917" s="3"/>
      <c r="AR917" s="3"/>
      <c r="AS917" s="3"/>
    </row>
    <row r="918" spans="1:45" ht="15">
      <c r="A918"/>
      <c r="J918"/>
      <c r="AA918"/>
      <c r="AB918"/>
      <c r="AC918"/>
      <c r="AD918"/>
      <c r="AE918"/>
      <c r="AF918"/>
      <c r="AG918"/>
      <c r="AH918"/>
      <c r="AO918" s="2"/>
      <c r="AP918" s="3"/>
      <c r="AQ918" s="3"/>
      <c r="AR918" s="3"/>
      <c r="AS918" s="3"/>
    </row>
    <row r="919" spans="1:45" ht="15">
      <c r="A919"/>
      <c r="J919"/>
      <c r="AA919"/>
      <c r="AB919"/>
      <c r="AC919"/>
      <c r="AD919"/>
      <c r="AE919"/>
      <c r="AF919"/>
      <c r="AG919"/>
      <c r="AH919"/>
      <c r="AO919" s="2"/>
      <c r="AP919" s="3"/>
      <c r="AQ919" s="3"/>
      <c r="AR919" s="3"/>
      <c r="AS919" s="3"/>
    </row>
    <row r="920" spans="1:45" ht="15">
      <c r="A920"/>
      <c r="J920"/>
      <c r="AA920"/>
      <c r="AB920"/>
      <c r="AC920"/>
      <c r="AD920"/>
      <c r="AE920"/>
      <c r="AF920"/>
      <c r="AG920"/>
      <c r="AH920"/>
      <c r="AO920" s="2"/>
      <c r="AP920" s="3"/>
      <c r="AQ920" s="3"/>
      <c r="AR920" s="3"/>
      <c r="AS920" s="3"/>
    </row>
    <row r="921" spans="1:45" ht="15">
      <c r="A921"/>
      <c r="J921"/>
      <c r="AA921"/>
      <c r="AB921"/>
      <c r="AC921"/>
      <c r="AD921"/>
      <c r="AE921"/>
      <c r="AF921"/>
      <c r="AG921"/>
      <c r="AH921"/>
      <c r="AO921" s="2"/>
      <c r="AP921" s="3"/>
      <c r="AQ921" s="3"/>
      <c r="AR921" s="3"/>
      <c r="AS921" s="3"/>
    </row>
    <row r="922" spans="1:45" ht="15">
      <c r="A922"/>
      <c r="J922"/>
      <c r="AA922"/>
      <c r="AB922"/>
      <c r="AC922"/>
      <c r="AD922"/>
      <c r="AE922"/>
      <c r="AF922"/>
      <c r="AG922"/>
      <c r="AH922"/>
      <c r="AO922" s="2"/>
      <c r="AP922" s="3"/>
      <c r="AQ922" s="3"/>
      <c r="AR922" s="3"/>
      <c r="AS922" s="3"/>
    </row>
    <row r="923" spans="1:45" ht="15">
      <c r="A923"/>
      <c r="J923"/>
      <c r="AA923"/>
      <c r="AB923"/>
      <c r="AC923"/>
      <c r="AD923"/>
      <c r="AE923"/>
      <c r="AF923"/>
      <c r="AG923"/>
      <c r="AH923"/>
      <c r="AO923" s="2"/>
      <c r="AP923" s="3"/>
      <c r="AQ923" s="3"/>
      <c r="AR923" s="3"/>
      <c r="AS923" s="3"/>
    </row>
    <row r="924" spans="1:45" ht="15">
      <c r="A924"/>
      <c r="J924"/>
      <c r="AA924"/>
      <c r="AB924"/>
      <c r="AC924"/>
      <c r="AD924"/>
      <c r="AE924"/>
      <c r="AF924"/>
      <c r="AG924"/>
      <c r="AH924"/>
      <c r="AO924" s="2"/>
      <c r="AP924" s="3"/>
      <c r="AQ924" s="3"/>
      <c r="AR924" s="3"/>
      <c r="AS924" s="3"/>
    </row>
    <row r="925" spans="1:45" ht="15">
      <c r="A925"/>
      <c r="J925"/>
      <c r="AA925"/>
      <c r="AB925"/>
      <c r="AC925"/>
      <c r="AD925"/>
      <c r="AE925"/>
      <c r="AF925"/>
      <c r="AG925"/>
      <c r="AH925"/>
      <c r="AO925" s="2"/>
      <c r="AP925" s="3"/>
      <c r="AQ925" s="3"/>
      <c r="AR925" s="3"/>
      <c r="AS925" s="3"/>
    </row>
    <row r="926" spans="1:45" ht="15">
      <c r="A926"/>
      <c r="J926"/>
      <c r="AA926"/>
      <c r="AB926"/>
      <c r="AC926"/>
      <c r="AD926"/>
      <c r="AE926"/>
      <c r="AF926"/>
      <c r="AG926"/>
      <c r="AH926"/>
      <c r="AO926" s="2"/>
      <c r="AP926" s="3"/>
      <c r="AQ926" s="3"/>
      <c r="AR926" s="3"/>
      <c r="AS926" s="3"/>
    </row>
    <row r="927" spans="1:45" ht="15">
      <c r="A927"/>
      <c r="J927"/>
      <c r="AA927"/>
      <c r="AB927"/>
      <c r="AC927"/>
      <c r="AD927"/>
      <c r="AE927"/>
      <c r="AF927"/>
      <c r="AG927"/>
      <c r="AH927"/>
      <c r="AO927" s="2"/>
      <c r="AP927" s="3"/>
      <c r="AQ927" s="3"/>
      <c r="AR927" s="3"/>
      <c r="AS927" s="3"/>
    </row>
    <row r="928" spans="1:45" ht="15">
      <c r="A928"/>
      <c r="J928"/>
      <c r="AA928"/>
      <c r="AB928"/>
      <c r="AC928"/>
      <c r="AD928"/>
      <c r="AE928"/>
      <c r="AF928"/>
      <c r="AG928"/>
      <c r="AH928"/>
      <c r="AO928" s="2"/>
      <c r="AP928" s="3"/>
      <c r="AQ928" s="3"/>
      <c r="AR928" s="3"/>
      <c r="AS928" s="3"/>
    </row>
    <row r="929" spans="1:45" ht="15">
      <c r="A929"/>
      <c r="J929"/>
      <c r="AA929"/>
      <c r="AB929"/>
      <c r="AC929"/>
      <c r="AD929"/>
      <c r="AE929"/>
      <c r="AF929"/>
      <c r="AG929"/>
      <c r="AH929"/>
      <c r="AO929" s="2"/>
      <c r="AP929" s="3"/>
      <c r="AQ929" s="3"/>
      <c r="AR929" s="3"/>
      <c r="AS929" s="3"/>
    </row>
    <row r="930" spans="1:45" ht="15">
      <c r="A930"/>
      <c r="J930"/>
      <c r="AA930"/>
      <c r="AB930"/>
      <c r="AC930"/>
      <c r="AD930"/>
      <c r="AE930"/>
      <c r="AF930"/>
      <c r="AG930"/>
      <c r="AH930"/>
      <c r="AO930" s="2"/>
      <c r="AP930" s="3"/>
      <c r="AQ930" s="3"/>
      <c r="AR930" s="3"/>
      <c r="AS930" s="3"/>
    </row>
    <row r="931" spans="1:45" ht="15">
      <c r="A931"/>
      <c r="J931"/>
      <c r="AA931"/>
      <c r="AB931"/>
      <c r="AC931"/>
      <c r="AD931"/>
      <c r="AE931"/>
      <c r="AF931"/>
      <c r="AG931"/>
      <c r="AH931"/>
      <c r="AO931" s="2"/>
      <c r="AP931" s="3"/>
      <c r="AQ931" s="3"/>
      <c r="AR931" s="3"/>
      <c r="AS931" s="3"/>
    </row>
    <row r="932" spans="1:45" ht="15">
      <c r="A932"/>
      <c r="J932"/>
      <c r="AA932"/>
      <c r="AB932"/>
      <c r="AC932"/>
      <c r="AD932"/>
      <c r="AE932"/>
      <c r="AF932"/>
      <c r="AG932"/>
      <c r="AH932"/>
      <c r="AO932" s="2"/>
      <c r="AP932" s="3"/>
      <c r="AQ932" s="3"/>
      <c r="AR932" s="3"/>
      <c r="AS932" s="3"/>
    </row>
    <row r="933" spans="1:45" ht="15">
      <c r="A933"/>
      <c r="J933"/>
      <c r="AA933"/>
      <c r="AB933"/>
      <c r="AC933"/>
      <c r="AD933"/>
      <c r="AE933"/>
      <c r="AF933"/>
      <c r="AG933"/>
      <c r="AH933"/>
      <c r="AO933" s="2"/>
      <c r="AP933" s="3"/>
      <c r="AQ933" s="3"/>
      <c r="AR933" s="3"/>
      <c r="AS933" s="3"/>
    </row>
    <row r="934" spans="1:45" ht="15">
      <c r="A934"/>
      <c r="J934"/>
      <c r="AA934"/>
      <c r="AB934"/>
      <c r="AC934"/>
      <c r="AD934"/>
      <c r="AE934"/>
      <c r="AF934"/>
      <c r="AG934"/>
      <c r="AH934"/>
      <c r="AO934" s="2"/>
      <c r="AP934" s="3"/>
      <c r="AQ934" s="3"/>
      <c r="AR934" s="3"/>
      <c r="AS934" s="3"/>
    </row>
    <row r="935" spans="1:45" ht="15">
      <c r="A935"/>
      <c r="J935"/>
      <c r="AA935"/>
      <c r="AB935"/>
      <c r="AC935"/>
      <c r="AD935"/>
      <c r="AE935"/>
      <c r="AF935"/>
      <c r="AG935"/>
      <c r="AH935"/>
      <c r="AO935" s="2"/>
      <c r="AP935" s="3"/>
      <c r="AQ935" s="3"/>
      <c r="AR935" s="3"/>
      <c r="AS935" s="3"/>
    </row>
    <row r="936" spans="1:45" ht="15">
      <c r="A936"/>
      <c r="J936"/>
      <c r="AA936"/>
      <c r="AB936"/>
      <c r="AC936"/>
      <c r="AD936"/>
      <c r="AE936"/>
      <c r="AF936"/>
      <c r="AG936"/>
      <c r="AH936"/>
      <c r="AO936" s="2"/>
      <c r="AP936" s="3"/>
      <c r="AQ936" s="3"/>
      <c r="AR936" s="3"/>
      <c r="AS936" s="3"/>
    </row>
    <row r="937" spans="1:45" ht="15">
      <c r="A937"/>
      <c r="J937"/>
      <c r="AA937"/>
      <c r="AB937"/>
      <c r="AC937"/>
      <c r="AD937"/>
      <c r="AE937"/>
      <c r="AF937"/>
      <c r="AG937"/>
      <c r="AH937"/>
      <c r="AO937" s="2"/>
      <c r="AP937" s="3"/>
      <c r="AQ937" s="3"/>
      <c r="AR937" s="3"/>
      <c r="AS937" s="3"/>
    </row>
    <row r="938" spans="1:45" ht="15">
      <c r="A938"/>
      <c r="J938"/>
      <c r="AA938"/>
      <c r="AB938"/>
      <c r="AC938"/>
      <c r="AD938"/>
      <c r="AE938"/>
      <c r="AF938"/>
      <c r="AG938"/>
      <c r="AH938"/>
      <c r="AO938" s="2"/>
      <c r="AP938" s="3"/>
      <c r="AQ938" s="3"/>
      <c r="AR938" s="3"/>
      <c r="AS938" s="3"/>
    </row>
    <row r="939" spans="1:45" ht="15">
      <c r="A939"/>
      <c r="J939"/>
      <c r="AA939"/>
      <c r="AB939"/>
      <c r="AC939"/>
      <c r="AD939"/>
      <c r="AE939"/>
      <c r="AF939"/>
      <c r="AG939"/>
      <c r="AH939"/>
      <c r="AO939" s="2"/>
      <c r="AP939" s="3"/>
      <c r="AQ939" s="3"/>
      <c r="AR939" s="3"/>
      <c r="AS939" s="3"/>
    </row>
    <row r="940" spans="1:45" ht="15">
      <c r="A940"/>
      <c r="J940"/>
      <c r="AA940"/>
      <c r="AB940"/>
      <c r="AC940"/>
      <c r="AD940"/>
      <c r="AE940"/>
      <c r="AF940"/>
      <c r="AG940"/>
      <c r="AH940"/>
      <c r="AO940" s="2"/>
      <c r="AP940" s="3"/>
      <c r="AQ940" s="3"/>
      <c r="AR940" s="3"/>
      <c r="AS940" s="3"/>
    </row>
    <row r="941" spans="1:45" ht="15">
      <c r="A941"/>
      <c r="J941"/>
      <c r="AA941"/>
      <c r="AB941"/>
      <c r="AC941"/>
      <c r="AD941"/>
      <c r="AE941"/>
      <c r="AF941"/>
      <c r="AG941"/>
      <c r="AH941"/>
      <c r="AO941" s="2"/>
      <c r="AP941" s="3"/>
      <c r="AQ941" s="3"/>
      <c r="AR941" s="3"/>
      <c r="AS941" s="3"/>
    </row>
    <row r="942" spans="1:45" ht="15">
      <c r="A942"/>
      <c r="J942"/>
      <c r="AA942"/>
      <c r="AB942"/>
      <c r="AC942"/>
      <c r="AD942"/>
      <c r="AE942"/>
      <c r="AF942"/>
      <c r="AG942"/>
      <c r="AH942"/>
      <c r="AO942" s="2"/>
      <c r="AP942" s="3"/>
      <c r="AQ942" s="3"/>
      <c r="AR942" s="3"/>
      <c r="AS942" s="3"/>
    </row>
    <row r="943" spans="1:45" ht="15">
      <c r="A943"/>
      <c r="J943"/>
      <c r="AA943"/>
      <c r="AB943"/>
      <c r="AC943"/>
      <c r="AD943"/>
      <c r="AE943"/>
      <c r="AF943"/>
      <c r="AG943"/>
      <c r="AH943"/>
      <c r="AO943" s="2"/>
      <c r="AP943" s="3"/>
      <c r="AQ943" s="3"/>
      <c r="AR943" s="3"/>
      <c r="AS943" s="3"/>
    </row>
    <row r="944" spans="1:45" ht="15">
      <c r="A944"/>
      <c r="J944"/>
      <c r="AA944"/>
      <c r="AB944"/>
      <c r="AC944"/>
      <c r="AD944"/>
      <c r="AE944"/>
      <c r="AF944"/>
      <c r="AG944"/>
      <c r="AH944"/>
      <c r="AO944" s="2"/>
      <c r="AP944" s="3"/>
      <c r="AQ944" s="3"/>
      <c r="AR944" s="3"/>
      <c r="AS944" s="3"/>
    </row>
    <row r="945" spans="1:45" ht="15">
      <c r="A945"/>
      <c r="J945"/>
      <c r="AA945"/>
      <c r="AB945"/>
      <c r="AC945"/>
      <c r="AD945"/>
      <c r="AE945"/>
      <c r="AF945"/>
      <c r="AG945"/>
      <c r="AH945"/>
      <c r="AO945" s="2"/>
      <c r="AP945" s="3"/>
      <c r="AQ945" s="3"/>
      <c r="AR945" s="3"/>
      <c r="AS945" s="3"/>
    </row>
    <row r="946" spans="1:45" ht="15">
      <c r="A946"/>
      <c r="J946"/>
      <c r="AA946"/>
      <c r="AB946"/>
      <c r="AC946"/>
      <c r="AD946"/>
      <c r="AE946"/>
      <c r="AF946"/>
      <c r="AG946"/>
      <c r="AH946"/>
      <c r="AO946" s="2"/>
      <c r="AP946" s="3"/>
      <c r="AQ946" s="3"/>
      <c r="AR946" s="3"/>
      <c r="AS946" s="3"/>
    </row>
    <row r="947" spans="1:45" ht="15">
      <c r="A947"/>
      <c r="J947"/>
      <c r="AA947"/>
      <c r="AB947"/>
      <c r="AC947"/>
      <c r="AD947"/>
      <c r="AE947"/>
      <c r="AF947"/>
      <c r="AG947"/>
      <c r="AH947"/>
      <c r="AO947" s="2"/>
      <c r="AP947" s="3"/>
      <c r="AQ947" s="3"/>
      <c r="AR947" s="3"/>
      <c r="AS947" s="3"/>
    </row>
    <row r="948" spans="1:45" ht="15">
      <c r="A948"/>
      <c r="J948"/>
      <c r="AA948"/>
      <c r="AB948"/>
      <c r="AC948"/>
      <c r="AD948"/>
      <c r="AE948"/>
      <c r="AF948"/>
      <c r="AG948"/>
      <c r="AH948"/>
      <c r="AO948" s="2"/>
      <c r="AP948" s="3"/>
      <c r="AQ948" s="3"/>
      <c r="AR948" s="3"/>
      <c r="AS948" s="3"/>
    </row>
    <row r="949" spans="1:45" ht="15">
      <c r="A949"/>
      <c r="J949"/>
      <c r="AA949"/>
      <c r="AB949"/>
      <c r="AC949"/>
      <c r="AD949"/>
      <c r="AE949"/>
      <c r="AF949"/>
      <c r="AG949"/>
      <c r="AH949"/>
      <c r="AO949" s="2"/>
      <c r="AP949" s="3"/>
      <c r="AQ949" s="3"/>
      <c r="AR949" s="3"/>
      <c r="AS949" s="3"/>
    </row>
    <row r="950" spans="1:45" ht="15">
      <c r="A950"/>
      <c r="J950"/>
      <c r="AA950"/>
      <c r="AB950"/>
      <c r="AC950"/>
      <c r="AD950"/>
      <c r="AE950"/>
      <c r="AF950"/>
      <c r="AG950"/>
      <c r="AH950"/>
      <c r="AO950" s="2"/>
      <c r="AP950" s="3"/>
      <c r="AQ950" s="3"/>
      <c r="AR950" s="3"/>
      <c r="AS950" s="3"/>
    </row>
    <row r="951" spans="1:45" ht="15">
      <c r="A951"/>
      <c r="J951"/>
      <c r="AA951"/>
      <c r="AB951"/>
      <c r="AC951"/>
      <c r="AD951"/>
      <c r="AE951"/>
      <c r="AF951"/>
      <c r="AG951"/>
      <c r="AH951"/>
      <c r="AO951" s="2"/>
      <c r="AP951" s="3"/>
      <c r="AQ951" s="3"/>
      <c r="AR951" s="3"/>
      <c r="AS951" s="3"/>
    </row>
    <row r="952" spans="1:45" ht="15">
      <c r="A952"/>
      <c r="J952"/>
      <c r="AA952"/>
      <c r="AB952"/>
      <c r="AC952"/>
      <c r="AD952"/>
      <c r="AE952"/>
      <c r="AF952"/>
      <c r="AG952"/>
      <c r="AH952"/>
      <c r="AO952" s="2"/>
      <c r="AP952" s="3"/>
      <c r="AQ952" s="3"/>
      <c r="AR952" s="3"/>
      <c r="AS952" s="3"/>
    </row>
    <row r="953" spans="1:45" ht="15">
      <c r="A953"/>
      <c r="J953"/>
      <c r="AA953"/>
      <c r="AB953"/>
      <c r="AC953"/>
      <c r="AD953"/>
      <c r="AE953"/>
      <c r="AF953"/>
      <c r="AG953"/>
      <c r="AH953"/>
      <c r="AO953" s="2"/>
      <c r="AP953" s="3"/>
      <c r="AQ953" s="3"/>
      <c r="AR953" s="3"/>
      <c r="AS953" s="3"/>
    </row>
    <row r="954" spans="1:45" ht="15">
      <c r="A954"/>
      <c r="J954"/>
      <c r="AA954"/>
      <c r="AB954"/>
      <c r="AC954"/>
      <c r="AD954"/>
      <c r="AE954"/>
      <c r="AF954"/>
      <c r="AG954"/>
      <c r="AH954"/>
      <c r="AO954" s="2"/>
      <c r="AP954" s="3"/>
      <c r="AQ954" s="3"/>
      <c r="AR954" s="3"/>
      <c r="AS954" s="3"/>
    </row>
    <row r="955" spans="1:45" ht="15">
      <c r="A955"/>
      <c r="J955"/>
      <c r="AA955"/>
      <c r="AB955"/>
      <c r="AC955"/>
      <c r="AD955"/>
      <c r="AE955"/>
      <c r="AF955"/>
      <c r="AG955"/>
      <c r="AH955"/>
      <c r="AO955" s="2"/>
      <c r="AP955" s="3"/>
      <c r="AQ955" s="3"/>
      <c r="AR955" s="3"/>
      <c r="AS955" s="3"/>
    </row>
    <row r="956" spans="1:45" ht="15">
      <c r="A956"/>
      <c r="J956"/>
      <c r="AA956"/>
      <c r="AB956"/>
      <c r="AC956"/>
      <c r="AD956"/>
      <c r="AE956"/>
      <c r="AF956"/>
      <c r="AG956"/>
      <c r="AH956"/>
      <c r="AO956" s="2"/>
      <c r="AP956" s="3"/>
      <c r="AQ956" s="3"/>
      <c r="AR956" s="3"/>
      <c r="AS956" s="3"/>
    </row>
    <row r="957" spans="1:45" ht="15">
      <c r="A957"/>
      <c r="J957"/>
      <c r="AA957"/>
      <c r="AB957"/>
      <c r="AC957"/>
      <c r="AD957"/>
      <c r="AE957"/>
      <c r="AF957"/>
      <c r="AG957"/>
      <c r="AH957"/>
      <c r="AO957" s="2"/>
      <c r="AP957" s="3"/>
      <c r="AQ957" s="3"/>
      <c r="AR957" s="3"/>
      <c r="AS957" s="3"/>
    </row>
    <row r="958" spans="1:45" ht="15">
      <c r="A958"/>
      <c r="J958"/>
      <c r="AA958"/>
      <c r="AB958"/>
      <c r="AC958"/>
      <c r="AD958"/>
      <c r="AE958"/>
      <c r="AF958"/>
      <c r="AG958"/>
      <c r="AH958"/>
      <c r="AO958" s="2"/>
      <c r="AP958" s="3"/>
      <c r="AQ958" s="3"/>
      <c r="AR958" s="3"/>
      <c r="AS958" s="3"/>
    </row>
    <row r="959" spans="1:45" ht="15">
      <c r="A959"/>
      <c r="J959"/>
      <c r="AA959"/>
      <c r="AB959"/>
      <c r="AC959"/>
      <c r="AD959"/>
      <c r="AE959"/>
      <c r="AF959"/>
      <c r="AG959"/>
      <c r="AH959"/>
      <c r="AO959" s="2"/>
      <c r="AP959" s="3"/>
      <c r="AQ959" s="3"/>
      <c r="AR959" s="3"/>
      <c r="AS959" s="3"/>
    </row>
    <row r="960" spans="1:45" ht="15">
      <c r="A960"/>
      <c r="J960"/>
      <c r="AA960"/>
      <c r="AB960"/>
      <c r="AC960"/>
      <c r="AD960"/>
      <c r="AE960"/>
      <c r="AF960"/>
      <c r="AG960"/>
      <c r="AH960"/>
      <c r="AO960" s="2"/>
      <c r="AP960" s="3"/>
      <c r="AQ960" s="3"/>
      <c r="AR960" s="3"/>
      <c r="AS960" s="3"/>
    </row>
    <row r="961" spans="1:45" ht="15">
      <c r="A961"/>
      <c r="J961"/>
      <c r="AA961"/>
      <c r="AB961"/>
      <c r="AC961"/>
      <c r="AD961"/>
      <c r="AE961"/>
      <c r="AF961"/>
      <c r="AG961"/>
      <c r="AH961"/>
      <c r="AO961" s="2"/>
      <c r="AP961" s="3"/>
      <c r="AQ961" s="3"/>
      <c r="AR961" s="3"/>
      <c r="AS961" s="3"/>
    </row>
    <row r="962" spans="1:45" ht="15">
      <c r="A962"/>
      <c r="J962"/>
      <c r="AA962"/>
      <c r="AB962"/>
      <c r="AC962"/>
      <c r="AD962"/>
      <c r="AE962"/>
      <c r="AF962"/>
      <c r="AG962"/>
      <c r="AH962"/>
      <c r="AO962" s="2"/>
      <c r="AP962" s="3"/>
      <c r="AQ962" s="3"/>
      <c r="AR962" s="3"/>
      <c r="AS962" s="3"/>
    </row>
    <row r="963" spans="1:45" ht="15">
      <c r="A963"/>
      <c r="J963"/>
      <c r="AA963"/>
      <c r="AB963"/>
      <c r="AC963"/>
      <c r="AD963"/>
      <c r="AE963"/>
      <c r="AF963"/>
      <c r="AG963"/>
      <c r="AH963"/>
      <c r="AO963" s="2"/>
      <c r="AP963" s="3"/>
      <c r="AQ963" s="3"/>
      <c r="AR963" s="3"/>
      <c r="AS963" s="3"/>
    </row>
    <row r="964" spans="1:45" ht="15">
      <c r="A964"/>
      <c r="J964"/>
      <c r="AA964"/>
      <c r="AB964"/>
      <c r="AC964"/>
      <c r="AD964"/>
      <c r="AE964"/>
      <c r="AF964"/>
      <c r="AG964"/>
      <c r="AH964"/>
      <c r="AO964" s="2"/>
      <c r="AP964" s="3"/>
      <c r="AQ964" s="3"/>
      <c r="AR964" s="3"/>
      <c r="AS964" s="3"/>
    </row>
    <row r="965" spans="1:45" ht="15">
      <c r="A965"/>
      <c r="J965"/>
      <c r="AA965"/>
      <c r="AB965"/>
      <c r="AC965"/>
      <c r="AD965"/>
      <c r="AE965"/>
      <c r="AF965"/>
      <c r="AG965"/>
      <c r="AH965"/>
      <c r="AO965" s="2"/>
      <c r="AP965" s="3"/>
      <c r="AQ965" s="3"/>
      <c r="AR965" s="3"/>
      <c r="AS965" s="3"/>
    </row>
    <row r="966" spans="1:45" ht="15">
      <c r="A966"/>
      <c r="J966"/>
      <c r="AA966"/>
      <c r="AB966"/>
      <c r="AC966"/>
      <c r="AD966"/>
      <c r="AE966"/>
      <c r="AF966"/>
      <c r="AG966"/>
      <c r="AH966"/>
      <c r="AO966" s="2"/>
      <c r="AP966" s="3"/>
      <c r="AQ966" s="3"/>
      <c r="AR966" s="3"/>
      <c r="AS966" s="3"/>
    </row>
    <row r="967" spans="1:45" ht="15">
      <c r="A967"/>
      <c r="J967"/>
      <c r="AA967"/>
      <c r="AB967"/>
      <c r="AC967"/>
      <c r="AD967"/>
      <c r="AE967"/>
      <c r="AF967"/>
      <c r="AG967"/>
      <c r="AH967"/>
      <c r="AO967" s="2"/>
      <c r="AP967" s="3"/>
      <c r="AQ967" s="3"/>
      <c r="AR967" s="3"/>
      <c r="AS967" s="3"/>
    </row>
    <row r="968" spans="1:45" ht="15">
      <c r="A968"/>
      <c r="J968"/>
      <c r="AA968"/>
      <c r="AB968"/>
      <c r="AC968"/>
      <c r="AD968"/>
      <c r="AE968"/>
      <c r="AF968"/>
      <c r="AG968"/>
      <c r="AH968"/>
      <c r="AO968" s="2"/>
      <c r="AP968" s="3"/>
      <c r="AQ968" s="3"/>
      <c r="AR968" s="3"/>
      <c r="AS968" s="3"/>
    </row>
    <row r="969" spans="1:45" ht="15">
      <c r="A969"/>
      <c r="J969"/>
      <c r="AA969"/>
      <c r="AB969"/>
      <c r="AC969"/>
      <c r="AD969"/>
      <c r="AE969"/>
      <c r="AF969"/>
      <c r="AG969"/>
      <c r="AH969"/>
      <c r="AO969" s="2"/>
      <c r="AP969" s="3"/>
      <c r="AQ969" s="3"/>
      <c r="AR969" s="3"/>
      <c r="AS969" s="3"/>
    </row>
    <row r="970" spans="1:45" ht="15">
      <c r="A970"/>
      <c r="J970"/>
      <c r="AA970"/>
      <c r="AB970"/>
      <c r="AC970"/>
      <c r="AD970"/>
      <c r="AE970"/>
      <c r="AF970"/>
      <c r="AG970"/>
      <c r="AH970"/>
      <c r="AO970" s="2"/>
      <c r="AP970" s="3"/>
      <c r="AQ970" s="3"/>
      <c r="AR970" s="3"/>
      <c r="AS970" s="3"/>
    </row>
    <row r="971" spans="1:45" ht="15">
      <c r="A971"/>
      <c r="J971"/>
      <c r="AA971"/>
      <c r="AB971"/>
      <c r="AC971"/>
      <c r="AD971"/>
      <c r="AE971"/>
      <c r="AF971"/>
      <c r="AG971"/>
      <c r="AH971"/>
      <c r="AO971" s="2"/>
      <c r="AP971" s="3"/>
      <c r="AQ971" s="3"/>
      <c r="AR971" s="3"/>
      <c r="AS971" s="3"/>
    </row>
    <row r="972" spans="1:45" ht="15">
      <c r="A972"/>
      <c r="J972"/>
      <c r="AA972"/>
      <c r="AB972"/>
      <c r="AC972"/>
      <c r="AD972"/>
      <c r="AE972"/>
      <c r="AF972"/>
      <c r="AG972"/>
      <c r="AH972"/>
      <c r="AO972" s="2"/>
      <c r="AP972" s="3"/>
      <c r="AQ972" s="3"/>
      <c r="AR972" s="3"/>
      <c r="AS972" s="3"/>
    </row>
    <row r="973" spans="1:45" ht="15">
      <c r="A973"/>
      <c r="J973"/>
      <c r="AA973"/>
      <c r="AB973"/>
      <c r="AC973"/>
      <c r="AD973"/>
      <c r="AE973"/>
      <c r="AF973"/>
      <c r="AG973"/>
      <c r="AH973"/>
      <c r="AO973" s="2"/>
      <c r="AP973" s="3"/>
      <c r="AQ973" s="3"/>
      <c r="AR973" s="3"/>
      <c r="AS973" s="3"/>
    </row>
    <row r="974" spans="1:45" ht="15">
      <c r="A974"/>
      <c r="J974"/>
      <c r="AA974"/>
      <c r="AB974"/>
      <c r="AC974"/>
      <c r="AD974"/>
      <c r="AE974"/>
      <c r="AF974"/>
      <c r="AG974"/>
      <c r="AH974"/>
      <c r="AO974" s="2"/>
      <c r="AP974" s="3"/>
      <c r="AQ974" s="3"/>
      <c r="AR974" s="3"/>
      <c r="AS974" s="3"/>
    </row>
    <row r="975" spans="1:45" ht="15">
      <c r="A975"/>
      <c r="J975"/>
      <c r="AA975"/>
      <c r="AB975"/>
      <c r="AC975"/>
      <c r="AD975"/>
      <c r="AE975"/>
      <c r="AF975"/>
      <c r="AG975"/>
      <c r="AH975"/>
      <c r="AO975" s="2"/>
      <c r="AP975" s="3"/>
      <c r="AQ975" s="3"/>
      <c r="AR975" s="3"/>
      <c r="AS975" s="3"/>
    </row>
    <row r="976" spans="1:45" ht="15">
      <c r="A976"/>
      <c r="J976"/>
      <c r="AA976"/>
      <c r="AB976"/>
      <c r="AC976"/>
      <c r="AD976"/>
      <c r="AE976"/>
      <c r="AF976"/>
      <c r="AG976"/>
      <c r="AH976"/>
      <c r="AO976" s="2"/>
      <c r="AP976" s="3"/>
      <c r="AQ976" s="3"/>
      <c r="AR976" s="3"/>
      <c r="AS976" s="3"/>
    </row>
    <row r="977" spans="1:45" ht="15">
      <c r="A977"/>
      <c r="J977"/>
      <c r="AA977"/>
      <c r="AB977"/>
      <c r="AC977"/>
      <c r="AD977"/>
      <c r="AE977"/>
      <c r="AF977"/>
      <c r="AG977"/>
      <c r="AH977"/>
      <c r="AO977" s="2"/>
      <c r="AP977" s="3"/>
      <c r="AQ977" s="3"/>
      <c r="AR977" s="3"/>
      <c r="AS977" s="3"/>
    </row>
    <row r="978" spans="1:45" ht="15">
      <c r="A978"/>
      <c r="J978"/>
      <c r="AA978"/>
      <c r="AB978"/>
      <c r="AC978"/>
      <c r="AD978"/>
      <c r="AE978"/>
      <c r="AF978"/>
      <c r="AG978"/>
      <c r="AH978"/>
      <c r="AO978" s="2"/>
      <c r="AP978" s="3"/>
      <c r="AQ978" s="3"/>
      <c r="AR978" s="3"/>
      <c r="AS978" s="3"/>
    </row>
    <row r="979" spans="1:45" ht="15">
      <c r="A979"/>
      <c r="J979"/>
      <c r="AA979"/>
      <c r="AB979"/>
      <c r="AC979"/>
      <c r="AD979"/>
      <c r="AE979"/>
      <c r="AF979"/>
      <c r="AG979"/>
      <c r="AH979"/>
      <c r="AO979" s="2"/>
      <c r="AP979" s="3"/>
      <c r="AQ979" s="3"/>
      <c r="AR979" s="3"/>
      <c r="AS979" s="3"/>
    </row>
    <row r="980" spans="1:45" ht="15">
      <c r="A980"/>
      <c r="J980"/>
      <c r="AA980"/>
      <c r="AB980"/>
      <c r="AC980"/>
      <c r="AD980"/>
      <c r="AE980"/>
      <c r="AF980"/>
      <c r="AG980"/>
      <c r="AH980"/>
      <c r="AO980" s="2"/>
      <c r="AP980" s="3"/>
      <c r="AQ980" s="3"/>
      <c r="AR980" s="3"/>
      <c r="AS980" s="3"/>
    </row>
    <row r="981" spans="1:45" ht="15">
      <c r="A981"/>
      <c r="J981"/>
      <c r="AA981"/>
      <c r="AB981"/>
      <c r="AC981"/>
      <c r="AD981"/>
      <c r="AE981"/>
      <c r="AF981"/>
      <c r="AG981"/>
      <c r="AH981"/>
      <c r="AO981" s="2"/>
      <c r="AP981" s="3"/>
      <c r="AQ981" s="3"/>
      <c r="AR981" s="3"/>
      <c r="AS981" s="3"/>
    </row>
    <row r="982" spans="1:45" ht="15">
      <c r="A982"/>
      <c r="J982"/>
      <c r="AA982"/>
      <c r="AB982"/>
      <c r="AC982"/>
      <c r="AD982"/>
      <c r="AE982"/>
      <c r="AF982"/>
      <c r="AG982"/>
      <c r="AH982"/>
      <c r="AO982" s="2"/>
      <c r="AP982" s="3"/>
      <c r="AQ982" s="3"/>
      <c r="AR982" s="3"/>
      <c r="AS982" s="3"/>
    </row>
    <row r="983" spans="1:45" ht="15">
      <c r="A983"/>
      <c r="J983"/>
      <c r="AA983"/>
      <c r="AB983"/>
      <c r="AC983"/>
      <c r="AD983"/>
      <c r="AE983"/>
      <c r="AF983"/>
      <c r="AG983"/>
      <c r="AH983"/>
      <c r="AO983" s="2"/>
      <c r="AP983" s="3"/>
      <c r="AQ983" s="3"/>
      <c r="AR983" s="3"/>
      <c r="AS983" s="3"/>
    </row>
    <row r="984" spans="1:45" ht="15">
      <c r="A984"/>
      <c r="J984"/>
      <c r="AA984"/>
      <c r="AB984"/>
      <c r="AC984"/>
      <c r="AD984"/>
      <c r="AE984"/>
      <c r="AF984"/>
      <c r="AG984"/>
      <c r="AH984"/>
      <c r="AO984" s="2"/>
      <c r="AP984" s="3"/>
      <c r="AQ984" s="3"/>
      <c r="AR984" s="3"/>
      <c r="AS984" s="3"/>
    </row>
    <row r="985" spans="1:45" ht="15">
      <c r="A985"/>
      <c r="J985"/>
      <c r="AA985"/>
      <c r="AB985"/>
      <c r="AC985"/>
      <c r="AD985"/>
      <c r="AE985"/>
      <c r="AF985"/>
      <c r="AG985"/>
      <c r="AH985"/>
      <c r="AO985" s="2"/>
      <c r="AP985" s="3"/>
      <c r="AQ985" s="3"/>
      <c r="AR985" s="3"/>
      <c r="AS985" s="3"/>
    </row>
    <row r="986" spans="1:45" ht="15">
      <c r="A986"/>
      <c r="J986"/>
      <c r="AA986"/>
      <c r="AB986"/>
      <c r="AC986"/>
      <c r="AD986"/>
      <c r="AE986"/>
      <c r="AF986"/>
      <c r="AG986"/>
      <c r="AH986"/>
      <c r="AO986" s="2"/>
      <c r="AP986" s="3"/>
      <c r="AQ986" s="3"/>
      <c r="AR986" s="3"/>
      <c r="AS986" s="3"/>
    </row>
    <row r="987" spans="1:45" ht="15">
      <c r="A987"/>
      <c r="J987"/>
      <c r="AA987"/>
      <c r="AB987"/>
      <c r="AC987"/>
      <c r="AD987"/>
      <c r="AE987"/>
      <c r="AF987"/>
      <c r="AG987"/>
      <c r="AH987"/>
      <c r="AO987" s="2"/>
      <c r="AP987" s="3"/>
      <c r="AQ987" s="3"/>
      <c r="AR987" s="3"/>
      <c r="AS987" s="3"/>
    </row>
    <row r="988" spans="1:45" ht="15">
      <c r="A988"/>
      <c r="J988"/>
      <c r="AA988"/>
      <c r="AB988"/>
      <c r="AC988"/>
      <c r="AD988"/>
      <c r="AE988"/>
      <c r="AF988"/>
      <c r="AG988"/>
      <c r="AH988"/>
      <c r="AO988" s="2"/>
      <c r="AP988" s="3"/>
      <c r="AQ988" s="3"/>
      <c r="AR988" s="3"/>
      <c r="AS988" s="3"/>
    </row>
    <row r="989" spans="1:45" ht="15">
      <c r="A989"/>
      <c r="J989"/>
      <c r="AA989"/>
      <c r="AB989"/>
      <c r="AC989"/>
      <c r="AD989"/>
      <c r="AE989"/>
      <c r="AF989"/>
      <c r="AG989"/>
      <c r="AH989"/>
      <c r="AO989" s="2"/>
      <c r="AP989" s="3"/>
      <c r="AQ989" s="3"/>
      <c r="AR989" s="3"/>
      <c r="AS989" s="3"/>
    </row>
    <row r="990" spans="1:45" ht="15">
      <c r="A990"/>
      <c r="J990"/>
      <c r="AA990"/>
      <c r="AB990"/>
      <c r="AC990"/>
      <c r="AD990"/>
      <c r="AE990"/>
      <c r="AF990"/>
      <c r="AG990"/>
      <c r="AH990"/>
      <c r="AO990" s="2"/>
      <c r="AP990" s="3"/>
      <c r="AQ990" s="3"/>
      <c r="AR990" s="3"/>
      <c r="AS990" s="3"/>
    </row>
    <row r="991" spans="1:45" ht="15">
      <c r="A991"/>
      <c r="J991"/>
      <c r="AA991"/>
      <c r="AB991"/>
      <c r="AC991"/>
      <c r="AD991"/>
      <c r="AE991"/>
      <c r="AF991"/>
      <c r="AG991"/>
      <c r="AH991"/>
      <c r="AO991" s="2"/>
      <c r="AP991" s="3"/>
      <c r="AQ991" s="3"/>
      <c r="AR991" s="3"/>
      <c r="AS991" s="3"/>
    </row>
    <row r="992" spans="1:45" ht="15">
      <c r="A992"/>
      <c r="J992"/>
      <c r="AA992"/>
      <c r="AB992"/>
      <c r="AC992"/>
      <c r="AD992"/>
      <c r="AE992"/>
      <c r="AF992"/>
      <c r="AG992"/>
      <c r="AH992"/>
      <c r="AO992" s="2"/>
      <c r="AP992" s="3"/>
      <c r="AQ992" s="3"/>
      <c r="AR992" s="3"/>
      <c r="AS992" s="3"/>
    </row>
    <row r="993" spans="1:45" ht="15">
      <c r="A993"/>
      <c r="J993"/>
      <c r="AA993"/>
      <c r="AB993"/>
      <c r="AC993"/>
      <c r="AD993"/>
      <c r="AE993"/>
      <c r="AF993"/>
      <c r="AG993"/>
      <c r="AH993"/>
      <c r="AO993" s="2"/>
      <c r="AP993" s="3"/>
      <c r="AQ993" s="3"/>
      <c r="AR993" s="3"/>
      <c r="AS993" s="3"/>
    </row>
    <row r="994" spans="1:45" ht="15">
      <c r="A994"/>
      <c r="J994"/>
      <c r="AA994"/>
      <c r="AB994"/>
      <c r="AC994"/>
      <c r="AD994"/>
      <c r="AE994"/>
      <c r="AF994"/>
      <c r="AG994"/>
      <c r="AH994"/>
      <c r="AO994" s="2"/>
      <c r="AP994" s="3"/>
      <c r="AQ994" s="3"/>
      <c r="AR994" s="3"/>
      <c r="AS994" s="3"/>
    </row>
    <row r="995" spans="1:45" ht="15">
      <c r="A995"/>
      <c r="J995"/>
      <c r="AA995"/>
      <c r="AB995"/>
      <c r="AC995"/>
      <c r="AD995"/>
      <c r="AE995"/>
      <c r="AF995"/>
      <c r="AG995"/>
      <c r="AH995"/>
      <c r="AO995" s="2"/>
      <c r="AP995" s="3"/>
      <c r="AQ995" s="3"/>
      <c r="AR995" s="3"/>
      <c r="AS995" s="3"/>
    </row>
    <row r="996" spans="1:45" ht="15">
      <c r="A996"/>
      <c r="J996"/>
      <c r="AA996"/>
      <c r="AB996"/>
      <c r="AC996"/>
      <c r="AD996"/>
      <c r="AE996"/>
      <c r="AF996"/>
      <c r="AG996"/>
      <c r="AH996"/>
      <c r="AO996" s="2"/>
      <c r="AP996" s="3"/>
      <c r="AQ996" s="3"/>
      <c r="AR996" s="3"/>
      <c r="AS996" s="3"/>
    </row>
    <row r="997" spans="1:45" ht="15">
      <c r="A997"/>
      <c r="J997"/>
      <c r="AA997"/>
      <c r="AB997"/>
      <c r="AC997"/>
      <c r="AD997"/>
      <c r="AE997"/>
      <c r="AF997"/>
      <c r="AG997"/>
      <c r="AH997"/>
      <c r="AO997" s="2"/>
      <c r="AP997" s="3"/>
      <c r="AQ997" s="3"/>
      <c r="AR997" s="3"/>
      <c r="AS997" s="3"/>
    </row>
    <row r="998" spans="1:45" ht="15">
      <c r="A998"/>
      <c r="J998"/>
      <c r="AA998"/>
      <c r="AB998"/>
      <c r="AC998"/>
      <c r="AD998"/>
      <c r="AE998"/>
      <c r="AF998"/>
      <c r="AG998"/>
      <c r="AH998"/>
      <c r="AO998" s="2"/>
      <c r="AP998" s="3"/>
      <c r="AQ998" s="3"/>
      <c r="AR998" s="3"/>
      <c r="AS998" s="3"/>
    </row>
    <row r="999" spans="1:45" ht="15">
      <c r="A999"/>
      <c r="J999"/>
      <c r="AA999"/>
      <c r="AB999"/>
      <c r="AC999"/>
      <c r="AD999"/>
      <c r="AE999"/>
      <c r="AF999"/>
      <c r="AG999"/>
      <c r="AH999"/>
      <c r="AO999" s="2"/>
      <c r="AP999" s="3"/>
      <c r="AQ999" s="3"/>
      <c r="AR999" s="3"/>
      <c r="AS999" s="3"/>
    </row>
    <row r="1000" spans="1:45" ht="15">
      <c r="A1000"/>
      <c r="J1000"/>
      <c r="AA1000"/>
      <c r="AB1000"/>
      <c r="AC1000"/>
      <c r="AD1000"/>
      <c r="AE1000"/>
      <c r="AF1000"/>
      <c r="AG1000"/>
      <c r="AH1000"/>
      <c r="AO1000" s="2"/>
      <c r="AP1000" s="3"/>
      <c r="AQ1000" s="3"/>
      <c r="AR1000" s="3"/>
      <c r="AS1000" s="3"/>
    </row>
    <row r="1001" spans="1:45" ht="15">
      <c r="A1001"/>
      <c r="J1001"/>
      <c r="AA1001"/>
      <c r="AB1001"/>
      <c r="AC1001"/>
      <c r="AD1001"/>
      <c r="AE1001"/>
      <c r="AF1001"/>
      <c r="AG1001"/>
      <c r="AH1001"/>
      <c r="AO1001" s="2"/>
      <c r="AP1001" s="3"/>
      <c r="AQ1001" s="3"/>
      <c r="AR1001" s="3"/>
      <c r="AS1001" s="3"/>
    </row>
    <row r="1002" spans="1:45" ht="15">
      <c r="A1002"/>
      <c r="J1002"/>
      <c r="AA1002"/>
      <c r="AB1002"/>
      <c r="AC1002"/>
      <c r="AD1002"/>
      <c r="AE1002"/>
      <c r="AF1002"/>
      <c r="AG1002"/>
      <c r="AH1002"/>
      <c r="AO1002" s="2"/>
      <c r="AP1002" s="3"/>
      <c r="AQ1002" s="3"/>
      <c r="AR1002" s="3"/>
      <c r="AS1002" s="3"/>
    </row>
    <row r="1003" spans="1:45" ht="15">
      <c r="A1003"/>
      <c r="J1003"/>
      <c r="AA1003"/>
      <c r="AB1003"/>
      <c r="AC1003"/>
      <c r="AD1003"/>
      <c r="AE1003"/>
      <c r="AF1003"/>
      <c r="AG1003"/>
      <c r="AH1003"/>
      <c r="AO1003" s="2"/>
      <c r="AP1003" s="3"/>
      <c r="AQ1003" s="3"/>
      <c r="AR1003" s="3"/>
      <c r="AS1003" s="3"/>
    </row>
    <row r="1004" spans="1:45" ht="15">
      <c r="A1004"/>
      <c r="J1004"/>
      <c r="AA1004"/>
      <c r="AB1004"/>
      <c r="AC1004"/>
      <c r="AD1004"/>
      <c r="AE1004"/>
      <c r="AF1004"/>
      <c r="AG1004"/>
      <c r="AH1004"/>
      <c r="AO1004" s="2"/>
      <c r="AP1004" s="3"/>
      <c r="AQ1004" s="3"/>
      <c r="AR1004" s="3"/>
      <c r="AS1004" s="3"/>
    </row>
    <row r="1005" spans="1:45" ht="15">
      <c r="A1005"/>
      <c r="J1005"/>
      <c r="AA1005"/>
      <c r="AB1005"/>
      <c r="AC1005"/>
      <c r="AD1005"/>
      <c r="AE1005"/>
      <c r="AF1005"/>
      <c r="AG1005"/>
      <c r="AH1005"/>
      <c r="AO1005" s="2"/>
      <c r="AP1005" s="3"/>
      <c r="AQ1005" s="3"/>
      <c r="AR1005" s="3"/>
      <c r="AS1005" s="3"/>
    </row>
    <row r="1006" spans="1:45" ht="15">
      <c r="A1006"/>
      <c r="J1006"/>
      <c r="AA1006"/>
      <c r="AB1006"/>
      <c r="AC1006"/>
      <c r="AD1006"/>
      <c r="AE1006"/>
      <c r="AF1006"/>
      <c r="AG1006"/>
      <c r="AH1006"/>
      <c r="AO1006" s="2"/>
      <c r="AP1006" s="3"/>
      <c r="AQ1006" s="3"/>
      <c r="AR1006" s="3"/>
      <c r="AS1006" s="3"/>
    </row>
    <row r="1007" spans="1:45" ht="15">
      <c r="A1007"/>
      <c r="J1007"/>
      <c r="AA1007"/>
      <c r="AB1007"/>
      <c r="AC1007"/>
      <c r="AD1007"/>
      <c r="AE1007"/>
      <c r="AF1007"/>
      <c r="AG1007"/>
      <c r="AH1007"/>
      <c r="AO1007" s="2"/>
      <c r="AP1007" s="3"/>
      <c r="AQ1007" s="3"/>
      <c r="AR1007" s="3"/>
      <c r="AS1007" s="3"/>
    </row>
    <row r="1008" spans="1:45" ht="15">
      <c r="A1008"/>
      <c r="J1008"/>
      <c r="AA1008"/>
      <c r="AB1008"/>
      <c r="AC1008"/>
      <c r="AD1008"/>
      <c r="AE1008"/>
      <c r="AF1008"/>
      <c r="AG1008"/>
      <c r="AH1008"/>
      <c r="AO1008" s="2"/>
      <c r="AP1008" s="3"/>
      <c r="AQ1008" s="3"/>
      <c r="AR1008" s="3"/>
      <c r="AS1008" s="3"/>
    </row>
    <row r="1009" spans="1:45" ht="15">
      <c r="A1009"/>
      <c r="J1009"/>
      <c r="AA1009"/>
      <c r="AB1009"/>
      <c r="AC1009"/>
      <c r="AD1009"/>
      <c r="AE1009"/>
      <c r="AF1009"/>
      <c r="AG1009"/>
      <c r="AH1009"/>
      <c r="AO1009" s="2"/>
      <c r="AP1009" s="3"/>
      <c r="AQ1009" s="3"/>
      <c r="AR1009" s="3"/>
      <c r="AS1009" s="3"/>
    </row>
    <row r="1010" spans="1:45" ht="15">
      <c r="A1010"/>
      <c r="J1010"/>
      <c r="AA1010"/>
      <c r="AB1010"/>
      <c r="AC1010"/>
      <c r="AD1010"/>
      <c r="AE1010"/>
      <c r="AF1010"/>
      <c r="AG1010"/>
      <c r="AH1010"/>
      <c r="AO1010" s="2"/>
      <c r="AP1010" s="3"/>
      <c r="AQ1010" s="3"/>
      <c r="AR1010" s="3"/>
      <c r="AS1010" s="3"/>
    </row>
    <row r="1011" spans="1:45" ht="15">
      <c r="A1011"/>
      <c r="J1011"/>
      <c r="AA1011"/>
      <c r="AB1011"/>
      <c r="AC1011"/>
      <c r="AD1011"/>
      <c r="AE1011"/>
      <c r="AF1011"/>
      <c r="AG1011"/>
      <c r="AH1011"/>
      <c r="AO1011" s="2"/>
      <c r="AP1011" s="3"/>
      <c r="AQ1011" s="3"/>
      <c r="AR1011" s="3"/>
      <c r="AS1011" s="3"/>
    </row>
    <row r="1012" spans="1:45" ht="15">
      <c r="A1012"/>
      <c r="J1012"/>
      <c r="AA1012"/>
      <c r="AB1012"/>
      <c r="AC1012"/>
      <c r="AD1012"/>
      <c r="AE1012"/>
      <c r="AF1012"/>
      <c r="AG1012"/>
      <c r="AH1012"/>
      <c r="AO1012" s="2"/>
      <c r="AP1012" s="3"/>
      <c r="AQ1012" s="3"/>
      <c r="AR1012" s="3"/>
      <c r="AS1012" s="3"/>
    </row>
    <row r="1013" spans="1:45" ht="15">
      <c r="A1013"/>
      <c r="J1013"/>
      <c r="AA1013"/>
      <c r="AB1013"/>
      <c r="AC1013"/>
      <c r="AD1013"/>
      <c r="AE1013"/>
      <c r="AF1013"/>
      <c r="AG1013"/>
      <c r="AH1013"/>
      <c r="AO1013" s="2"/>
      <c r="AP1013" s="3"/>
      <c r="AQ1013" s="3"/>
      <c r="AR1013" s="3"/>
      <c r="AS1013" s="3"/>
    </row>
    <row r="1014" spans="1:45" ht="15">
      <c r="A1014"/>
      <c r="J1014"/>
      <c r="AA1014"/>
      <c r="AB1014"/>
      <c r="AC1014"/>
      <c r="AD1014"/>
      <c r="AE1014"/>
      <c r="AF1014"/>
      <c r="AG1014"/>
      <c r="AH1014"/>
      <c r="AO1014" s="2"/>
      <c r="AP1014" s="3"/>
      <c r="AQ1014" s="3"/>
      <c r="AR1014" s="3"/>
      <c r="AS1014" s="3"/>
    </row>
    <row r="1015" spans="1:45" ht="15">
      <c r="A1015"/>
      <c r="J1015"/>
      <c r="AA1015"/>
      <c r="AB1015"/>
      <c r="AC1015"/>
      <c r="AD1015"/>
      <c r="AE1015"/>
      <c r="AF1015"/>
      <c r="AG1015"/>
      <c r="AH1015"/>
      <c r="AO1015" s="2"/>
      <c r="AP1015" s="3"/>
      <c r="AQ1015" s="3"/>
      <c r="AR1015" s="3"/>
      <c r="AS1015" s="3"/>
    </row>
    <row r="1016" spans="1:45" ht="15">
      <c r="A1016"/>
      <c r="J1016"/>
      <c r="AA1016"/>
      <c r="AB1016"/>
      <c r="AC1016"/>
      <c r="AD1016"/>
      <c r="AE1016"/>
      <c r="AF1016"/>
      <c r="AG1016"/>
      <c r="AH1016"/>
      <c r="AO1016" s="2"/>
      <c r="AP1016" s="3"/>
      <c r="AQ1016" s="3"/>
      <c r="AR1016" s="3"/>
      <c r="AS1016" s="3"/>
    </row>
    <row r="1017" spans="1:45" ht="15">
      <c r="A1017"/>
      <c r="J1017"/>
      <c r="AA1017"/>
      <c r="AB1017"/>
      <c r="AC1017"/>
      <c r="AD1017"/>
      <c r="AE1017"/>
      <c r="AF1017"/>
      <c r="AG1017"/>
      <c r="AH1017"/>
      <c r="AO1017" s="2"/>
      <c r="AP1017" s="3"/>
      <c r="AQ1017" s="3"/>
      <c r="AR1017" s="3"/>
      <c r="AS1017" s="3"/>
    </row>
    <row r="1018" spans="1:45" ht="15">
      <c r="A1018"/>
      <c r="J1018"/>
      <c r="AA1018"/>
      <c r="AB1018"/>
      <c r="AC1018"/>
      <c r="AD1018"/>
      <c r="AE1018"/>
      <c r="AF1018"/>
      <c r="AG1018"/>
      <c r="AH1018"/>
      <c r="AO1018" s="2"/>
      <c r="AP1018" s="3"/>
      <c r="AQ1018" s="3"/>
      <c r="AR1018" s="3"/>
      <c r="AS1018" s="3"/>
    </row>
    <row r="1019" spans="1:45" ht="15">
      <c r="A1019"/>
      <c r="J1019"/>
      <c r="AA1019"/>
      <c r="AB1019"/>
      <c r="AC1019"/>
      <c r="AD1019"/>
      <c r="AE1019"/>
      <c r="AF1019"/>
      <c r="AG1019"/>
      <c r="AH1019"/>
      <c r="AO1019" s="2"/>
      <c r="AP1019" s="3"/>
      <c r="AQ1019" s="3"/>
      <c r="AR1019" s="3"/>
      <c r="AS1019" s="3"/>
    </row>
    <row r="1020" spans="1:45" ht="15">
      <c r="A1020"/>
      <c r="J1020"/>
      <c r="AA1020"/>
      <c r="AB1020"/>
      <c r="AC1020"/>
      <c r="AD1020"/>
      <c r="AE1020"/>
      <c r="AF1020"/>
      <c r="AG1020"/>
      <c r="AH1020"/>
      <c r="AO1020" s="2"/>
      <c r="AP1020" s="3"/>
      <c r="AQ1020" s="3"/>
      <c r="AR1020" s="3"/>
      <c r="AS1020" s="3"/>
    </row>
    <row r="1021" spans="1:45" ht="15">
      <c r="A1021"/>
      <c r="J1021"/>
      <c r="AA1021"/>
      <c r="AB1021"/>
      <c r="AC1021"/>
      <c r="AD1021"/>
      <c r="AE1021"/>
      <c r="AF1021"/>
      <c r="AG1021"/>
      <c r="AH1021"/>
      <c r="AO1021" s="2"/>
      <c r="AP1021" s="3"/>
      <c r="AQ1021" s="3"/>
      <c r="AR1021" s="3"/>
      <c r="AS1021" s="3"/>
    </row>
    <row r="1022" spans="1:45" ht="15">
      <c r="A1022"/>
      <c r="J1022"/>
      <c r="AA1022"/>
      <c r="AB1022"/>
      <c r="AC1022"/>
      <c r="AD1022"/>
      <c r="AE1022"/>
      <c r="AF1022"/>
      <c r="AG1022"/>
      <c r="AH1022"/>
      <c r="AO1022" s="2"/>
      <c r="AP1022" s="3"/>
      <c r="AQ1022" s="3"/>
      <c r="AR1022" s="3"/>
      <c r="AS1022" s="3"/>
    </row>
    <row r="1023" spans="1:45" ht="15">
      <c r="A1023"/>
      <c r="J1023"/>
      <c r="AA1023"/>
      <c r="AB1023"/>
      <c r="AC1023"/>
      <c r="AD1023"/>
      <c r="AE1023"/>
      <c r="AF1023"/>
      <c r="AG1023"/>
      <c r="AH1023"/>
      <c r="AO1023" s="2"/>
      <c r="AP1023" s="3"/>
      <c r="AQ1023" s="3"/>
      <c r="AR1023" s="3"/>
      <c r="AS1023" s="3"/>
    </row>
    <row r="1024" spans="1:45" ht="15">
      <c r="A1024"/>
      <c r="J1024"/>
      <c r="AA1024"/>
      <c r="AB1024"/>
      <c r="AC1024"/>
      <c r="AD1024"/>
      <c r="AE1024"/>
      <c r="AF1024"/>
      <c r="AG1024"/>
      <c r="AH1024"/>
      <c r="AO1024" s="2"/>
      <c r="AP1024" s="3"/>
      <c r="AQ1024" s="3"/>
      <c r="AR1024" s="3"/>
      <c r="AS1024" s="3"/>
    </row>
    <row r="1025" spans="1:45" ht="15">
      <c r="A1025"/>
      <c r="J1025"/>
      <c r="AA1025"/>
      <c r="AB1025"/>
      <c r="AC1025"/>
      <c r="AD1025"/>
      <c r="AE1025"/>
      <c r="AF1025"/>
      <c r="AG1025"/>
      <c r="AH1025"/>
      <c r="AO1025" s="2"/>
      <c r="AP1025" s="3"/>
      <c r="AQ1025" s="3"/>
      <c r="AR1025" s="3"/>
      <c r="AS1025" s="3"/>
    </row>
    <row r="1026" spans="1:45" ht="15">
      <c r="A1026"/>
      <c r="J1026"/>
      <c r="AA1026"/>
      <c r="AB1026"/>
      <c r="AC1026"/>
      <c r="AD1026"/>
      <c r="AE1026"/>
      <c r="AF1026"/>
      <c r="AG1026"/>
      <c r="AH1026"/>
      <c r="AO1026" s="2"/>
      <c r="AP1026" s="3"/>
      <c r="AQ1026" s="3"/>
      <c r="AR1026" s="3"/>
      <c r="AS1026" s="3"/>
    </row>
    <row r="1027" spans="1:45" ht="15">
      <c r="A1027"/>
      <c r="J1027"/>
      <c r="AA1027"/>
      <c r="AB1027"/>
      <c r="AC1027"/>
      <c r="AD1027"/>
      <c r="AE1027"/>
      <c r="AF1027"/>
      <c r="AG1027"/>
      <c r="AH1027"/>
      <c r="AO1027" s="2"/>
      <c r="AP1027" s="3"/>
      <c r="AQ1027" s="3"/>
      <c r="AR1027" s="3"/>
      <c r="AS1027" s="3"/>
    </row>
    <row r="1028" spans="1:45" ht="15">
      <c r="A1028"/>
      <c r="J1028"/>
      <c r="AA1028"/>
      <c r="AB1028"/>
      <c r="AC1028"/>
      <c r="AD1028"/>
      <c r="AE1028"/>
      <c r="AF1028"/>
      <c r="AG1028"/>
      <c r="AH1028"/>
      <c r="AO1028" s="2"/>
      <c r="AP1028" s="3"/>
      <c r="AQ1028" s="3"/>
      <c r="AR1028" s="3"/>
      <c r="AS1028" s="3"/>
    </row>
    <row r="1029" spans="1:45" ht="15">
      <c r="A1029"/>
      <c r="J1029"/>
      <c r="AA1029"/>
      <c r="AB1029"/>
      <c r="AC1029"/>
      <c r="AD1029"/>
      <c r="AE1029"/>
      <c r="AF1029"/>
      <c r="AG1029"/>
      <c r="AH1029"/>
      <c r="AO1029" s="2"/>
      <c r="AP1029" s="3"/>
      <c r="AQ1029" s="3"/>
      <c r="AR1029" s="3"/>
      <c r="AS1029" s="3"/>
    </row>
    <row r="1030" spans="1:45" ht="15">
      <c r="A1030"/>
      <c r="J1030"/>
      <c r="AA1030"/>
      <c r="AB1030"/>
      <c r="AC1030"/>
      <c r="AD1030"/>
      <c r="AE1030"/>
      <c r="AF1030"/>
      <c r="AG1030"/>
      <c r="AH1030"/>
      <c r="AO1030" s="2"/>
      <c r="AP1030" s="3"/>
      <c r="AQ1030" s="3"/>
      <c r="AR1030" s="3"/>
      <c r="AS1030" s="3"/>
    </row>
    <row r="1031" spans="1:45" ht="15">
      <c r="A1031"/>
      <c r="J1031"/>
      <c r="AA1031"/>
      <c r="AB1031"/>
      <c r="AC1031"/>
      <c r="AD1031"/>
      <c r="AE1031"/>
      <c r="AF1031"/>
      <c r="AG1031"/>
      <c r="AH1031"/>
      <c r="AO1031" s="2"/>
      <c r="AP1031" s="3"/>
      <c r="AQ1031" s="3"/>
      <c r="AR1031" s="3"/>
      <c r="AS1031" s="3"/>
    </row>
    <row r="1032" spans="1:45" ht="15">
      <c r="A1032"/>
      <c r="J1032"/>
      <c r="AA1032"/>
      <c r="AB1032"/>
      <c r="AC1032"/>
      <c r="AD1032"/>
      <c r="AE1032"/>
      <c r="AF1032"/>
      <c r="AG1032"/>
      <c r="AH1032"/>
      <c r="AO1032" s="2"/>
      <c r="AP1032" s="3"/>
      <c r="AQ1032" s="3"/>
      <c r="AR1032" s="3"/>
      <c r="AS1032" s="3"/>
    </row>
    <row r="1033" spans="1:45" ht="15">
      <c r="A1033"/>
      <c r="J1033"/>
      <c r="AA1033"/>
      <c r="AB1033"/>
      <c r="AC1033"/>
      <c r="AD1033"/>
      <c r="AE1033"/>
      <c r="AF1033"/>
      <c r="AG1033"/>
      <c r="AH1033"/>
      <c r="AO1033" s="2"/>
      <c r="AP1033" s="3"/>
      <c r="AQ1033" s="3"/>
      <c r="AR1033" s="3"/>
      <c r="AS1033" s="3"/>
    </row>
    <row r="1034" spans="1:45" ht="15">
      <c r="A1034"/>
      <c r="J1034"/>
      <c r="AA1034"/>
      <c r="AB1034"/>
      <c r="AC1034"/>
      <c r="AD1034"/>
      <c r="AE1034"/>
      <c r="AF1034"/>
      <c r="AG1034"/>
      <c r="AH1034"/>
      <c r="AO1034" s="2"/>
      <c r="AP1034" s="3"/>
      <c r="AQ1034" s="3"/>
      <c r="AR1034" s="3"/>
      <c r="AS1034" s="3"/>
    </row>
    <row r="1035" spans="1:45" ht="15">
      <c r="A1035"/>
      <c r="J1035"/>
      <c r="AA1035"/>
      <c r="AB1035"/>
      <c r="AC1035"/>
      <c r="AD1035"/>
      <c r="AE1035"/>
      <c r="AF1035"/>
      <c r="AG1035"/>
      <c r="AH1035"/>
      <c r="AO1035" s="2"/>
      <c r="AP1035" s="3"/>
      <c r="AQ1035" s="3"/>
      <c r="AR1035" s="3"/>
      <c r="AS1035" s="3"/>
    </row>
    <row r="1036" spans="1:45" ht="15">
      <c r="A1036"/>
      <c r="J1036"/>
      <c r="AA1036"/>
      <c r="AB1036"/>
      <c r="AC1036"/>
      <c r="AD1036"/>
      <c r="AE1036"/>
      <c r="AF1036"/>
      <c r="AG1036"/>
      <c r="AH1036"/>
      <c r="AO1036" s="2"/>
      <c r="AP1036" s="3"/>
      <c r="AQ1036" s="3"/>
      <c r="AR1036" s="3"/>
      <c r="AS1036" s="3"/>
    </row>
    <row r="1037" spans="1:45" ht="15">
      <c r="A1037"/>
      <c r="J1037"/>
      <c r="AA1037"/>
      <c r="AB1037"/>
      <c r="AC1037"/>
      <c r="AD1037"/>
      <c r="AE1037"/>
      <c r="AF1037"/>
      <c r="AG1037"/>
      <c r="AH1037"/>
      <c r="AO1037" s="2"/>
      <c r="AP1037" s="3"/>
      <c r="AQ1037" s="3"/>
      <c r="AR1037" s="3"/>
      <c r="AS1037" s="3"/>
    </row>
    <row r="1038" spans="1:45" ht="15">
      <c r="A1038"/>
      <c r="J1038"/>
      <c r="AA1038"/>
      <c r="AB1038"/>
      <c r="AC1038"/>
      <c r="AD1038"/>
      <c r="AE1038"/>
      <c r="AF1038"/>
      <c r="AG1038"/>
      <c r="AH1038"/>
      <c r="AO1038" s="2"/>
      <c r="AP1038" s="3"/>
      <c r="AQ1038" s="3"/>
      <c r="AR1038" s="3"/>
      <c r="AS1038" s="3"/>
    </row>
    <row r="1039" spans="1:45" ht="15">
      <c r="A1039"/>
      <c r="J1039"/>
      <c r="AA1039"/>
      <c r="AB1039"/>
      <c r="AC1039"/>
      <c r="AD1039"/>
      <c r="AE1039"/>
      <c r="AF1039"/>
      <c r="AG1039"/>
      <c r="AH1039"/>
      <c r="AO1039" s="2"/>
      <c r="AP1039" s="3"/>
      <c r="AQ1039" s="3"/>
      <c r="AR1039" s="3"/>
      <c r="AS1039" s="3"/>
    </row>
    <row r="1040" spans="1:45" ht="15">
      <c r="A1040"/>
      <c r="J1040"/>
      <c r="AA1040"/>
      <c r="AB1040"/>
      <c r="AC1040"/>
      <c r="AD1040"/>
      <c r="AE1040"/>
      <c r="AF1040"/>
      <c r="AG1040"/>
      <c r="AH1040"/>
      <c r="AO1040" s="2"/>
      <c r="AP1040" s="3"/>
      <c r="AQ1040" s="3"/>
      <c r="AR1040" s="3"/>
      <c r="AS1040" s="3"/>
    </row>
    <row r="1041" spans="1:45" ht="15">
      <c r="A1041"/>
      <c r="J1041"/>
      <c r="AA1041"/>
      <c r="AB1041"/>
      <c r="AC1041"/>
      <c r="AD1041"/>
      <c r="AE1041"/>
      <c r="AF1041"/>
      <c r="AG1041"/>
      <c r="AH1041"/>
      <c r="AO1041" s="2"/>
      <c r="AP1041" s="3"/>
      <c r="AQ1041" s="3"/>
      <c r="AR1041" s="3"/>
      <c r="AS1041" s="3"/>
    </row>
    <row r="1042" spans="1:45" ht="15">
      <c r="A1042"/>
      <c r="J1042"/>
      <c r="AA1042"/>
      <c r="AB1042"/>
      <c r="AC1042"/>
      <c r="AD1042"/>
      <c r="AE1042"/>
      <c r="AF1042"/>
      <c r="AG1042"/>
      <c r="AH1042"/>
      <c r="AO1042" s="2"/>
      <c r="AP1042" s="3"/>
      <c r="AQ1042" s="3"/>
      <c r="AR1042" s="3"/>
      <c r="AS1042" s="3"/>
    </row>
    <row r="1043" spans="1:45" ht="15">
      <c r="A1043"/>
      <c r="J1043"/>
      <c r="AA1043"/>
      <c r="AB1043"/>
      <c r="AC1043"/>
      <c r="AD1043"/>
      <c r="AE1043"/>
      <c r="AF1043"/>
      <c r="AG1043"/>
      <c r="AH1043"/>
      <c r="AO1043" s="2"/>
      <c r="AP1043" s="3"/>
      <c r="AQ1043" s="3"/>
      <c r="AR1043" s="3"/>
      <c r="AS1043" s="3"/>
    </row>
    <row r="1044" spans="1:45" ht="15">
      <c r="A1044"/>
      <c r="J1044"/>
      <c r="AA1044"/>
      <c r="AB1044"/>
      <c r="AC1044"/>
      <c r="AD1044"/>
      <c r="AE1044"/>
      <c r="AF1044"/>
      <c r="AG1044"/>
      <c r="AH1044"/>
      <c r="AO1044" s="2"/>
      <c r="AP1044" s="3"/>
      <c r="AQ1044" s="3"/>
      <c r="AR1044" s="3"/>
      <c r="AS1044" s="3"/>
    </row>
    <row r="1045" spans="1:45" ht="15">
      <c r="A1045"/>
      <c r="J1045"/>
      <c r="AA1045"/>
      <c r="AB1045"/>
      <c r="AC1045"/>
      <c r="AD1045"/>
      <c r="AE1045"/>
      <c r="AF1045"/>
      <c r="AG1045"/>
      <c r="AH1045"/>
      <c r="AO1045" s="2"/>
      <c r="AP1045" s="3"/>
      <c r="AQ1045" s="3"/>
      <c r="AR1045" s="3"/>
      <c r="AS1045" s="3"/>
    </row>
    <row r="1046" spans="1:45" ht="15">
      <c r="A1046"/>
      <c r="J1046"/>
      <c r="AA1046"/>
      <c r="AB1046"/>
      <c r="AC1046"/>
      <c r="AD1046"/>
      <c r="AE1046"/>
      <c r="AF1046"/>
      <c r="AG1046"/>
      <c r="AH1046"/>
      <c r="AO1046" s="2"/>
      <c r="AP1046" s="3"/>
      <c r="AQ1046" s="3"/>
      <c r="AR1046" s="3"/>
      <c r="AS1046" s="3"/>
    </row>
    <row r="1047" spans="1:45" ht="15">
      <c r="A1047"/>
      <c r="J1047"/>
      <c r="AA1047"/>
      <c r="AB1047"/>
      <c r="AC1047"/>
      <c r="AD1047"/>
      <c r="AE1047"/>
      <c r="AF1047"/>
      <c r="AG1047"/>
      <c r="AH1047"/>
      <c r="AO1047" s="2"/>
      <c r="AP1047" s="3"/>
      <c r="AQ1047" s="3"/>
      <c r="AR1047" s="3"/>
      <c r="AS1047" s="3"/>
    </row>
    <row r="1048" spans="1:45" ht="15">
      <c r="A1048"/>
      <c r="J1048"/>
      <c r="AA1048"/>
      <c r="AB1048"/>
      <c r="AC1048"/>
      <c r="AD1048"/>
      <c r="AE1048"/>
      <c r="AF1048"/>
      <c r="AG1048"/>
      <c r="AH1048"/>
      <c r="AO1048" s="2"/>
      <c r="AP1048" s="3"/>
      <c r="AQ1048" s="3"/>
      <c r="AR1048" s="3"/>
      <c r="AS1048" s="3"/>
    </row>
    <row r="1049" spans="1:45" ht="15">
      <c r="A1049"/>
      <c r="J1049"/>
      <c r="AA1049"/>
      <c r="AB1049"/>
      <c r="AC1049"/>
      <c r="AD1049"/>
      <c r="AE1049"/>
      <c r="AF1049"/>
      <c r="AG1049"/>
      <c r="AH1049"/>
      <c r="AO1049" s="2"/>
      <c r="AP1049" s="3"/>
      <c r="AQ1049" s="3"/>
      <c r="AR1049" s="3"/>
      <c r="AS1049" s="3"/>
    </row>
    <row r="1050" spans="1:45" ht="15">
      <c r="A1050"/>
      <c r="J1050"/>
      <c r="AA1050"/>
      <c r="AB1050"/>
      <c r="AC1050"/>
      <c r="AD1050"/>
      <c r="AE1050"/>
      <c r="AF1050"/>
      <c r="AG1050"/>
      <c r="AH1050"/>
      <c r="AO1050" s="2"/>
      <c r="AP1050" s="3"/>
      <c r="AQ1050" s="3"/>
      <c r="AR1050" s="3"/>
      <c r="AS1050" s="3"/>
    </row>
    <row r="1051" spans="1:45" ht="15">
      <c r="A1051"/>
      <c r="J1051"/>
      <c r="AA1051"/>
      <c r="AB1051"/>
      <c r="AC1051"/>
      <c r="AD1051"/>
      <c r="AE1051"/>
      <c r="AF1051"/>
      <c r="AG1051"/>
      <c r="AH1051"/>
      <c r="AO1051" s="2"/>
      <c r="AP1051" s="3"/>
      <c r="AQ1051" s="3"/>
      <c r="AR1051" s="3"/>
      <c r="AS1051" s="3"/>
    </row>
    <row r="1052" spans="1:45" ht="15">
      <c r="A1052"/>
      <c r="J1052"/>
      <c r="AA1052"/>
      <c r="AB1052"/>
      <c r="AC1052"/>
      <c r="AD1052"/>
      <c r="AE1052"/>
      <c r="AF1052"/>
      <c r="AG1052"/>
      <c r="AH1052"/>
      <c r="AO1052" s="2"/>
      <c r="AP1052" s="3"/>
      <c r="AQ1052" s="3"/>
      <c r="AR1052" s="3"/>
      <c r="AS1052" s="3"/>
    </row>
    <row r="1053" spans="1:45" ht="15">
      <c r="A1053"/>
      <c r="J1053"/>
      <c r="AA1053"/>
      <c r="AB1053"/>
      <c r="AC1053"/>
      <c r="AD1053"/>
      <c r="AE1053"/>
      <c r="AF1053"/>
      <c r="AG1053"/>
      <c r="AH1053"/>
      <c r="AO1053" s="2"/>
      <c r="AP1053" s="3"/>
      <c r="AQ1053" s="3"/>
      <c r="AR1053" s="3"/>
      <c r="AS1053" s="3"/>
    </row>
    <row r="1054" spans="1:45" ht="15">
      <c r="A1054"/>
      <c r="J1054"/>
      <c r="AA1054"/>
      <c r="AB1054"/>
      <c r="AC1054"/>
      <c r="AD1054"/>
      <c r="AE1054"/>
      <c r="AF1054"/>
      <c r="AG1054"/>
      <c r="AH1054"/>
      <c r="AO1054" s="2"/>
      <c r="AP1054" s="3"/>
      <c r="AQ1054" s="3"/>
      <c r="AR1054" s="3"/>
      <c r="AS1054" s="3"/>
    </row>
    <row r="1055" spans="1:45" ht="15">
      <c r="A1055"/>
      <c r="J1055"/>
      <c r="AA1055"/>
      <c r="AB1055"/>
      <c r="AC1055"/>
      <c r="AD1055"/>
      <c r="AE1055"/>
      <c r="AF1055"/>
      <c r="AG1055"/>
      <c r="AH1055"/>
      <c r="AO1055" s="2"/>
      <c r="AP1055" s="3"/>
      <c r="AQ1055" s="3"/>
      <c r="AR1055" s="3"/>
      <c r="AS1055" s="3"/>
    </row>
    <row r="1056" spans="1:45" ht="15">
      <c r="A1056"/>
      <c r="J1056"/>
      <c r="AA1056"/>
      <c r="AB1056"/>
      <c r="AC1056"/>
      <c r="AD1056"/>
      <c r="AE1056"/>
      <c r="AF1056"/>
      <c r="AG1056"/>
      <c r="AH1056"/>
      <c r="AO1056" s="2"/>
      <c r="AP1056" s="3"/>
      <c r="AQ1056" s="3"/>
      <c r="AR1056" s="3"/>
      <c r="AS1056" s="3"/>
    </row>
    <row r="1057" spans="1:45" ht="15">
      <c r="A1057"/>
      <c r="J1057"/>
      <c r="AA1057"/>
      <c r="AB1057"/>
      <c r="AC1057"/>
      <c r="AD1057"/>
      <c r="AE1057"/>
      <c r="AF1057"/>
      <c r="AG1057"/>
      <c r="AH1057"/>
      <c r="AO1057" s="2"/>
      <c r="AP1057" s="3"/>
      <c r="AQ1057" s="3"/>
      <c r="AR1057" s="3"/>
      <c r="AS1057" s="3"/>
    </row>
    <row r="1058" spans="1:45" ht="15">
      <c r="A1058"/>
      <c r="J1058"/>
      <c r="AA1058"/>
      <c r="AB1058"/>
      <c r="AC1058"/>
      <c r="AD1058"/>
      <c r="AE1058"/>
      <c r="AF1058"/>
      <c r="AG1058"/>
      <c r="AH1058"/>
      <c r="AO1058" s="2"/>
      <c r="AP1058" s="3"/>
      <c r="AQ1058" s="3"/>
      <c r="AR1058" s="3"/>
      <c r="AS1058" s="3"/>
    </row>
    <row r="1059" spans="1:45" ht="15">
      <c r="A1059"/>
      <c r="J1059"/>
      <c r="AA1059"/>
      <c r="AB1059"/>
      <c r="AC1059"/>
      <c r="AD1059"/>
      <c r="AE1059"/>
      <c r="AF1059"/>
      <c r="AG1059"/>
      <c r="AH1059"/>
      <c r="AO1059" s="2"/>
      <c r="AP1059" s="3"/>
      <c r="AQ1059" s="3"/>
      <c r="AR1059" s="3"/>
      <c r="AS1059" s="3"/>
    </row>
    <row r="1060" spans="1:45" ht="15">
      <c r="A1060"/>
      <c r="J1060"/>
      <c r="AA1060"/>
      <c r="AB1060"/>
      <c r="AC1060"/>
      <c r="AD1060"/>
      <c r="AE1060"/>
      <c r="AF1060"/>
      <c r="AG1060"/>
      <c r="AH1060"/>
      <c r="AO1060" s="2"/>
      <c r="AP1060" s="3"/>
      <c r="AQ1060" s="3"/>
      <c r="AR1060" s="3"/>
      <c r="AS1060" s="3"/>
    </row>
    <row r="1061" spans="1:45" ht="15">
      <c r="A1061"/>
      <c r="J1061"/>
      <c r="AA1061"/>
      <c r="AB1061"/>
      <c r="AC1061"/>
      <c r="AD1061"/>
      <c r="AE1061"/>
      <c r="AF1061"/>
      <c r="AG1061"/>
      <c r="AH1061"/>
      <c r="AO1061" s="2"/>
      <c r="AP1061" s="3"/>
      <c r="AQ1061" s="3"/>
      <c r="AR1061" s="3"/>
      <c r="AS1061" s="3"/>
    </row>
    <row r="1062" spans="1:45" ht="15">
      <c r="A1062"/>
      <c r="J1062"/>
      <c r="AA1062"/>
      <c r="AB1062"/>
      <c r="AC1062"/>
      <c r="AD1062"/>
      <c r="AE1062"/>
      <c r="AF1062"/>
      <c r="AG1062"/>
      <c r="AH1062"/>
      <c r="AO1062" s="2"/>
      <c r="AP1062" s="3"/>
      <c r="AQ1062" s="3"/>
      <c r="AR1062" s="3"/>
      <c r="AS1062" s="3"/>
    </row>
    <row r="1063" spans="1:45" ht="15">
      <c r="A1063"/>
      <c r="J1063"/>
      <c r="AA1063"/>
      <c r="AB1063"/>
      <c r="AC1063"/>
      <c r="AD1063"/>
      <c r="AE1063"/>
      <c r="AF1063"/>
      <c r="AG1063"/>
      <c r="AH1063"/>
      <c r="AO1063" s="2"/>
      <c r="AP1063" s="3"/>
      <c r="AQ1063" s="3"/>
      <c r="AR1063" s="3"/>
      <c r="AS1063" s="3"/>
    </row>
    <row r="1064" spans="1:45" ht="15">
      <c r="A1064"/>
      <c r="J1064"/>
      <c r="AA1064"/>
      <c r="AB1064"/>
      <c r="AC1064"/>
      <c r="AD1064"/>
      <c r="AE1064"/>
      <c r="AF1064"/>
      <c r="AG1064"/>
      <c r="AH1064"/>
      <c r="AO1064" s="2"/>
      <c r="AP1064" s="3"/>
      <c r="AQ1064" s="3"/>
      <c r="AR1064" s="3"/>
      <c r="AS1064" s="3"/>
    </row>
    <row r="1065" spans="1:45" ht="15">
      <c r="A1065"/>
      <c r="J1065"/>
      <c r="AA1065"/>
      <c r="AB1065"/>
      <c r="AC1065"/>
      <c r="AD1065"/>
      <c r="AE1065"/>
      <c r="AF1065"/>
      <c r="AG1065"/>
      <c r="AH1065"/>
      <c r="AO1065" s="2"/>
      <c r="AP1065" s="3"/>
      <c r="AQ1065" s="3"/>
      <c r="AR1065" s="3"/>
      <c r="AS1065" s="3"/>
    </row>
    <row r="1066" spans="1:45" ht="15">
      <c r="A1066"/>
      <c r="J1066"/>
      <c r="AA1066"/>
      <c r="AB1066"/>
      <c r="AC1066"/>
      <c r="AD1066"/>
      <c r="AE1066"/>
      <c r="AF1066"/>
      <c r="AG1066"/>
      <c r="AH1066"/>
      <c r="AO1066" s="2"/>
      <c r="AP1066" s="3"/>
      <c r="AQ1066" s="3"/>
      <c r="AR1066" s="3"/>
      <c r="AS1066" s="3"/>
    </row>
    <row r="1067" spans="1:45" ht="15">
      <c r="A1067"/>
      <c r="J1067"/>
      <c r="AA1067"/>
      <c r="AB1067"/>
      <c r="AC1067"/>
      <c r="AD1067"/>
      <c r="AE1067"/>
      <c r="AF1067"/>
      <c r="AG1067"/>
      <c r="AH1067"/>
      <c r="AO1067" s="2"/>
      <c r="AP1067" s="3"/>
      <c r="AQ1067" s="3"/>
      <c r="AR1067" s="3"/>
      <c r="AS1067" s="3"/>
    </row>
    <row r="1068" spans="1:45" ht="15">
      <c r="A1068"/>
      <c r="J1068"/>
      <c r="AA1068"/>
      <c r="AB1068"/>
      <c r="AC1068"/>
      <c r="AD1068"/>
      <c r="AE1068"/>
      <c r="AF1068"/>
      <c r="AG1068"/>
      <c r="AH1068"/>
      <c r="AO1068" s="2"/>
      <c r="AP1068" s="3"/>
      <c r="AQ1068" s="3"/>
      <c r="AR1068" s="3"/>
      <c r="AS1068" s="3"/>
    </row>
    <row r="1069" spans="1:45" ht="15">
      <c r="A1069"/>
      <c r="J1069"/>
      <c r="AA1069"/>
      <c r="AB1069"/>
      <c r="AC1069"/>
      <c r="AD1069"/>
      <c r="AE1069"/>
      <c r="AF1069"/>
      <c r="AG1069"/>
      <c r="AH1069"/>
      <c r="AO1069" s="2"/>
      <c r="AP1069" s="3"/>
      <c r="AQ1069" s="3"/>
      <c r="AR1069" s="3"/>
      <c r="AS1069" s="3"/>
    </row>
    <row r="1070" spans="1:45" ht="15">
      <c r="A1070"/>
      <c r="J1070"/>
      <c r="AA1070"/>
      <c r="AB1070"/>
      <c r="AC1070"/>
      <c r="AD1070"/>
      <c r="AE1070"/>
      <c r="AF1070"/>
      <c r="AG1070"/>
      <c r="AH1070"/>
      <c r="AO1070" s="2"/>
      <c r="AP1070" s="3"/>
      <c r="AQ1070" s="3"/>
      <c r="AR1070" s="3"/>
      <c r="AS1070" s="3"/>
    </row>
    <row r="1071" spans="1:45" ht="15">
      <c r="A1071"/>
      <c r="J1071"/>
      <c r="AA1071"/>
      <c r="AB1071"/>
      <c r="AC1071"/>
      <c r="AD1071"/>
      <c r="AE1071"/>
      <c r="AF1071"/>
      <c r="AG1071"/>
      <c r="AH1071"/>
      <c r="AO1071" s="2"/>
      <c r="AP1071" s="3"/>
      <c r="AQ1071" s="3"/>
      <c r="AR1071" s="3"/>
      <c r="AS1071" s="3"/>
    </row>
    <row r="1072" spans="1:45" ht="15">
      <c r="A1072"/>
      <c r="J1072"/>
      <c r="AA1072"/>
      <c r="AB1072"/>
      <c r="AC1072"/>
      <c r="AD1072"/>
      <c r="AE1072"/>
      <c r="AF1072"/>
      <c r="AG1072"/>
      <c r="AH1072"/>
      <c r="AO1072" s="2"/>
      <c r="AP1072" s="3"/>
      <c r="AQ1072" s="3"/>
      <c r="AR1072" s="3"/>
      <c r="AS1072" s="3"/>
    </row>
    <row r="1073" spans="1:45" ht="15">
      <c r="A1073"/>
      <c r="J1073"/>
      <c r="AA1073"/>
      <c r="AB1073"/>
      <c r="AC1073"/>
      <c r="AD1073"/>
      <c r="AE1073"/>
      <c r="AF1073"/>
      <c r="AG1073"/>
      <c r="AH1073"/>
      <c r="AO1073" s="2"/>
      <c r="AP1073" s="3"/>
      <c r="AQ1073" s="3"/>
      <c r="AR1073" s="3"/>
      <c r="AS1073" s="3"/>
    </row>
    <row r="1074" spans="1:45" ht="15">
      <c r="A1074"/>
      <c r="J1074"/>
      <c r="AA1074"/>
      <c r="AB1074"/>
      <c r="AC1074"/>
      <c r="AD1074"/>
      <c r="AE1074"/>
      <c r="AF1074"/>
      <c r="AG1074"/>
      <c r="AH1074"/>
      <c r="AO1074" s="2"/>
      <c r="AP1074" s="3"/>
      <c r="AQ1074" s="3"/>
      <c r="AR1074" s="3"/>
      <c r="AS1074" s="3"/>
    </row>
    <row r="1075" spans="1:45" ht="15">
      <c r="A1075"/>
      <c r="J1075"/>
      <c r="AA1075"/>
      <c r="AB1075"/>
      <c r="AC1075"/>
      <c r="AD1075"/>
      <c r="AE1075"/>
      <c r="AF1075"/>
      <c r="AG1075"/>
      <c r="AH1075"/>
      <c r="AO1075" s="2"/>
      <c r="AP1075" s="3"/>
      <c r="AQ1075" s="3"/>
      <c r="AR1075" s="3"/>
      <c r="AS1075" s="3"/>
    </row>
    <row r="1076" spans="1:45" ht="15">
      <c r="A1076"/>
      <c r="J1076"/>
      <c r="AA1076"/>
      <c r="AB1076"/>
      <c r="AC1076"/>
      <c r="AD1076"/>
      <c r="AE1076"/>
      <c r="AF1076"/>
      <c r="AG1076"/>
      <c r="AH1076"/>
      <c r="AO1076" s="2"/>
      <c r="AP1076" s="3"/>
      <c r="AQ1076" s="3"/>
      <c r="AR1076" s="3"/>
      <c r="AS1076" s="3"/>
    </row>
    <row r="1077" spans="1:45" ht="15">
      <c r="A1077"/>
      <c r="J1077"/>
      <c r="AA1077"/>
      <c r="AB1077"/>
      <c r="AC1077"/>
      <c r="AD1077"/>
      <c r="AE1077"/>
      <c r="AF1077"/>
      <c r="AG1077"/>
      <c r="AH1077"/>
      <c r="AO1077" s="2"/>
      <c r="AP1077" s="3"/>
      <c r="AQ1077" s="3"/>
      <c r="AR1077" s="3"/>
      <c r="AS1077" s="3"/>
    </row>
    <row r="1078" spans="1:45" ht="15">
      <c r="A1078"/>
      <c r="J1078"/>
      <c r="AA1078"/>
      <c r="AB1078"/>
      <c r="AC1078"/>
      <c r="AD1078"/>
      <c r="AE1078"/>
      <c r="AF1078"/>
      <c r="AG1078"/>
      <c r="AH1078"/>
      <c r="AO1078" s="2"/>
      <c r="AP1078" s="3"/>
      <c r="AQ1078" s="3"/>
      <c r="AR1078" s="3"/>
      <c r="AS1078" s="3"/>
    </row>
    <row r="1079" spans="1:45" ht="15">
      <c r="A1079"/>
      <c r="J1079"/>
      <c r="AA1079"/>
      <c r="AB1079"/>
      <c r="AC1079"/>
      <c r="AD1079"/>
      <c r="AE1079"/>
      <c r="AF1079"/>
      <c r="AG1079"/>
      <c r="AH1079"/>
      <c r="AO1079" s="2"/>
      <c r="AP1079" s="3"/>
      <c r="AQ1079" s="3"/>
      <c r="AR1079" s="3"/>
      <c r="AS1079" s="3"/>
    </row>
    <row r="1080" spans="1:45" ht="15">
      <c r="A1080"/>
      <c r="J1080"/>
      <c r="AA1080"/>
      <c r="AB1080"/>
      <c r="AC1080"/>
      <c r="AD1080"/>
      <c r="AE1080"/>
      <c r="AF1080"/>
      <c r="AG1080"/>
      <c r="AH1080"/>
      <c r="AO1080" s="2"/>
      <c r="AP1080" s="3"/>
      <c r="AQ1080" s="3"/>
      <c r="AR1080" s="3"/>
      <c r="AS1080" s="3"/>
    </row>
    <row r="1081" spans="1:45" ht="15">
      <c r="A1081"/>
      <c r="J1081"/>
      <c r="AA1081"/>
      <c r="AB1081"/>
      <c r="AC1081"/>
      <c r="AD1081"/>
      <c r="AE1081"/>
      <c r="AF1081"/>
      <c r="AG1081"/>
      <c r="AH1081"/>
      <c r="AO1081" s="2"/>
      <c r="AP1081" s="3"/>
      <c r="AQ1081" s="3"/>
      <c r="AR1081" s="3"/>
      <c r="AS1081" s="3"/>
    </row>
    <row r="1082" spans="1:45" ht="15">
      <c r="A1082"/>
      <c r="J1082"/>
      <c r="AA1082"/>
      <c r="AB1082"/>
      <c r="AC1082"/>
      <c r="AD1082"/>
      <c r="AE1082"/>
      <c r="AF1082"/>
      <c r="AG1082"/>
      <c r="AH1082"/>
      <c r="AO1082" s="2"/>
      <c r="AP1082" s="3"/>
      <c r="AQ1082" s="3"/>
      <c r="AR1082" s="3"/>
      <c r="AS1082" s="3"/>
    </row>
    <row r="1083" spans="1:45" ht="15">
      <c r="A1083"/>
      <c r="J1083"/>
      <c r="AA1083"/>
      <c r="AB1083"/>
      <c r="AC1083"/>
      <c r="AD1083"/>
      <c r="AE1083"/>
      <c r="AF1083"/>
      <c r="AG1083"/>
      <c r="AH1083"/>
      <c r="AO1083" s="2"/>
      <c r="AP1083" s="3"/>
      <c r="AQ1083" s="3"/>
      <c r="AR1083" s="3"/>
      <c r="AS1083" s="3"/>
    </row>
    <row r="1084" spans="1:45" ht="15">
      <c r="A1084"/>
      <c r="J1084"/>
      <c r="AA1084"/>
      <c r="AB1084"/>
      <c r="AC1084"/>
      <c r="AD1084"/>
      <c r="AE1084"/>
      <c r="AF1084"/>
      <c r="AG1084"/>
      <c r="AH1084"/>
      <c r="AO1084" s="2"/>
      <c r="AP1084" s="3"/>
      <c r="AQ1084" s="3"/>
      <c r="AR1084" s="3"/>
      <c r="AS1084" s="3"/>
    </row>
    <row r="1085" spans="1:45" ht="15">
      <c r="A1085"/>
      <c r="J1085"/>
      <c r="AA1085"/>
      <c r="AB1085"/>
      <c r="AC1085"/>
      <c r="AD1085"/>
      <c r="AE1085"/>
      <c r="AF1085"/>
      <c r="AG1085"/>
      <c r="AH1085"/>
      <c r="AO1085" s="2"/>
      <c r="AP1085" s="3"/>
      <c r="AQ1085" s="3"/>
      <c r="AR1085" s="3"/>
      <c r="AS1085" s="3"/>
    </row>
    <row r="1086" spans="1:45" ht="15">
      <c r="A1086"/>
      <c r="J1086"/>
      <c r="AA1086"/>
      <c r="AB1086"/>
      <c r="AC1086"/>
      <c r="AD1086"/>
      <c r="AE1086"/>
      <c r="AF1086"/>
      <c r="AG1086"/>
      <c r="AH1086"/>
      <c r="AO1086" s="2"/>
      <c r="AP1086" s="3"/>
      <c r="AQ1086" s="3"/>
      <c r="AR1086" s="3"/>
      <c r="AS1086" s="3"/>
    </row>
    <row r="1087" spans="1:45" ht="15">
      <c r="A1087"/>
      <c r="J1087"/>
      <c r="AA1087"/>
      <c r="AB1087"/>
      <c r="AC1087"/>
      <c r="AD1087"/>
      <c r="AE1087"/>
      <c r="AF1087"/>
      <c r="AG1087"/>
      <c r="AH1087"/>
      <c r="AO1087" s="2"/>
      <c r="AP1087" s="3"/>
      <c r="AQ1087" s="3"/>
      <c r="AR1087" s="3"/>
      <c r="AS1087" s="3"/>
    </row>
    <row r="1088" spans="1:45" ht="15">
      <c r="A1088"/>
      <c r="J1088"/>
      <c r="AA1088"/>
      <c r="AB1088"/>
      <c r="AC1088"/>
      <c r="AD1088"/>
      <c r="AE1088"/>
      <c r="AF1088"/>
      <c r="AG1088"/>
      <c r="AH1088"/>
      <c r="AO1088" s="2"/>
      <c r="AP1088" s="3"/>
      <c r="AQ1088" s="3"/>
      <c r="AR1088" s="3"/>
      <c r="AS1088" s="3"/>
    </row>
    <row r="1089" spans="1:45" ht="15">
      <c r="A1089"/>
      <c r="J1089"/>
      <c r="AA1089"/>
      <c r="AB1089"/>
      <c r="AC1089"/>
      <c r="AD1089"/>
      <c r="AE1089"/>
      <c r="AF1089"/>
      <c r="AG1089"/>
      <c r="AH1089"/>
      <c r="AO1089" s="2"/>
      <c r="AP1089" s="3"/>
      <c r="AQ1089" s="3"/>
      <c r="AR1089" s="3"/>
      <c r="AS1089" s="3"/>
    </row>
    <row r="1090" spans="1:45" ht="15">
      <c r="A1090"/>
      <c r="J1090"/>
      <c r="AA1090"/>
      <c r="AB1090"/>
      <c r="AC1090"/>
      <c r="AD1090"/>
      <c r="AE1090"/>
      <c r="AF1090"/>
      <c r="AG1090"/>
      <c r="AH1090"/>
      <c r="AO1090" s="2"/>
      <c r="AP1090" s="3"/>
      <c r="AQ1090" s="3"/>
      <c r="AR1090" s="3"/>
      <c r="AS1090" s="3"/>
    </row>
    <row r="1091" spans="1:45" ht="15">
      <c r="A1091"/>
      <c r="J1091"/>
      <c r="AA1091"/>
      <c r="AB1091"/>
      <c r="AC1091"/>
      <c r="AD1091"/>
      <c r="AE1091"/>
      <c r="AF1091"/>
      <c r="AG1091"/>
      <c r="AH1091"/>
      <c r="AO1091" s="2"/>
      <c r="AP1091" s="3"/>
      <c r="AQ1091" s="3"/>
      <c r="AR1091" s="3"/>
      <c r="AS1091" s="3"/>
    </row>
    <row r="1092" spans="1:45" ht="15">
      <c r="A1092"/>
      <c r="J1092"/>
      <c r="AA1092"/>
      <c r="AB1092"/>
      <c r="AC1092"/>
      <c r="AD1092"/>
      <c r="AE1092"/>
      <c r="AF1092"/>
      <c r="AG1092"/>
      <c r="AH1092"/>
      <c r="AO1092" s="2"/>
      <c r="AP1092" s="3"/>
      <c r="AQ1092" s="3"/>
      <c r="AR1092" s="3"/>
      <c r="AS1092" s="3"/>
    </row>
    <row r="1093" spans="1:45" ht="15">
      <c r="A1093"/>
      <c r="J1093"/>
      <c r="AA1093"/>
      <c r="AB1093"/>
      <c r="AC1093"/>
      <c r="AD1093"/>
      <c r="AE1093"/>
      <c r="AF1093"/>
      <c r="AG1093"/>
      <c r="AH1093"/>
      <c r="AO1093" s="2"/>
      <c r="AP1093" s="3"/>
      <c r="AQ1093" s="3"/>
      <c r="AR1093" s="3"/>
      <c r="AS1093" s="3"/>
    </row>
    <row r="1094" spans="1:45" ht="15">
      <c r="A1094"/>
      <c r="J1094"/>
      <c r="AA1094"/>
      <c r="AB1094"/>
      <c r="AC1094"/>
      <c r="AD1094"/>
      <c r="AE1094"/>
      <c r="AF1094"/>
      <c r="AG1094"/>
      <c r="AH1094"/>
      <c r="AO1094" s="2"/>
      <c r="AP1094" s="3"/>
      <c r="AQ1094" s="3"/>
      <c r="AR1094" s="3"/>
      <c r="AS1094" s="3"/>
    </row>
    <row r="1095" spans="1:45" ht="15">
      <c r="A1095"/>
      <c r="J1095"/>
      <c r="AA1095"/>
      <c r="AB1095"/>
      <c r="AC1095"/>
      <c r="AD1095"/>
      <c r="AE1095"/>
      <c r="AF1095"/>
      <c r="AG1095"/>
      <c r="AH1095"/>
      <c r="AO1095" s="2"/>
      <c r="AP1095" s="3"/>
      <c r="AQ1095" s="3"/>
      <c r="AR1095" s="3"/>
      <c r="AS1095" s="3"/>
    </row>
    <row r="1096" spans="1:45" ht="15">
      <c r="A1096"/>
      <c r="J1096"/>
      <c r="AA1096"/>
      <c r="AB1096"/>
      <c r="AC1096"/>
      <c r="AD1096"/>
      <c r="AE1096"/>
      <c r="AF1096"/>
      <c r="AG1096"/>
      <c r="AH1096"/>
      <c r="AO1096" s="2"/>
      <c r="AP1096" s="3"/>
      <c r="AQ1096" s="3"/>
      <c r="AR1096" s="3"/>
      <c r="AS1096" s="3"/>
    </row>
    <row r="1097" spans="1:45" ht="15">
      <c r="A1097"/>
      <c r="J1097"/>
      <c r="AA1097"/>
      <c r="AB1097"/>
      <c r="AC1097"/>
      <c r="AD1097"/>
      <c r="AE1097"/>
      <c r="AF1097"/>
      <c r="AG1097"/>
      <c r="AH1097"/>
      <c r="AO1097" s="2"/>
      <c r="AP1097" s="3"/>
      <c r="AQ1097" s="3"/>
      <c r="AR1097" s="3"/>
      <c r="AS1097" s="3"/>
    </row>
    <row r="1098" spans="1:45" ht="15">
      <c r="A1098"/>
      <c r="J1098"/>
      <c r="AA1098"/>
      <c r="AB1098"/>
      <c r="AC1098"/>
      <c r="AD1098"/>
      <c r="AE1098"/>
      <c r="AF1098"/>
      <c r="AG1098"/>
      <c r="AH1098"/>
      <c r="AO1098" s="2"/>
      <c r="AP1098" s="3"/>
      <c r="AQ1098" s="3"/>
      <c r="AR1098" s="3"/>
      <c r="AS1098" s="3"/>
    </row>
    <row r="1099" spans="1:45" ht="15">
      <c r="A1099"/>
      <c r="J1099"/>
      <c r="AA1099"/>
      <c r="AB1099"/>
      <c r="AC1099"/>
      <c r="AD1099"/>
      <c r="AE1099"/>
      <c r="AF1099"/>
      <c r="AG1099"/>
      <c r="AH1099"/>
      <c r="AO1099" s="2"/>
      <c r="AP1099" s="3"/>
      <c r="AQ1099" s="3"/>
      <c r="AR1099" s="3"/>
      <c r="AS1099" s="3"/>
    </row>
    <row r="1100" spans="1:45" ht="15">
      <c r="A1100"/>
      <c r="J1100"/>
      <c r="AA1100"/>
      <c r="AB1100"/>
      <c r="AC1100"/>
      <c r="AD1100"/>
      <c r="AE1100"/>
      <c r="AF1100"/>
      <c r="AG1100"/>
      <c r="AH1100"/>
      <c r="AO1100" s="2"/>
      <c r="AP1100" s="3"/>
      <c r="AQ1100" s="3"/>
      <c r="AR1100" s="3"/>
      <c r="AS1100" s="3"/>
    </row>
    <row r="1101" spans="1:45" ht="15">
      <c r="A1101"/>
      <c r="J1101"/>
      <c r="AA1101"/>
      <c r="AB1101"/>
      <c r="AC1101"/>
      <c r="AD1101"/>
      <c r="AE1101"/>
      <c r="AF1101"/>
      <c r="AG1101"/>
      <c r="AH1101"/>
      <c r="AO1101" s="2"/>
      <c r="AP1101" s="3"/>
      <c r="AQ1101" s="3"/>
      <c r="AR1101" s="3"/>
      <c r="AS1101" s="3"/>
    </row>
    <row r="1102" spans="1:45" ht="15">
      <c r="A1102"/>
      <c r="J1102"/>
      <c r="AA1102"/>
      <c r="AB1102"/>
      <c r="AC1102"/>
      <c r="AD1102"/>
      <c r="AE1102"/>
      <c r="AF1102"/>
      <c r="AG1102"/>
      <c r="AH1102"/>
      <c r="AO1102" s="2"/>
      <c r="AP1102" s="3"/>
      <c r="AQ1102" s="3"/>
      <c r="AR1102" s="3"/>
      <c r="AS1102" s="3"/>
    </row>
    <row r="1103" spans="1:45" ht="15">
      <c r="A1103"/>
      <c r="J1103"/>
      <c r="AA1103"/>
      <c r="AB1103"/>
      <c r="AC1103"/>
      <c r="AD1103"/>
      <c r="AE1103"/>
      <c r="AF1103"/>
      <c r="AG1103"/>
      <c r="AH1103"/>
      <c r="AO1103" s="2"/>
      <c r="AP1103" s="3"/>
      <c r="AQ1103" s="3"/>
      <c r="AR1103" s="3"/>
      <c r="AS1103" s="3"/>
    </row>
    <row r="1104" spans="1:45" ht="15">
      <c r="A1104"/>
      <c r="J1104"/>
      <c r="AA1104"/>
      <c r="AB1104"/>
      <c r="AC1104"/>
      <c r="AD1104"/>
      <c r="AE1104"/>
      <c r="AF1104"/>
      <c r="AG1104"/>
      <c r="AH1104"/>
      <c r="AO1104" s="2"/>
      <c r="AP1104" s="3"/>
      <c r="AQ1104" s="3"/>
      <c r="AR1104" s="3"/>
      <c r="AS1104" s="3"/>
    </row>
    <row r="1105" spans="1:45" ht="15">
      <c r="A1105"/>
      <c r="J1105"/>
      <c r="AA1105"/>
      <c r="AB1105"/>
      <c r="AC1105"/>
      <c r="AD1105"/>
      <c r="AE1105"/>
      <c r="AF1105"/>
      <c r="AG1105"/>
      <c r="AH1105"/>
      <c r="AO1105" s="2"/>
      <c r="AP1105" s="3"/>
      <c r="AQ1105" s="3"/>
      <c r="AR1105" s="3"/>
      <c r="AS1105" s="3"/>
    </row>
    <row r="1106" spans="1:45" ht="15">
      <c r="A1106"/>
      <c r="J1106"/>
      <c r="AA1106"/>
      <c r="AB1106"/>
      <c r="AC1106"/>
      <c r="AD1106"/>
      <c r="AE1106"/>
      <c r="AF1106"/>
      <c r="AG1106"/>
      <c r="AH1106"/>
      <c r="AO1106" s="2"/>
      <c r="AP1106" s="3"/>
      <c r="AQ1106" s="3"/>
      <c r="AR1106" s="3"/>
      <c r="AS1106" s="3"/>
    </row>
    <row r="1107" spans="1:45" ht="15">
      <c r="A1107"/>
      <c r="J1107"/>
      <c r="AA1107"/>
      <c r="AB1107"/>
      <c r="AC1107"/>
      <c r="AD1107"/>
      <c r="AE1107"/>
      <c r="AF1107"/>
      <c r="AG1107"/>
      <c r="AH1107"/>
      <c r="AO1107" s="2"/>
      <c r="AP1107" s="3"/>
      <c r="AQ1107" s="3"/>
      <c r="AR1107" s="3"/>
      <c r="AS1107" s="3"/>
    </row>
    <row r="1108" spans="1:45" ht="15">
      <c r="A1108"/>
      <c r="J1108"/>
      <c r="AA1108"/>
      <c r="AB1108"/>
      <c r="AC1108"/>
      <c r="AD1108"/>
      <c r="AE1108"/>
      <c r="AF1108"/>
      <c r="AG1108"/>
      <c r="AH1108"/>
      <c r="AO1108" s="2"/>
      <c r="AP1108" s="3"/>
      <c r="AQ1108" s="3"/>
      <c r="AR1108" s="3"/>
      <c r="AS1108" s="3"/>
    </row>
    <row r="1109" spans="1:45" ht="15">
      <c r="A1109"/>
      <c r="J1109"/>
      <c r="AA1109"/>
      <c r="AB1109"/>
      <c r="AC1109"/>
      <c r="AD1109"/>
      <c r="AE1109"/>
      <c r="AF1109"/>
      <c r="AG1109"/>
      <c r="AH1109"/>
      <c r="AO1109" s="2"/>
      <c r="AP1109" s="3"/>
      <c r="AQ1109" s="3"/>
      <c r="AR1109" s="3"/>
      <c r="AS1109" s="3"/>
    </row>
    <row r="1110" spans="1:45" ht="15">
      <c r="A1110"/>
      <c r="J1110"/>
      <c r="AA1110"/>
      <c r="AB1110"/>
      <c r="AC1110"/>
      <c r="AD1110"/>
      <c r="AE1110"/>
      <c r="AF1110"/>
      <c r="AG1110"/>
      <c r="AH1110"/>
      <c r="AO1110" s="2"/>
      <c r="AP1110" s="3"/>
      <c r="AQ1110" s="3"/>
      <c r="AR1110" s="3"/>
      <c r="AS1110" s="3"/>
    </row>
    <row r="1111" spans="1:45" ht="15">
      <c r="A1111"/>
      <c r="J1111"/>
      <c r="AA1111"/>
      <c r="AB1111"/>
      <c r="AC1111"/>
      <c r="AD1111"/>
      <c r="AE1111"/>
      <c r="AF1111"/>
      <c r="AG1111"/>
      <c r="AH1111"/>
      <c r="AO1111" s="2"/>
      <c r="AP1111" s="3"/>
      <c r="AQ1111" s="3"/>
      <c r="AR1111" s="3"/>
      <c r="AS1111" s="3"/>
    </row>
    <row r="1112" spans="1:45" ht="15">
      <c r="A1112"/>
      <c r="J1112"/>
      <c r="AA1112"/>
      <c r="AB1112"/>
      <c r="AC1112"/>
      <c r="AD1112"/>
      <c r="AE1112"/>
      <c r="AF1112"/>
      <c r="AG1112"/>
      <c r="AH1112"/>
      <c r="AO1112" s="2"/>
      <c r="AP1112" s="3"/>
      <c r="AQ1112" s="3"/>
      <c r="AR1112" s="3"/>
      <c r="AS1112" s="3"/>
    </row>
    <row r="1113" spans="1:45" ht="15">
      <c r="A1113"/>
      <c r="J1113"/>
      <c r="AA1113"/>
      <c r="AB1113"/>
      <c r="AC1113"/>
      <c r="AD1113"/>
      <c r="AE1113"/>
      <c r="AF1113"/>
      <c r="AG1113"/>
      <c r="AH1113"/>
      <c r="AO1113" s="2"/>
      <c r="AP1113" s="3"/>
      <c r="AQ1113" s="3"/>
      <c r="AR1113" s="3"/>
      <c r="AS1113" s="3"/>
    </row>
    <row r="1114" spans="1:45" ht="15">
      <c r="A1114"/>
      <c r="J1114"/>
      <c r="AA1114"/>
      <c r="AB1114"/>
      <c r="AC1114"/>
      <c r="AD1114"/>
      <c r="AE1114"/>
      <c r="AF1114"/>
      <c r="AG1114"/>
      <c r="AH1114"/>
      <c r="AO1114" s="2"/>
      <c r="AP1114" s="3"/>
      <c r="AQ1114" s="3"/>
      <c r="AR1114" s="3"/>
      <c r="AS1114" s="3"/>
    </row>
    <row r="1115" spans="1:45" ht="15">
      <c r="A1115"/>
      <c r="J1115"/>
      <c r="AA1115"/>
      <c r="AB1115"/>
      <c r="AC1115"/>
      <c r="AD1115"/>
      <c r="AE1115"/>
      <c r="AF1115"/>
      <c r="AG1115"/>
      <c r="AH1115"/>
      <c r="AO1115" s="2"/>
      <c r="AP1115" s="3"/>
      <c r="AQ1115" s="3"/>
      <c r="AR1115" s="3"/>
      <c r="AS1115" s="3"/>
    </row>
    <row r="1116" spans="1:45" ht="15">
      <c r="A1116"/>
      <c r="J1116"/>
      <c r="AA1116"/>
      <c r="AB1116"/>
      <c r="AC1116"/>
      <c r="AD1116"/>
      <c r="AE1116"/>
      <c r="AF1116"/>
      <c r="AG1116"/>
      <c r="AH1116"/>
      <c r="AO1116" s="2"/>
      <c r="AP1116" s="3"/>
      <c r="AQ1116" s="3"/>
      <c r="AR1116" s="3"/>
      <c r="AS1116" s="3"/>
    </row>
    <row r="1117" spans="1:45" ht="15">
      <c r="A1117"/>
      <c r="J1117"/>
      <c r="AA1117"/>
      <c r="AB1117"/>
      <c r="AC1117"/>
      <c r="AD1117"/>
      <c r="AE1117"/>
      <c r="AF1117"/>
      <c r="AG1117"/>
      <c r="AH1117"/>
      <c r="AO1117" s="2"/>
      <c r="AP1117" s="3"/>
      <c r="AQ1117" s="3"/>
      <c r="AR1117" s="3"/>
      <c r="AS1117" s="3"/>
    </row>
    <row r="1118" spans="1:45" ht="15">
      <c r="A1118"/>
      <c r="J1118"/>
      <c r="AA1118"/>
      <c r="AB1118"/>
      <c r="AC1118"/>
      <c r="AD1118"/>
      <c r="AE1118"/>
      <c r="AF1118"/>
      <c r="AG1118"/>
      <c r="AH1118"/>
      <c r="AO1118" s="2"/>
      <c r="AP1118" s="3"/>
      <c r="AQ1118" s="3"/>
      <c r="AR1118" s="3"/>
      <c r="AS1118" s="3"/>
    </row>
    <row r="1119" spans="1:45" ht="15">
      <c r="A1119"/>
      <c r="J1119"/>
      <c r="AA1119"/>
      <c r="AB1119"/>
      <c r="AC1119"/>
      <c r="AD1119"/>
      <c r="AE1119"/>
      <c r="AF1119"/>
      <c r="AG1119"/>
      <c r="AH1119"/>
      <c r="AO1119" s="2"/>
      <c r="AP1119" s="3"/>
      <c r="AQ1119" s="3"/>
      <c r="AR1119" s="3"/>
      <c r="AS1119" s="3"/>
    </row>
    <row r="1120" spans="1:45" ht="15">
      <c r="A1120"/>
      <c r="J1120"/>
      <c r="AA1120"/>
      <c r="AB1120"/>
      <c r="AC1120"/>
      <c r="AD1120"/>
      <c r="AE1120"/>
      <c r="AF1120"/>
      <c r="AG1120"/>
      <c r="AH1120"/>
      <c r="AO1120" s="2"/>
      <c r="AP1120" s="3"/>
      <c r="AQ1120" s="3"/>
      <c r="AR1120" s="3"/>
      <c r="AS1120" s="3"/>
    </row>
    <row r="1121" spans="1:45" ht="15">
      <c r="A1121"/>
      <c r="J1121"/>
      <c r="AA1121"/>
      <c r="AB1121"/>
      <c r="AC1121"/>
      <c r="AD1121"/>
      <c r="AE1121"/>
      <c r="AF1121"/>
      <c r="AG1121"/>
      <c r="AH1121"/>
      <c r="AO1121" s="2"/>
      <c r="AP1121" s="3"/>
      <c r="AQ1121" s="3"/>
      <c r="AR1121" s="3"/>
      <c r="AS1121" s="3"/>
    </row>
    <row r="1122" spans="1:45" ht="15">
      <c r="A1122"/>
      <c r="J1122"/>
      <c r="AA1122"/>
      <c r="AB1122"/>
      <c r="AC1122"/>
      <c r="AD1122"/>
      <c r="AE1122"/>
      <c r="AF1122"/>
      <c r="AG1122"/>
      <c r="AH1122"/>
      <c r="AO1122" s="2"/>
      <c r="AP1122" s="3"/>
      <c r="AQ1122" s="3"/>
      <c r="AR1122" s="3"/>
      <c r="AS1122" s="3"/>
    </row>
    <row r="1123" spans="1:45" ht="15">
      <c r="A1123"/>
      <c r="J1123"/>
      <c r="AA1123"/>
      <c r="AB1123"/>
      <c r="AC1123"/>
      <c r="AD1123"/>
      <c r="AE1123"/>
      <c r="AF1123"/>
      <c r="AG1123"/>
      <c r="AH1123"/>
      <c r="AO1123" s="2"/>
      <c r="AP1123" s="3"/>
      <c r="AQ1123" s="3"/>
      <c r="AR1123" s="3"/>
      <c r="AS1123" s="3"/>
    </row>
    <row r="1124" spans="1:45" ht="15">
      <c r="A1124"/>
      <c r="J1124"/>
      <c r="AA1124"/>
      <c r="AB1124"/>
      <c r="AC1124"/>
      <c r="AD1124"/>
      <c r="AE1124"/>
      <c r="AF1124"/>
      <c r="AG1124"/>
      <c r="AH1124"/>
      <c r="AO1124" s="2"/>
      <c r="AP1124" s="3"/>
      <c r="AQ1124" s="3"/>
      <c r="AR1124" s="3"/>
      <c r="AS1124" s="3"/>
    </row>
    <row r="1125" spans="1:45" ht="15">
      <c r="A1125"/>
      <c r="J1125"/>
      <c r="AA1125"/>
      <c r="AB1125"/>
      <c r="AC1125"/>
      <c r="AD1125"/>
      <c r="AE1125"/>
      <c r="AF1125"/>
      <c r="AG1125"/>
      <c r="AH1125"/>
      <c r="AO1125" s="2"/>
      <c r="AP1125" s="3"/>
      <c r="AQ1125" s="3"/>
      <c r="AR1125" s="3"/>
      <c r="AS1125" s="3"/>
    </row>
    <row r="1126" spans="1:45" ht="15">
      <c r="A1126"/>
      <c r="J1126"/>
      <c r="AA1126"/>
      <c r="AB1126"/>
      <c r="AC1126"/>
      <c r="AD1126"/>
      <c r="AE1126"/>
      <c r="AF1126"/>
      <c r="AG1126"/>
      <c r="AH1126"/>
      <c r="AO1126" s="2"/>
      <c r="AP1126" s="3"/>
      <c r="AQ1126" s="3"/>
      <c r="AR1126" s="3"/>
      <c r="AS1126" s="3"/>
    </row>
    <row r="1127" spans="1:45" ht="15">
      <c r="A1127"/>
      <c r="J1127"/>
      <c r="AA1127"/>
      <c r="AB1127"/>
      <c r="AC1127"/>
      <c r="AD1127"/>
      <c r="AE1127"/>
      <c r="AF1127"/>
      <c r="AG1127"/>
      <c r="AH1127"/>
      <c r="AO1127" s="2"/>
      <c r="AP1127" s="3"/>
      <c r="AQ1127" s="3"/>
      <c r="AR1127" s="3"/>
      <c r="AS1127" s="3"/>
    </row>
    <row r="1128" spans="1:45" ht="15">
      <c r="A1128"/>
      <c r="J1128"/>
      <c r="AA1128"/>
      <c r="AB1128"/>
      <c r="AC1128"/>
      <c r="AD1128"/>
      <c r="AE1128"/>
      <c r="AF1128"/>
      <c r="AG1128"/>
      <c r="AH1128"/>
      <c r="AO1128" s="2"/>
      <c r="AP1128" s="3"/>
      <c r="AQ1128" s="3"/>
      <c r="AR1128" s="3"/>
      <c r="AS1128" s="3"/>
    </row>
    <row r="1129" spans="1:45" ht="15">
      <c r="A1129"/>
      <c r="J1129"/>
      <c r="AA1129"/>
      <c r="AB1129"/>
      <c r="AC1129"/>
      <c r="AD1129"/>
      <c r="AE1129"/>
      <c r="AF1129"/>
      <c r="AG1129"/>
      <c r="AH1129"/>
      <c r="AO1129" s="2"/>
      <c r="AP1129" s="3"/>
      <c r="AQ1129" s="3"/>
      <c r="AR1129" s="3"/>
      <c r="AS1129" s="3"/>
    </row>
    <row r="1130" spans="1:45" ht="15">
      <c r="A1130"/>
      <c r="J1130"/>
      <c r="AA1130"/>
      <c r="AB1130"/>
      <c r="AC1130"/>
      <c r="AD1130"/>
      <c r="AE1130"/>
      <c r="AF1130"/>
      <c r="AG1130"/>
      <c r="AH1130"/>
      <c r="AO1130" s="2"/>
      <c r="AP1130" s="3"/>
      <c r="AQ1130" s="3"/>
      <c r="AR1130" s="3"/>
      <c r="AS1130" s="3"/>
    </row>
    <row r="1131" spans="1:45" ht="15">
      <c r="A1131"/>
      <c r="J1131"/>
      <c r="AA1131"/>
      <c r="AB1131"/>
      <c r="AC1131"/>
      <c r="AD1131"/>
      <c r="AE1131"/>
      <c r="AF1131"/>
      <c r="AG1131"/>
      <c r="AH1131"/>
      <c r="AO1131" s="2"/>
      <c r="AP1131" s="3"/>
      <c r="AQ1131" s="3"/>
      <c r="AR1131" s="3"/>
      <c r="AS1131" s="3"/>
    </row>
    <row r="1132" spans="1:45" ht="15">
      <c r="A1132"/>
      <c r="J1132"/>
      <c r="AA1132"/>
      <c r="AB1132"/>
      <c r="AC1132"/>
      <c r="AD1132"/>
      <c r="AE1132"/>
      <c r="AF1132"/>
      <c r="AG1132"/>
      <c r="AH1132"/>
      <c r="AO1132" s="2"/>
      <c r="AP1132" s="3"/>
      <c r="AQ1132" s="3"/>
      <c r="AR1132" s="3"/>
      <c r="AS1132" s="3"/>
    </row>
    <row r="1133" spans="1:45" ht="15">
      <c r="A1133"/>
      <c r="J1133"/>
      <c r="AA1133"/>
      <c r="AB1133"/>
      <c r="AC1133"/>
      <c r="AD1133"/>
      <c r="AE1133"/>
      <c r="AF1133"/>
      <c r="AG1133"/>
      <c r="AH1133"/>
      <c r="AO1133" s="2"/>
      <c r="AP1133" s="3"/>
      <c r="AQ1133" s="3"/>
      <c r="AR1133" s="3"/>
      <c r="AS1133" s="3"/>
    </row>
    <row r="1134" spans="1:45" ht="15">
      <c r="A1134"/>
      <c r="J1134"/>
      <c r="AA1134"/>
      <c r="AB1134"/>
      <c r="AC1134"/>
      <c r="AD1134"/>
      <c r="AE1134"/>
      <c r="AF1134"/>
      <c r="AG1134"/>
      <c r="AH1134"/>
      <c r="AO1134" s="2"/>
      <c r="AP1134" s="3"/>
      <c r="AQ1134" s="3"/>
      <c r="AR1134" s="3"/>
      <c r="AS1134" s="3"/>
    </row>
    <row r="1135" spans="1:45" ht="15">
      <c r="A1135"/>
      <c r="J1135"/>
      <c r="AA1135"/>
      <c r="AB1135"/>
      <c r="AC1135"/>
      <c r="AD1135"/>
      <c r="AE1135"/>
      <c r="AF1135"/>
      <c r="AG1135"/>
      <c r="AH1135"/>
      <c r="AO1135" s="2"/>
      <c r="AP1135" s="3"/>
      <c r="AQ1135" s="3"/>
      <c r="AR1135" s="3"/>
      <c r="AS1135" s="3"/>
    </row>
    <row r="1136" spans="1:45" ht="15">
      <c r="A1136"/>
      <c r="J1136"/>
      <c r="AA1136"/>
      <c r="AB1136"/>
      <c r="AC1136"/>
      <c r="AD1136"/>
      <c r="AE1136"/>
      <c r="AF1136"/>
      <c r="AG1136"/>
      <c r="AH1136"/>
      <c r="AO1136" s="2"/>
      <c r="AP1136" s="3"/>
      <c r="AQ1136" s="3"/>
      <c r="AR1136" s="3"/>
      <c r="AS1136" s="3"/>
    </row>
    <row r="1137" spans="1:45" ht="15">
      <c r="A1137"/>
      <c r="J1137"/>
      <c r="AA1137"/>
      <c r="AB1137"/>
      <c r="AC1137"/>
      <c r="AD1137"/>
      <c r="AE1137"/>
      <c r="AF1137"/>
      <c r="AG1137"/>
      <c r="AH1137"/>
      <c r="AO1137" s="2"/>
      <c r="AP1137" s="3"/>
      <c r="AQ1137" s="3"/>
      <c r="AR1137" s="3"/>
      <c r="AS1137" s="3"/>
    </row>
    <row r="1138" spans="1:45" ht="15">
      <c r="A1138"/>
      <c r="J1138"/>
      <c r="AA1138"/>
      <c r="AB1138"/>
      <c r="AC1138"/>
      <c r="AD1138"/>
      <c r="AE1138"/>
      <c r="AF1138"/>
      <c r="AG1138"/>
      <c r="AH1138"/>
      <c r="AO1138" s="2"/>
      <c r="AP1138" s="3"/>
      <c r="AQ1138" s="3"/>
      <c r="AR1138" s="3"/>
      <c r="AS1138" s="3"/>
    </row>
    <row r="1139" spans="1:45" ht="15">
      <c r="A1139"/>
      <c r="J1139"/>
      <c r="AA1139"/>
      <c r="AB1139"/>
      <c r="AC1139"/>
      <c r="AD1139"/>
      <c r="AE1139"/>
      <c r="AF1139"/>
      <c r="AG1139"/>
      <c r="AH1139"/>
      <c r="AO1139" s="2"/>
      <c r="AP1139" s="3"/>
      <c r="AQ1139" s="3"/>
      <c r="AR1139" s="3"/>
      <c r="AS1139" s="3"/>
    </row>
    <row r="1140" spans="1:45" ht="15">
      <c r="A1140"/>
      <c r="J1140"/>
      <c r="AA1140"/>
      <c r="AB1140"/>
      <c r="AC1140"/>
      <c r="AD1140"/>
      <c r="AE1140"/>
      <c r="AF1140"/>
      <c r="AG1140"/>
      <c r="AH1140"/>
      <c r="AO1140" s="2"/>
      <c r="AP1140" s="3"/>
      <c r="AQ1140" s="3"/>
      <c r="AR1140" s="3"/>
      <c r="AS1140" s="3"/>
    </row>
    <row r="1141" spans="1:45" ht="15">
      <c r="A1141"/>
      <c r="J1141"/>
      <c r="AA1141"/>
      <c r="AB1141"/>
      <c r="AC1141"/>
      <c r="AD1141"/>
      <c r="AE1141"/>
      <c r="AF1141"/>
      <c r="AG1141"/>
      <c r="AH1141"/>
      <c r="AO1141" s="2"/>
      <c r="AP1141" s="3"/>
      <c r="AQ1141" s="3"/>
      <c r="AR1141" s="3"/>
      <c r="AS1141" s="3"/>
    </row>
    <row r="1142" spans="1:45" ht="15">
      <c r="A1142"/>
      <c r="J1142"/>
      <c r="AA1142"/>
      <c r="AB1142"/>
      <c r="AC1142"/>
      <c r="AD1142"/>
      <c r="AE1142"/>
      <c r="AF1142"/>
      <c r="AG1142"/>
      <c r="AH1142"/>
      <c r="AO1142" s="2"/>
      <c r="AP1142" s="3"/>
      <c r="AQ1142" s="3"/>
      <c r="AR1142" s="3"/>
      <c r="AS1142" s="3"/>
    </row>
    <row r="1143" spans="1:45" ht="15">
      <c r="A1143"/>
      <c r="J1143"/>
      <c r="AA1143"/>
      <c r="AB1143"/>
      <c r="AC1143"/>
      <c r="AD1143"/>
      <c r="AE1143"/>
      <c r="AF1143"/>
      <c r="AG1143"/>
      <c r="AH1143"/>
      <c r="AO1143" s="2"/>
      <c r="AP1143" s="3"/>
      <c r="AQ1143" s="3"/>
      <c r="AR1143" s="3"/>
      <c r="AS1143" s="3"/>
    </row>
    <row r="1144" spans="1:45" ht="15">
      <c r="A1144"/>
      <c r="J1144"/>
      <c r="AA1144"/>
      <c r="AB1144"/>
      <c r="AC1144"/>
      <c r="AD1144"/>
      <c r="AE1144"/>
      <c r="AF1144"/>
      <c r="AG1144"/>
      <c r="AH1144"/>
      <c r="AO1144" s="2"/>
      <c r="AP1144" s="3"/>
      <c r="AQ1144" s="3"/>
      <c r="AR1144" s="3"/>
      <c r="AS1144" s="3"/>
    </row>
    <row r="1145" spans="1:45" ht="15">
      <c r="A1145"/>
      <c r="J1145"/>
      <c r="AA1145"/>
      <c r="AB1145"/>
      <c r="AC1145"/>
      <c r="AD1145"/>
      <c r="AE1145"/>
      <c r="AF1145"/>
      <c r="AG1145"/>
      <c r="AH1145"/>
      <c r="AO1145" s="2"/>
      <c r="AP1145" s="3"/>
      <c r="AQ1145" s="3"/>
      <c r="AR1145" s="3"/>
      <c r="AS1145" s="3"/>
    </row>
    <row r="1146" spans="1:45" ht="15">
      <c r="A1146"/>
      <c r="J1146"/>
      <c r="AA1146"/>
      <c r="AB1146"/>
      <c r="AC1146"/>
      <c r="AD1146"/>
      <c r="AE1146"/>
      <c r="AF1146"/>
      <c r="AG1146"/>
      <c r="AH1146"/>
      <c r="AO1146" s="2"/>
      <c r="AP1146" s="3"/>
      <c r="AQ1146" s="3"/>
      <c r="AR1146" s="3"/>
      <c r="AS1146" s="3"/>
    </row>
    <row r="1147" spans="1:45" ht="15">
      <c r="A1147"/>
      <c r="J1147"/>
      <c r="AA1147"/>
      <c r="AB1147"/>
      <c r="AC1147"/>
      <c r="AD1147"/>
      <c r="AE1147"/>
      <c r="AF1147"/>
      <c r="AG1147"/>
      <c r="AH1147"/>
      <c r="AO1147" s="2"/>
      <c r="AP1147" s="3"/>
      <c r="AQ1147" s="3"/>
      <c r="AR1147" s="3"/>
      <c r="AS1147" s="3"/>
    </row>
    <row r="1148" spans="1:45" ht="15">
      <c r="A1148"/>
      <c r="J1148"/>
      <c r="AA1148"/>
      <c r="AB1148"/>
      <c r="AC1148"/>
      <c r="AD1148"/>
      <c r="AE1148"/>
      <c r="AF1148"/>
      <c r="AG1148"/>
      <c r="AH1148"/>
      <c r="AO1148" s="2"/>
      <c r="AP1148" s="3"/>
      <c r="AQ1148" s="3"/>
      <c r="AR1148" s="3"/>
      <c r="AS1148" s="3"/>
    </row>
    <row r="1149" spans="1:45" ht="15">
      <c r="A1149"/>
      <c r="J1149"/>
      <c r="AA1149"/>
      <c r="AB1149"/>
      <c r="AC1149"/>
      <c r="AD1149"/>
      <c r="AE1149"/>
      <c r="AF1149"/>
      <c r="AG1149"/>
      <c r="AH1149"/>
      <c r="AO1149" s="2"/>
      <c r="AP1149" s="3"/>
      <c r="AQ1149" s="3"/>
      <c r="AR1149" s="3"/>
      <c r="AS1149" s="3"/>
    </row>
    <row r="1150" spans="1:45" ht="15">
      <c r="A1150"/>
      <c r="J1150"/>
      <c r="AA1150"/>
      <c r="AB1150"/>
      <c r="AC1150"/>
      <c r="AD1150"/>
      <c r="AE1150"/>
      <c r="AF1150"/>
      <c r="AG1150"/>
      <c r="AH1150"/>
      <c r="AO1150" s="2"/>
      <c r="AP1150" s="3"/>
      <c r="AQ1150" s="3"/>
      <c r="AR1150" s="3"/>
      <c r="AS1150" s="3"/>
    </row>
    <row r="1151" spans="1:45" ht="15">
      <c r="A1151"/>
      <c r="J1151"/>
      <c r="AA1151"/>
      <c r="AB1151"/>
      <c r="AC1151"/>
      <c r="AD1151"/>
      <c r="AE1151"/>
      <c r="AF1151"/>
      <c r="AG1151"/>
      <c r="AH1151"/>
      <c r="AO1151" s="2"/>
      <c r="AP1151" s="3"/>
      <c r="AQ1151" s="3"/>
      <c r="AR1151" s="3"/>
      <c r="AS1151" s="3"/>
    </row>
    <row r="1152" spans="1:45" ht="15">
      <c r="A1152"/>
      <c r="J1152"/>
      <c r="AA1152"/>
      <c r="AB1152"/>
      <c r="AC1152"/>
      <c r="AD1152"/>
      <c r="AE1152"/>
      <c r="AF1152"/>
      <c r="AG1152"/>
      <c r="AH1152"/>
      <c r="AO1152" s="2"/>
      <c r="AP1152" s="3"/>
      <c r="AQ1152" s="3"/>
      <c r="AR1152" s="3"/>
      <c r="AS1152" s="3"/>
    </row>
    <row r="1153" spans="1:45" ht="15">
      <c r="A1153"/>
      <c r="J1153"/>
      <c r="AA1153"/>
      <c r="AB1153"/>
      <c r="AC1153"/>
      <c r="AD1153"/>
      <c r="AE1153"/>
      <c r="AF1153"/>
      <c r="AG1153"/>
      <c r="AH1153"/>
      <c r="AO1153" s="2"/>
      <c r="AP1153" s="3"/>
      <c r="AQ1153" s="3"/>
      <c r="AR1153" s="3"/>
      <c r="AS1153" s="3"/>
    </row>
    <row r="1154" spans="1:45" ht="15">
      <c r="A1154"/>
      <c r="J1154"/>
      <c r="AA1154"/>
      <c r="AB1154"/>
      <c r="AC1154"/>
      <c r="AD1154"/>
      <c r="AE1154"/>
      <c r="AF1154"/>
      <c r="AG1154"/>
      <c r="AH1154"/>
      <c r="AO1154" s="2"/>
      <c r="AP1154" s="3"/>
      <c r="AQ1154" s="3"/>
      <c r="AR1154" s="3"/>
      <c r="AS1154" s="3"/>
    </row>
    <row r="1155" spans="1:45" ht="15">
      <c r="A1155"/>
      <c r="J1155"/>
      <c r="AA1155"/>
      <c r="AB1155"/>
      <c r="AC1155"/>
      <c r="AD1155"/>
      <c r="AE1155"/>
      <c r="AF1155"/>
      <c r="AG1155"/>
      <c r="AH1155"/>
      <c r="AO1155" s="2"/>
      <c r="AP1155" s="3"/>
      <c r="AQ1155" s="3"/>
      <c r="AR1155" s="3"/>
      <c r="AS1155" s="3"/>
    </row>
    <row r="1156" spans="1:45" ht="15">
      <c r="A1156"/>
      <c r="J1156"/>
      <c r="AA1156"/>
      <c r="AB1156"/>
      <c r="AC1156"/>
      <c r="AD1156"/>
      <c r="AE1156"/>
      <c r="AF1156"/>
      <c r="AG1156"/>
      <c r="AH1156"/>
      <c r="AO1156" s="2"/>
      <c r="AP1156" s="3"/>
      <c r="AQ1156" s="3"/>
      <c r="AR1156" s="3"/>
      <c r="AS1156" s="3"/>
    </row>
    <row r="1157" spans="1:45" ht="15">
      <c r="A1157"/>
      <c r="J1157"/>
      <c r="AA1157"/>
      <c r="AB1157"/>
      <c r="AC1157"/>
      <c r="AD1157"/>
      <c r="AE1157"/>
      <c r="AF1157"/>
      <c r="AG1157"/>
      <c r="AH1157"/>
      <c r="AO1157" s="2"/>
      <c r="AP1157" s="3"/>
      <c r="AQ1157" s="3"/>
      <c r="AR1157" s="3"/>
      <c r="AS1157" s="3"/>
    </row>
    <row r="1158" spans="1:45" ht="15">
      <c r="A1158"/>
      <c r="J1158"/>
      <c r="AA1158"/>
      <c r="AB1158"/>
      <c r="AC1158"/>
      <c r="AD1158"/>
      <c r="AE1158"/>
      <c r="AF1158"/>
      <c r="AG1158"/>
      <c r="AH1158"/>
      <c r="AO1158" s="2"/>
      <c r="AP1158" s="3"/>
      <c r="AQ1158" s="3"/>
      <c r="AR1158" s="3"/>
      <c r="AS1158" s="3"/>
    </row>
    <row r="1159" spans="1:45" ht="15">
      <c r="A1159"/>
      <c r="J1159"/>
      <c r="AA1159"/>
      <c r="AB1159"/>
      <c r="AC1159"/>
      <c r="AD1159"/>
      <c r="AE1159"/>
      <c r="AF1159"/>
      <c r="AG1159"/>
      <c r="AH1159"/>
      <c r="AO1159" s="2"/>
      <c r="AP1159" s="3"/>
      <c r="AQ1159" s="3"/>
      <c r="AR1159" s="3"/>
      <c r="AS1159" s="3"/>
    </row>
    <row r="1160" spans="1:45" ht="15">
      <c r="A1160"/>
      <c r="J1160"/>
      <c r="AA1160"/>
      <c r="AB1160"/>
      <c r="AC1160"/>
      <c r="AD1160"/>
      <c r="AE1160"/>
      <c r="AF1160"/>
      <c r="AG1160"/>
      <c r="AH1160"/>
      <c r="AO1160" s="2"/>
      <c r="AP1160" s="3"/>
      <c r="AQ1160" s="3"/>
      <c r="AR1160" s="3"/>
      <c r="AS1160" s="3"/>
    </row>
    <row r="1161" spans="1:45" ht="15">
      <c r="A1161"/>
      <c r="J1161"/>
      <c r="AA1161"/>
      <c r="AB1161"/>
      <c r="AC1161"/>
      <c r="AD1161"/>
      <c r="AE1161"/>
      <c r="AF1161"/>
      <c r="AG1161"/>
      <c r="AH1161"/>
      <c r="AO1161" s="2"/>
      <c r="AP1161" s="3"/>
      <c r="AQ1161" s="3"/>
      <c r="AR1161" s="3"/>
      <c r="AS1161" s="3"/>
    </row>
    <row r="1162" spans="1:45" ht="15">
      <c r="A1162"/>
      <c r="J1162"/>
      <c r="AA1162"/>
      <c r="AB1162"/>
      <c r="AC1162"/>
      <c r="AD1162"/>
      <c r="AE1162"/>
      <c r="AF1162"/>
      <c r="AG1162"/>
      <c r="AH1162"/>
      <c r="AO1162" s="2"/>
      <c r="AP1162" s="3"/>
      <c r="AQ1162" s="3"/>
      <c r="AR1162" s="3"/>
      <c r="AS1162" s="3"/>
    </row>
    <row r="1163" spans="1:45" ht="15">
      <c r="A1163"/>
      <c r="J1163"/>
      <c r="AA1163"/>
      <c r="AB1163"/>
      <c r="AC1163"/>
      <c r="AD1163"/>
      <c r="AE1163"/>
      <c r="AF1163"/>
      <c r="AG1163"/>
      <c r="AH1163"/>
      <c r="AO1163" s="2"/>
      <c r="AP1163" s="3"/>
      <c r="AQ1163" s="3"/>
      <c r="AR1163" s="3"/>
      <c r="AS1163" s="3"/>
    </row>
    <row r="1164" spans="1:45" ht="15">
      <c r="A1164"/>
      <c r="J1164"/>
      <c r="AA1164"/>
      <c r="AB1164"/>
      <c r="AC1164"/>
      <c r="AD1164"/>
      <c r="AE1164"/>
      <c r="AF1164"/>
      <c r="AG1164"/>
      <c r="AH1164"/>
      <c r="AO1164" s="2"/>
      <c r="AP1164" s="3"/>
      <c r="AQ1164" s="3"/>
      <c r="AR1164" s="3"/>
      <c r="AS1164" s="3"/>
    </row>
    <row r="1165" spans="1:45" ht="15">
      <c r="A1165"/>
      <c r="J1165"/>
      <c r="AA1165"/>
      <c r="AB1165"/>
      <c r="AC1165"/>
      <c r="AD1165"/>
      <c r="AE1165"/>
      <c r="AF1165"/>
      <c r="AG1165"/>
      <c r="AH1165"/>
      <c r="AO1165" s="2"/>
      <c r="AP1165" s="3"/>
      <c r="AQ1165" s="3"/>
      <c r="AR1165" s="3"/>
      <c r="AS1165" s="3"/>
    </row>
    <row r="1166" spans="1:45" ht="15">
      <c r="A1166"/>
      <c r="J1166"/>
      <c r="AA1166"/>
      <c r="AB1166"/>
      <c r="AC1166"/>
      <c r="AD1166"/>
      <c r="AE1166"/>
      <c r="AF1166"/>
      <c r="AG1166"/>
      <c r="AH1166"/>
      <c r="AO1166" s="2"/>
      <c r="AP1166" s="3"/>
      <c r="AQ1166" s="3"/>
      <c r="AR1166" s="3"/>
      <c r="AS1166" s="3"/>
    </row>
    <row r="1167" spans="1:45" ht="15">
      <c r="A1167"/>
      <c r="J1167"/>
      <c r="AA1167"/>
      <c r="AB1167"/>
      <c r="AC1167"/>
      <c r="AD1167"/>
      <c r="AE1167"/>
      <c r="AF1167"/>
      <c r="AG1167"/>
      <c r="AH1167"/>
      <c r="AO1167" s="2"/>
      <c r="AP1167" s="3"/>
      <c r="AQ1167" s="3"/>
      <c r="AR1167" s="3"/>
      <c r="AS1167" s="3"/>
    </row>
    <row r="1168" spans="1:45" ht="15">
      <c r="A1168"/>
      <c r="J1168"/>
      <c r="AA1168"/>
      <c r="AB1168"/>
      <c r="AC1168"/>
      <c r="AD1168"/>
      <c r="AE1168"/>
      <c r="AF1168"/>
      <c r="AG1168"/>
      <c r="AH1168"/>
      <c r="AO1168" s="2"/>
      <c r="AP1168" s="3"/>
      <c r="AQ1168" s="3"/>
      <c r="AR1168" s="3"/>
      <c r="AS1168" s="3"/>
    </row>
    <row r="1169" spans="1:45" ht="15">
      <c r="A1169"/>
      <c r="J1169"/>
      <c r="AA1169"/>
      <c r="AB1169"/>
      <c r="AC1169"/>
      <c r="AD1169"/>
      <c r="AE1169"/>
      <c r="AF1169"/>
      <c r="AG1169"/>
      <c r="AH1169"/>
      <c r="AO1169" s="2"/>
      <c r="AP1169" s="3"/>
      <c r="AQ1169" s="3"/>
      <c r="AR1169" s="3"/>
      <c r="AS1169" s="3"/>
    </row>
    <row r="1170" spans="1:45" ht="15">
      <c r="A1170"/>
      <c r="J1170"/>
      <c r="AA1170"/>
      <c r="AB1170"/>
      <c r="AC1170"/>
      <c r="AD1170"/>
      <c r="AE1170"/>
      <c r="AF1170"/>
      <c r="AG1170"/>
      <c r="AH1170"/>
      <c r="AO1170" s="2"/>
      <c r="AP1170" s="3"/>
      <c r="AQ1170" s="3"/>
      <c r="AR1170" s="3"/>
      <c r="AS1170" s="3"/>
    </row>
    <row r="1171" spans="1:45" ht="15">
      <c r="A1171"/>
      <c r="J1171"/>
      <c r="AA1171"/>
      <c r="AB1171"/>
      <c r="AC1171"/>
      <c r="AD1171"/>
      <c r="AE1171"/>
      <c r="AF1171"/>
      <c r="AG1171"/>
      <c r="AH1171"/>
      <c r="AO1171" s="2"/>
      <c r="AP1171" s="3"/>
      <c r="AQ1171" s="3"/>
      <c r="AR1171" s="3"/>
      <c r="AS1171" s="3"/>
    </row>
    <row r="1172" spans="1:45" ht="15">
      <c r="A1172"/>
      <c r="J1172"/>
      <c r="AA1172"/>
      <c r="AB1172"/>
      <c r="AC1172"/>
      <c r="AD1172"/>
      <c r="AE1172"/>
      <c r="AF1172"/>
      <c r="AG1172"/>
      <c r="AH1172"/>
      <c r="AO1172" s="2"/>
      <c r="AP1172" s="3"/>
      <c r="AQ1172" s="3"/>
      <c r="AR1172" s="3"/>
      <c r="AS1172" s="3"/>
    </row>
    <row r="1173" spans="1:45" ht="15">
      <c r="A1173"/>
      <c r="J1173"/>
      <c r="AA1173"/>
      <c r="AB1173"/>
      <c r="AC1173"/>
      <c r="AD1173"/>
      <c r="AE1173"/>
      <c r="AF1173"/>
      <c r="AG1173"/>
      <c r="AH1173"/>
      <c r="AO1173" s="2"/>
      <c r="AP1173" s="3"/>
      <c r="AQ1173" s="3"/>
      <c r="AR1173" s="3"/>
      <c r="AS1173" s="3"/>
    </row>
    <row r="1174" spans="1:45" ht="15">
      <c r="A1174"/>
      <c r="J1174"/>
      <c r="AA1174"/>
      <c r="AB1174"/>
      <c r="AC1174"/>
      <c r="AD1174"/>
      <c r="AE1174"/>
      <c r="AF1174"/>
      <c r="AG1174"/>
      <c r="AH1174"/>
      <c r="AO1174" s="2"/>
      <c r="AP1174" s="3"/>
      <c r="AQ1174" s="3"/>
      <c r="AR1174" s="3"/>
      <c r="AS1174" s="3"/>
    </row>
    <row r="1175" spans="1:45" ht="15">
      <c r="A1175"/>
      <c r="J1175"/>
      <c r="AA1175"/>
      <c r="AB1175"/>
      <c r="AC1175"/>
      <c r="AD1175"/>
      <c r="AE1175"/>
      <c r="AF1175"/>
      <c r="AG1175"/>
      <c r="AH1175"/>
      <c r="AO1175" s="2"/>
      <c r="AP1175" s="3"/>
      <c r="AQ1175" s="3"/>
      <c r="AR1175" s="3"/>
      <c r="AS1175" s="3"/>
    </row>
    <row r="1176" spans="1:45" ht="15">
      <c r="A1176"/>
      <c r="J1176"/>
      <c r="AA1176"/>
      <c r="AB1176"/>
      <c r="AC1176"/>
      <c r="AD1176"/>
      <c r="AE1176"/>
      <c r="AF1176"/>
      <c r="AG1176"/>
      <c r="AH1176"/>
      <c r="AO1176" s="2"/>
      <c r="AP1176" s="3"/>
      <c r="AQ1176" s="3"/>
      <c r="AR1176" s="3"/>
      <c r="AS1176" s="3"/>
    </row>
    <row r="1177" spans="1:45" ht="15">
      <c r="A1177"/>
      <c r="J1177"/>
      <c r="AA1177"/>
      <c r="AB1177"/>
      <c r="AC1177"/>
      <c r="AD1177"/>
      <c r="AE1177"/>
      <c r="AF1177"/>
      <c r="AG1177"/>
      <c r="AH1177"/>
      <c r="AO1177" s="2"/>
      <c r="AP1177" s="3"/>
      <c r="AQ1177" s="3"/>
      <c r="AR1177" s="3"/>
      <c r="AS1177" s="3"/>
    </row>
    <row r="1178" spans="1:45" ht="15">
      <c r="A1178"/>
      <c r="J1178"/>
      <c r="AA1178"/>
      <c r="AB1178"/>
      <c r="AC1178"/>
      <c r="AD1178"/>
      <c r="AE1178"/>
      <c r="AF1178"/>
      <c r="AG1178"/>
      <c r="AH1178"/>
      <c r="AO1178" s="2"/>
      <c r="AP1178" s="3"/>
      <c r="AQ1178" s="3"/>
      <c r="AR1178" s="3"/>
      <c r="AS1178" s="3"/>
    </row>
    <row r="1179" spans="1:45" ht="15">
      <c r="A1179"/>
      <c r="J1179"/>
      <c r="AA1179"/>
      <c r="AB1179"/>
      <c r="AC1179"/>
      <c r="AD1179"/>
      <c r="AE1179"/>
      <c r="AF1179"/>
      <c r="AG1179"/>
      <c r="AH1179"/>
      <c r="AO1179" s="2"/>
      <c r="AP1179" s="3"/>
      <c r="AQ1179" s="3"/>
      <c r="AR1179" s="3"/>
      <c r="AS1179" s="3"/>
    </row>
    <row r="1180" spans="1:45" ht="15">
      <c r="A1180"/>
      <c r="J1180"/>
      <c r="AA1180"/>
      <c r="AB1180"/>
      <c r="AC1180"/>
      <c r="AD1180"/>
      <c r="AE1180"/>
      <c r="AF1180"/>
      <c r="AG1180"/>
      <c r="AH1180"/>
      <c r="AO1180" s="2"/>
      <c r="AP1180" s="3"/>
      <c r="AQ1180" s="3"/>
      <c r="AR1180" s="3"/>
      <c r="AS1180" s="3"/>
    </row>
    <row r="1181" spans="1:45" ht="15">
      <c r="A1181"/>
      <c r="J1181"/>
      <c r="AA1181"/>
      <c r="AB1181"/>
      <c r="AC1181"/>
      <c r="AD1181"/>
      <c r="AE1181"/>
      <c r="AF1181"/>
      <c r="AG1181"/>
      <c r="AH1181"/>
      <c r="AO1181" s="2"/>
      <c r="AP1181" s="3"/>
      <c r="AQ1181" s="3"/>
      <c r="AR1181" s="3"/>
      <c r="AS1181" s="3"/>
    </row>
    <row r="1182" spans="1:45" ht="15">
      <c r="A1182"/>
      <c r="J1182"/>
      <c r="AA1182"/>
      <c r="AB1182"/>
      <c r="AC1182"/>
      <c r="AD1182"/>
      <c r="AE1182"/>
      <c r="AF1182"/>
      <c r="AG1182"/>
      <c r="AH1182"/>
      <c r="AO1182" s="2"/>
      <c r="AP1182" s="3"/>
      <c r="AQ1182" s="3"/>
      <c r="AR1182" s="3"/>
      <c r="AS1182" s="3"/>
    </row>
    <row r="1183" spans="1:45" ht="15">
      <c r="A1183"/>
      <c r="J1183"/>
      <c r="AA1183"/>
      <c r="AB1183"/>
      <c r="AC1183"/>
      <c r="AD1183"/>
      <c r="AE1183"/>
      <c r="AF1183"/>
      <c r="AG1183"/>
      <c r="AH1183"/>
      <c r="AO1183" s="2"/>
      <c r="AP1183" s="3"/>
      <c r="AQ1183" s="3"/>
      <c r="AR1183" s="3"/>
      <c r="AS1183" s="3"/>
    </row>
    <row r="1184" spans="1:45" ht="15">
      <c r="A1184"/>
      <c r="J1184"/>
      <c r="AA1184"/>
      <c r="AB1184"/>
      <c r="AC1184"/>
      <c r="AD1184"/>
      <c r="AE1184"/>
      <c r="AF1184"/>
      <c r="AG1184"/>
      <c r="AH1184"/>
      <c r="AO1184" s="2"/>
      <c r="AP1184" s="3"/>
      <c r="AQ1184" s="3"/>
      <c r="AR1184" s="3"/>
      <c r="AS1184" s="3"/>
    </row>
    <row r="1185" spans="1:45" ht="15">
      <c r="A1185"/>
      <c r="J1185"/>
      <c r="AA1185"/>
      <c r="AB1185"/>
      <c r="AC1185"/>
      <c r="AD1185"/>
      <c r="AE1185"/>
      <c r="AF1185"/>
      <c r="AG1185"/>
      <c r="AH1185"/>
      <c r="AO1185" s="2"/>
      <c r="AP1185" s="3"/>
      <c r="AQ1185" s="3"/>
      <c r="AR1185" s="3"/>
      <c r="AS1185" s="3"/>
    </row>
    <row r="1186" spans="1:45" ht="15">
      <c r="A1186"/>
      <c r="J1186"/>
      <c r="AA1186"/>
      <c r="AB1186"/>
      <c r="AC1186"/>
      <c r="AD1186"/>
      <c r="AE1186"/>
      <c r="AF1186"/>
      <c r="AG1186"/>
      <c r="AH1186"/>
      <c r="AO1186" s="2"/>
      <c r="AP1186" s="3"/>
      <c r="AQ1186" s="3"/>
      <c r="AR1186" s="3"/>
      <c r="AS1186" s="3"/>
    </row>
    <row r="1187" spans="1:45" ht="15">
      <c r="A1187"/>
      <c r="J1187"/>
      <c r="AA1187"/>
      <c r="AB1187"/>
      <c r="AC1187"/>
      <c r="AD1187"/>
      <c r="AE1187"/>
      <c r="AF1187"/>
      <c r="AG1187"/>
      <c r="AH1187"/>
      <c r="AO1187" s="2"/>
      <c r="AP1187" s="3"/>
      <c r="AQ1187" s="3"/>
      <c r="AR1187" s="3"/>
      <c r="AS1187" s="3"/>
    </row>
    <row r="1188" spans="1:45" ht="15">
      <c r="A1188"/>
      <c r="J1188"/>
      <c r="AA1188"/>
      <c r="AB1188"/>
      <c r="AC1188"/>
      <c r="AD1188"/>
      <c r="AE1188"/>
      <c r="AF1188"/>
      <c r="AG1188"/>
      <c r="AH1188"/>
      <c r="AO1188" s="2"/>
      <c r="AP1188" s="3"/>
      <c r="AQ1188" s="3"/>
      <c r="AR1188" s="3"/>
      <c r="AS1188" s="3"/>
    </row>
    <row r="1189" spans="1:45" ht="15">
      <c r="A1189"/>
      <c r="J1189"/>
      <c r="AA1189"/>
      <c r="AB1189"/>
      <c r="AC1189"/>
      <c r="AD1189"/>
      <c r="AE1189"/>
      <c r="AF1189"/>
      <c r="AG1189"/>
      <c r="AH1189"/>
      <c r="AO1189" s="2"/>
      <c r="AP1189" s="3"/>
      <c r="AQ1189" s="3"/>
      <c r="AR1189" s="3"/>
      <c r="AS1189" s="3"/>
    </row>
    <row r="1190" spans="1:45" ht="15">
      <c r="A1190"/>
      <c r="J1190"/>
      <c r="AA1190"/>
      <c r="AB1190"/>
      <c r="AC1190"/>
      <c r="AD1190"/>
      <c r="AE1190"/>
      <c r="AF1190"/>
      <c r="AG1190"/>
      <c r="AH1190"/>
      <c r="AO1190" s="2"/>
      <c r="AP1190" s="3"/>
      <c r="AQ1190" s="3"/>
      <c r="AR1190" s="3"/>
      <c r="AS1190" s="3"/>
    </row>
    <row r="1191" spans="1:45" ht="15">
      <c r="A1191"/>
      <c r="J1191"/>
      <c r="AA1191"/>
      <c r="AB1191"/>
      <c r="AC1191"/>
      <c r="AD1191"/>
      <c r="AE1191"/>
      <c r="AF1191"/>
      <c r="AG1191"/>
      <c r="AH1191"/>
      <c r="AO1191" s="2"/>
      <c r="AP1191" s="3"/>
      <c r="AQ1191" s="3"/>
      <c r="AR1191" s="3"/>
      <c r="AS1191" s="3"/>
    </row>
    <row r="1192" spans="1:45" ht="15">
      <c r="A1192"/>
      <c r="J1192"/>
      <c r="AA1192"/>
      <c r="AB1192"/>
      <c r="AC1192"/>
      <c r="AD1192"/>
      <c r="AE1192"/>
      <c r="AF1192"/>
      <c r="AG1192"/>
      <c r="AH1192"/>
      <c r="AO1192" s="2"/>
      <c r="AP1192" s="3"/>
      <c r="AQ1192" s="3"/>
      <c r="AR1192" s="3"/>
      <c r="AS1192" s="3"/>
    </row>
    <row r="1193" spans="1:45" ht="15">
      <c r="A1193"/>
      <c r="J1193"/>
      <c r="AA1193"/>
      <c r="AB1193"/>
      <c r="AC1193"/>
      <c r="AD1193"/>
      <c r="AE1193"/>
      <c r="AF1193"/>
      <c r="AG1193"/>
      <c r="AH1193"/>
      <c r="AO1193" s="2"/>
      <c r="AP1193" s="3"/>
      <c r="AQ1193" s="3"/>
      <c r="AR1193" s="3"/>
      <c r="AS1193" s="3"/>
    </row>
    <row r="1194" spans="1:45" ht="15">
      <c r="A1194"/>
      <c r="J1194"/>
      <c r="AA1194"/>
      <c r="AB1194"/>
      <c r="AC1194"/>
      <c r="AD1194"/>
      <c r="AE1194"/>
      <c r="AF1194"/>
      <c r="AG1194"/>
      <c r="AH1194"/>
      <c r="AO1194" s="2"/>
      <c r="AP1194" s="3"/>
      <c r="AQ1194" s="3"/>
      <c r="AR1194" s="3"/>
      <c r="AS1194" s="3"/>
    </row>
    <row r="1195" spans="1:45" ht="15">
      <c r="A1195"/>
      <c r="J1195"/>
      <c r="AA1195"/>
      <c r="AB1195"/>
      <c r="AC1195"/>
      <c r="AD1195"/>
      <c r="AE1195"/>
      <c r="AF1195"/>
      <c r="AG1195"/>
      <c r="AH1195"/>
      <c r="AO1195" s="2"/>
      <c r="AP1195" s="3"/>
      <c r="AQ1195" s="3"/>
      <c r="AR1195" s="3"/>
      <c r="AS1195" s="3"/>
    </row>
    <row r="1196" spans="1:45" ht="15">
      <c r="A1196"/>
      <c r="J1196"/>
      <c r="AA1196"/>
      <c r="AB1196"/>
      <c r="AC1196"/>
      <c r="AD1196"/>
      <c r="AE1196"/>
      <c r="AF1196"/>
      <c r="AG1196"/>
      <c r="AH1196"/>
      <c r="AO1196" s="2"/>
      <c r="AP1196" s="3"/>
      <c r="AQ1196" s="3"/>
      <c r="AR1196" s="3"/>
      <c r="AS1196" s="3"/>
    </row>
    <row r="1197" spans="1:45" ht="15">
      <c r="A1197"/>
      <c r="J1197"/>
      <c r="AA1197"/>
      <c r="AB1197"/>
      <c r="AC1197"/>
      <c r="AD1197"/>
      <c r="AE1197"/>
      <c r="AF1197"/>
      <c r="AG1197"/>
      <c r="AH1197"/>
      <c r="AO1197" s="2"/>
      <c r="AP1197" s="3"/>
      <c r="AQ1197" s="3"/>
      <c r="AR1197" s="3"/>
      <c r="AS1197" s="3"/>
    </row>
    <row r="1198" spans="1:45" ht="15">
      <c r="A1198"/>
      <c r="J1198"/>
      <c r="AA1198"/>
      <c r="AB1198"/>
      <c r="AC1198"/>
      <c r="AD1198"/>
      <c r="AE1198"/>
      <c r="AF1198"/>
      <c r="AG1198"/>
      <c r="AH1198"/>
      <c r="AO1198" s="2"/>
      <c r="AP1198" s="3"/>
      <c r="AQ1198" s="3"/>
      <c r="AR1198" s="3"/>
      <c r="AS1198" s="3"/>
    </row>
    <row r="1199" spans="1:45" ht="15">
      <c r="A1199"/>
      <c r="J1199"/>
      <c r="AA1199"/>
      <c r="AB1199"/>
      <c r="AC1199"/>
      <c r="AD1199"/>
      <c r="AE1199"/>
      <c r="AF1199"/>
      <c r="AG1199"/>
      <c r="AH1199"/>
      <c r="AO1199" s="2"/>
      <c r="AP1199" s="3"/>
      <c r="AQ1199" s="3"/>
      <c r="AR1199" s="3"/>
      <c r="AS1199" s="3"/>
    </row>
    <row r="1200" spans="1:45" ht="15">
      <c r="A1200"/>
      <c r="J1200"/>
      <c r="AA1200"/>
      <c r="AB1200"/>
      <c r="AC1200"/>
      <c r="AD1200"/>
      <c r="AE1200"/>
      <c r="AF1200"/>
      <c r="AG1200"/>
      <c r="AH1200"/>
      <c r="AO1200" s="2"/>
      <c r="AP1200" s="3"/>
      <c r="AQ1200" s="3"/>
      <c r="AR1200" s="3"/>
      <c r="AS1200" s="3"/>
    </row>
    <row r="1201" spans="1:45" ht="15">
      <c r="A1201"/>
      <c r="J1201"/>
      <c r="AA1201"/>
      <c r="AB1201"/>
      <c r="AC1201"/>
      <c r="AD1201"/>
      <c r="AE1201"/>
      <c r="AF1201"/>
      <c r="AG1201"/>
      <c r="AH1201"/>
      <c r="AO1201" s="2"/>
      <c r="AP1201" s="3"/>
      <c r="AQ1201" s="3"/>
      <c r="AR1201" s="3"/>
      <c r="AS1201" s="3"/>
    </row>
    <row r="1202" spans="1:45" ht="15">
      <c r="A1202"/>
      <c r="J1202"/>
      <c r="AA1202"/>
      <c r="AB1202"/>
      <c r="AC1202"/>
      <c r="AD1202"/>
      <c r="AE1202"/>
      <c r="AF1202"/>
      <c r="AG1202"/>
      <c r="AH1202"/>
      <c r="AO1202" s="2"/>
      <c r="AP1202" s="3"/>
      <c r="AQ1202" s="3"/>
      <c r="AR1202" s="3"/>
      <c r="AS1202" s="3"/>
    </row>
    <row r="1203" spans="1:45" ht="15">
      <c r="A1203"/>
      <c r="J1203"/>
      <c r="AA1203"/>
      <c r="AB1203"/>
      <c r="AC1203"/>
      <c r="AD1203"/>
      <c r="AE1203"/>
      <c r="AF1203"/>
      <c r="AG1203"/>
      <c r="AH1203"/>
      <c r="AO1203" s="2"/>
      <c r="AP1203" s="3"/>
      <c r="AQ1203" s="3"/>
      <c r="AR1203" s="3"/>
      <c r="AS1203" s="3"/>
    </row>
    <row r="1204" spans="1:45" ht="15">
      <c r="A1204"/>
      <c r="J1204"/>
      <c r="AA1204"/>
      <c r="AB1204"/>
      <c r="AC1204"/>
      <c r="AD1204"/>
      <c r="AE1204"/>
      <c r="AF1204"/>
      <c r="AG1204"/>
      <c r="AH1204"/>
      <c r="AO1204" s="2"/>
      <c r="AP1204" s="3"/>
      <c r="AQ1204" s="3"/>
      <c r="AR1204" s="3"/>
      <c r="AS1204" s="3"/>
    </row>
    <row r="1205" spans="1:45" ht="15">
      <c r="A1205"/>
      <c r="J1205"/>
      <c r="AA1205"/>
      <c r="AB1205"/>
      <c r="AC1205"/>
      <c r="AD1205"/>
      <c r="AE1205"/>
      <c r="AF1205"/>
      <c r="AG1205"/>
      <c r="AH1205"/>
      <c r="AO1205" s="2"/>
      <c r="AP1205" s="3"/>
      <c r="AQ1205" s="3"/>
      <c r="AR1205" s="3"/>
      <c r="AS1205" s="3"/>
    </row>
    <row r="1206" spans="1:45" ht="15">
      <c r="A1206"/>
      <c r="J1206"/>
      <c r="AA1206"/>
      <c r="AB1206"/>
      <c r="AC1206"/>
      <c r="AD1206"/>
      <c r="AE1206"/>
      <c r="AF1206"/>
      <c r="AG1206"/>
      <c r="AH1206"/>
      <c r="AO1206" s="2"/>
      <c r="AP1206" s="3"/>
      <c r="AQ1206" s="3"/>
      <c r="AR1206" s="3"/>
      <c r="AS1206" s="3"/>
    </row>
    <row r="1207" spans="1:45" ht="15">
      <c r="A1207"/>
      <c r="J1207"/>
      <c r="AA1207"/>
      <c r="AB1207"/>
      <c r="AC1207"/>
      <c r="AD1207"/>
      <c r="AE1207"/>
      <c r="AF1207"/>
      <c r="AG1207"/>
      <c r="AH1207"/>
      <c r="AO1207" s="2"/>
      <c r="AP1207" s="3"/>
      <c r="AQ1207" s="3"/>
      <c r="AR1207" s="3"/>
      <c r="AS1207" s="3"/>
    </row>
    <row r="1208" spans="1:45" ht="15">
      <c r="A1208"/>
      <c r="J1208"/>
      <c r="AA1208"/>
      <c r="AB1208"/>
      <c r="AC1208"/>
      <c r="AD1208"/>
      <c r="AE1208"/>
      <c r="AF1208"/>
      <c r="AG1208"/>
      <c r="AH1208"/>
      <c r="AO1208" s="2"/>
      <c r="AP1208" s="3"/>
      <c r="AQ1208" s="3"/>
      <c r="AR1208" s="3"/>
      <c r="AS1208" s="3"/>
    </row>
    <row r="1209" spans="1:45" ht="15">
      <c r="A1209"/>
      <c r="J1209"/>
      <c r="AA1209"/>
      <c r="AB1209"/>
      <c r="AC1209"/>
      <c r="AD1209"/>
      <c r="AE1209"/>
      <c r="AF1209"/>
      <c r="AG1209"/>
      <c r="AH1209"/>
      <c r="AO1209" s="2"/>
      <c r="AP1209" s="3"/>
      <c r="AQ1209" s="3"/>
      <c r="AR1209" s="3"/>
      <c r="AS1209" s="3"/>
    </row>
    <row r="1210" spans="1:45" ht="15">
      <c r="A1210"/>
      <c r="J1210"/>
      <c r="AA1210"/>
      <c r="AB1210"/>
      <c r="AC1210"/>
      <c r="AD1210"/>
      <c r="AE1210"/>
      <c r="AF1210"/>
      <c r="AG1210"/>
      <c r="AH1210"/>
      <c r="AO1210" s="2"/>
      <c r="AP1210" s="3"/>
      <c r="AQ1210" s="3"/>
      <c r="AR1210" s="3"/>
      <c r="AS1210" s="3"/>
    </row>
    <row r="1211" spans="1:45" ht="15">
      <c r="A1211"/>
      <c r="J1211"/>
      <c r="AA1211"/>
      <c r="AB1211"/>
      <c r="AC1211"/>
      <c r="AD1211"/>
      <c r="AE1211"/>
      <c r="AF1211"/>
      <c r="AG1211"/>
      <c r="AH1211"/>
      <c r="AO1211" s="2"/>
      <c r="AP1211" s="3"/>
      <c r="AQ1211" s="3"/>
      <c r="AR1211" s="3"/>
      <c r="AS1211" s="3"/>
    </row>
    <row r="1212" spans="1:45" ht="15">
      <c r="A1212"/>
      <c r="J1212"/>
      <c r="AA1212"/>
      <c r="AB1212"/>
      <c r="AC1212"/>
      <c r="AD1212"/>
      <c r="AE1212"/>
      <c r="AF1212"/>
      <c r="AG1212"/>
      <c r="AH1212"/>
      <c r="AO1212" s="2"/>
      <c r="AP1212" s="3"/>
      <c r="AQ1212" s="3"/>
      <c r="AR1212" s="3"/>
      <c r="AS1212" s="3"/>
    </row>
    <row r="1213" spans="1:45" ht="15">
      <c r="A1213"/>
      <c r="J1213"/>
      <c r="AA1213"/>
      <c r="AB1213"/>
      <c r="AC1213"/>
      <c r="AD1213"/>
      <c r="AE1213"/>
      <c r="AF1213"/>
      <c r="AG1213"/>
      <c r="AH1213"/>
      <c r="AO1213" s="2"/>
      <c r="AP1213" s="3"/>
      <c r="AQ1213" s="3"/>
      <c r="AR1213" s="3"/>
      <c r="AS1213" s="3"/>
    </row>
    <row r="1214" spans="1:45" ht="15">
      <c r="A1214"/>
      <c r="J1214"/>
      <c r="AA1214"/>
      <c r="AB1214"/>
      <c r="AC1214"/>
      <c r="AD1214"/>
      <c r="AE1214"/>
      <c r="AF1214"/>
      <c r="AG1214"/>
      <c r="AH1214"/>
      <c r="AO1214" s="2"/>
      <c r="AP1214" s="3"/>
      <c r="AQ1214" s="3"/>
      <c r="AR1214" s="3"/>
      <c r="AS1214" s="3"/>
    </row>
    <row r="1215" spans="1:45" ht="15">
      <c r="A1215"/>
      <c r="J1215"/>
      <c r="AA1215"/>
      <c r="AB1215"/>
      <c r="AC1215"/>
      <c r="AD1215"/>
      <c r="AE1215"/>
      <c r="AF1215"/>
      <c r="AG1215"/>
      <c r="AH1215"/>
      <c r="AO1215" s="2"/>
      <c r="AP1215" s="3"/>
      <c r="AQ1215" s="3"/>
      <c r="AR1215" s="3"/>
      <c r="AS1215" s="3"/>
    </row>
    <row r="1216" spans="1:45" ht="15">
      <c r="A1216"/>
      <c r="J1216"/>
      <c r="AA1216"/>
      <c r="AB1216"/>
      <c r="AC1216"/>
      <c r="AD1216"/>
      <c r="AE1216"/>
      <c r="AF1216"/>
      <c r="AG1216"/>
      <c r="AH1216"/>
      <c r="AO1216" s="2"/>
      <c r="AP1216" s="3"/>
      <c r="AQ1216" s="3"/>
      <c r="AR1216" s="3"/>
      <c r="AS1216" s="3"/>
    </row>
    <row r="1217" spans="1:45" ht="15">
      <c r="A1217"/>
      <c r="J1217"/>
      <c r="AA1217"/>
      <c r="AB1217"/>
      <c r="AC1217"/>
      <c r="AD1217"/>
      <c r="AE1217"/>
      <c r="AF1217"/>
      <c r="AG1217"/>
      <c r="AH1217"/>
      <c r="AO1217" s="2"/>
      <c r="AP1217" s="3"/>
      <c r="AQ1217" s="3"/>
      <c r="AR1217" s="3"/>
      <c r="AS1217" s="3"/>
    </row>
    <row r="1218" spans="1:45" ht="15">
      <c r="A1218"/>
      <c r="J1218"/>
      <c r="AA1218"/>
      <c r="AB1218"/>
      <c r="AC1218"/>
      <c r="AD1218"/>
      <c r="AE1218"/>
      <c r="AF1218"/>
      <c r="AG1218"/>
      <c r="AH1218"/>
      <c r="AO1218" s="2"/>
      <c r="AP1218" s="3"/>
      <c r="AQ1218" s="3"/>
      <c r="AR1218" s="3"/>
      <c r="AS1218" s="3"/>
    </row>
    <row r="1219" spans="1:45" ht="15">
      <c r="A1219"/>
      <c r="J1219"/>
      <c r="AA1219"/>
      <c r="AB1219"/>
      <c r="AC1219"/>
      <c r="AD1219"/>
      <c r="AE1219"/>
      <c r="AF1219"/>
      <c r="AG1219"/>
      <c r="AH1219"/>
      <c r="AO1219" s="2"/>
      <c r="AP1219" s="3"/>
      <c r="AQ1219" s="3"/>
      <c r="AR1219" s="3"/>
      <c r="AS1219" s="3"/>
    </row>
    <row r="1220" spans="1:45" ht="15">
      <c r="A1220"/>
      <c r="J1220"/>
      <c r="AA1220"/>
      <c r="AB1220"/>
      <c r="AC1220"/>
      <c r="AD1220"/>
      <c r="AE1220"/>
      <c r="AF1220"/>
      <c r="AG1220"/>
      <c r="AH1220"/>
      <c r="AO1220" s="2"/>
      <c r="AP1220" s="3"/>
      <c r="AQ1220" s="3"/>
      <c r="AR1220" s="3"/>
      <c r="AS1220" s="3"/>
    </row>
    <row r="1221" spans="1:45" ht="15">
      <c r="A1221"/>
      <c r="J1221"/>
      <c r="AA1221"/>
      <c r="AB1221"/>
      <c r="AC1221"/>
      <c r="AD1221"/>
      <c r="AE1221"/>
      <c r="AF1221"/>
      <c r="AG1221"/>
      <c r="AH1221"/>
      <c r="AO1221" s="2"/>
      <c r="AP1221" s="3"/>
      <c r="AQ1221" s="3"/>
      <c r="AR1221" s="3"/>
      <c r="AS1221" s="3"/>
    </row>
    <row r="1222" spans="1:45" ht="15">
      <c r="A1222"/>
      <c r="J1222"/>
      <c r="AA1222"/>
      <c r="AB1222"/>
      <c r="AC1222"/>
      <c r="AD1222"/>
      <c r="AE1222"/>
      <c r="AF1222"/>
      <c r="AG1222"/>
      <c r="AH1222"/>
      <c r="AO1222" s="2"/>
      <c r="AP1222" s="3"/>
      <c r="AQ1222" s="3"/>
      <c r="AR1222" s="3"/>
      <c r="AS1222" s="3"/>
    </row>
    <row r="1223" spans="1:45" ht="15">
      <c r="A1223"/>
      <c r="J1223"/>
      <c r="AA1223"/>
      <c r="AB1223"/>
      <c r="AC1223"/>
      <c r="AD1223"/>
      <c r="AE1223"/>
      <c r="AF1223"/>
      <c r="AG1223"/>
      <c r="AH1223"/>
      <c r="AO1223" s="2"/>
      <c r="AP1223" s="3"/>
      <c r="AQ1223" s="3"/>
      <c r="AR1223" s="3"/>
      <c r="AS1223" s="3"/>
    </row>
    <row r="1224" spans="1:45" ht="15">
      <c r="A1224"/>
      <c r="J1224"/>
      <c r="AA1224"/>
      <c r="AB1224"/>
      <c r="AC1224"/>
      <c r="AD1224"/>
      <c r="AE1224"/>
      <c r="AF1224"/>
      <c r="AG1224"/>
      <c r="AH1224"/>
      <c r="AO1224" s="2"/>
      <c r="AP1224" s="3"/>
      <c r="AQ1224" s="3"/>
      <c r="AR1224" s="3"/>
      <c r="AS1224" s="3"/>
    </row>
    <row r="1225" spans="1:45" ht="15">
      <c r="A1225"/>
      <c r="J1225"/>
      <c r="AA1225"/>
      <c r="AB1225"/>
      <c r="AC1225"/>
      <c r="AD1225"/>
      <c r="AE1225"/>
      <c r="AF1225"/>
      <c r="AG1225"/>
      <c r="AH1225"/>
      <c r="AO1225" s="2"/>
      <c r="AP1225" s="3"/>
      <c r="AQ1225" s="3"/>
      <c r="AR1225" s="3"/>
      <c r="AS1225" s="3"/>
    </row>
    <row r="1226" spans="1:45" ht="15">
      <c r="A1226"/>
      <c r="J1226"/>
      <c r="AA1226"/>
      <c r="AB1226"/>
      <c r="AC1226"/>
      <c r="AD1226"/>
      <c r="AE1226"/>
      <c r="AF1226"/>
      <c r="AG1226"/>
      <c r="AH1226"/>
      <c r="AO1226" s="2"/>
      <c r="AP1226" s="3"/>
      <c r="AQ1226" s="3"/>
      <c r="AR1226" s="3"/>
      <c r="AS1226" s="3"/>
    </row>
    <row r="1227" spans="1:45" ht="15">
      <c r="A1227"/>
      <c r="J1227"/>
      <c r="AA1227"/>
      <c r="AB1227"/>
      <c r="AC1227"/>
      <c r="AD1227"/>
      <c r="AE1227"/>
      <c r="AF1227"/>
      <c r="AG1227"/>
      <c r="AH1227"/>
      <c r="AO1227" s="2"/>
      <c r="AP1227" s="3"/>
      <c r="AQ1227" s="3"/>
      <c r="AR1227" s="3"/>
      <c r="AS1227" s="3"/>
    </row>
    <row r="1228" spans="1:45" ht="15">
      <c r="A1228"/>
      <c r="J1228"/>
      <c r="AA1228"/>
      <c r="AB1228"/>
      <c r="AC1228"/>
      <c r="AD1228"/>
      <c r="AE1228"/>
      <c r="AF1228"/>
      <c r="AG1228"/>
      <c r="AH1228"/>
      <c r="AO1228" s="2"/>
      <c r="AP1228" s="3"/>
      <c r="AQ1228" s="3"/>
      <c r="AR1228" s="3"/>
      <c r="AS1228" s="3"/>
    </row>
    <row r="1229" spans="1:45" ht="15">
      <c r="A1229"/>
      <c r="J1229"/>
      <c r="AA1229"/>
      <c r="AB1229"/>
      <c r="AC1229"/>
      <c r="AD1229"/>
      <c r="AE1229"/>
      <c r="AF1229"/>
      <c r="AG1229"/>
      <c r="AH1229"/>
      <c r="AO1229" s="2"/>
      <c r="AP1229" s="3"/>
      <c r="AQ1229" s="3"/>
      <c r="AR1229" s="3"/>
      <c r="AS1229" s="3"/>
    </row>
    <row r="1230" spans="1:45" ht="15">
      <c r="A1230"/>
      <c r="J1230"/>
      <c r="AA1230"/>
      <c r="AB1230"/>
      <c r="AC1230"/>
      <c r="AD1230"/>
      <c r="AE1230"/>
      <c r="AF1230"/>
      <c r="AG1230"/>
      <c r="AH1230"/>
      <c r="AO1230" s="2"/>
      <c r="AP1230" s="3"/>
      <c r="AQ1230" s="3"/>
      <c r="AR1230" s="3"/>
      <c r="AS1230" s="3"/>
    </row>
    <row r="1231" spans="1:45" ht="15">
      <c r="A1231"/>
      <c r="J1231"/>
      <c r="AA1231"/>
      <c r="AB1231"/>
      <c r="AC1231"/>
      <c r="AD1231"/>
      <c r="AE1231"/>
      <c r="AF1231"/>
      <c r="AG1231"/>
      <c r="AH1231"/>
      <c r="AO1231" s="2"/>
      <c r="AP1231" s="3"/>
      <c r="AQ1231" s="3"/>
      <c r="AR1231" s="3"/>
      <c r="AS1231" s="3"/>
    </row>
    <row r="1232" spans="1:45" ht="15">
      <c r="A1232"/>
      <c r="J1232"/>
      <c r="AA1232"/>
      <c r="AB1232"/>
      <c r="AC1232"/>
      <c r="AD1232"/>
      <c r="AE1232"/>
      <c r="AF1232"/>
      <c r="AG1232"/>
      <c r="AH1232"/>
      <c r="AO1232" s="2"/>
      <c r="AP1232" s="3"/>
      <c r="AQ1232" s="3"/>
      <c r="AR1232" s="3"/>
      <c r="AS1232" s="3"/>
    </row>
    <row r="1233" spans="1:45" ht="15">
      <c r="A1233"/>
      <c r="J1233"/>
      <c r="AA1233"/>
      <c r="AB1233"/>
      <c r="AC1233"/>
      <c r="AD1233"/>
      <c r="AE1233"/>
      <c r="AF1233"/>
      <c r="AG1233"/>
      <c r="AH1233"/>
      <c r="AO1233" s="2"/>
      <c r="AP1233" s="3"/>
      <c r="AQ1233" s="3"/>
      <c r="AR1233" s="3"/>
      <c r="AS1233" s="3"/>
    </row>
    <row r="1234" spans="1:45" ht="15">
      <c r="A1234"/>
      <c r="J1234"/>
      <c r="AA1234"/>
      <c r="AB1234"/>
      <c r="AC1234"/>
      <c r="AD1234"/>
      <c r="AE1234"/>
      <c r="AF1234"/>
      <c r="AG1234"/>
      <c r="AH1234"/>
      <c r="AO1234" s="2"/>
      <c r="AP1234" s="3"/>
      <c r="AQ1234" s="3"/>
      <c r="AR1234" s="3"/>
      <c r="AS1234" s="3"/>
    </row>
    <row r="1235" spans="1:45" ht="15">
      <c r="A1235"/>
      <c r="J1235"/>
      <c r="AA1235"/>
      <c r="AB1235"/>
      <c r="AC1235"/>
      <c r="AD1235"/>
      <c r="AE1235"/>
      <c r="AF1235"/>
      <c r="AG1235"/>
      <c r="AH1235"/>
      <c r="AO1235" s="2"/>
      <c r="AP1235" s="3"/>
      <c r="AQ1235" s="3"/>
      <c r="AR1235" s="3"/>
      <c r="AS1235" s="3"/>
    </row>
    <row r="1236" spans="1:45" ht="15">
      <c r="A1236"/>
      <c r="J1236"/>
      <c r="AA1236"/>
      <c r="AB1236"/>
      <c r="AC1236"/>
      <c r="AD1236"/>
      <c r="AE1236"/>
      <c r="AF1236"/>
      <c r="AG1236"/>
      <c r="AH1236"/>
      <c r="AO1236" s="2"/>
      <c r="AP1236" s="3"/>
      <c r="AQ1236" s="3"/>
      <c r="AR1236" s="3"/>
      <c r="AS1236" s="3"/>
    </row>
    <row r="1237" spans="1:45" ht="15">
      <c r="A1237"/>
      <c r="J1237"/>
      <c r="AA1237"/>
      <c r="AB1237"/>
      <c r="AC1237"/>
      <c r="AD1237"/>
      <c r="AE1237"/>
      <c r="AF1237"/>
      <c r="AG1237"/>
      <c r="AH1237"/>
      <c r="AO1237" s="2"/>
      <c r="AP1237" s="3"/>
      <c r="AQ1237" s="3"/>
      <c r="AR1237" s="3"/>
      <c r="AS1237" s="3"/>
    </row>
    <row r="1238" spans="1:45" ht="15">
      <c r="A1238"/>
      <c r="J1238"/>
      <c r="AA1238"/>
      <c r="AB1238"/>
      <c r="AC1238"/>
      <c r="AD1238"/>
      <c r="AE1238"/>
      <c r="AF1238"/>
      <c r="AG1238"/>
      <c r="AH1238"/>
      <c r="AO1238" s="2"/>
      <c r="AP1238" s="3"/>
      <c r="AQ1238" s="3"/>
      <c r="AR1238" s="3"/>
      <c r="AS1238" s="3"/>
    </row>
    <row r="1239" spans="1:45" ht="15">
      <c r="A1239"/>
      <c r="J1239"/>
      <c r="AA1239"/>
      <c r="AB1239"/>
      <c r="AC1239"/>
      <c r="AD1239"/>
      <c r="AE1239"/>
      <c r="AF1239"/>
      <c r="AG1239"/>
      <c r="AH1239"/>
      <c r="AO1239" s="2"/>
      <c r="AP1239" s="3"/>
      <c r="AQ1239" s="3"/>
      <c r="AR1239" s="3"/>
      <c r="AS1239" s="3"/>
    </row>
    <row r="1240" spans="1:45" ht="15">
      <c r="A1240"/>
      <c r="J1240"/>
      <c r="AA1240"/>
      <c r="AB1240"/>
      <c r="AC1240"/>
      <c r="AD1240"/>
      <c r="AE1240"/>
      <c r="AF1240"/>
      <c r="AG1240"/>
      <c r="AH1240"/>
      <c r="AO1240" s="2"/>
      <c r="AP1240" s="3"/>
      <c r="AQ1240" s="3"/>
      <c r="AR1240" s="3"/>
      <c r="AS1240" s="3"/>
    </row>
    <row r="1241" spans="1:45" ht="15">
      <c r="A1241"/>
      <c r="J1241"/>
      <c r="AA1241"/>
      <c r="AB1241"/>
      <c r="AC1241"/>
      <c r="AD1241"/>
      <c r="AE1241"/>
      <c r="AF1241"/>
      <c r="AG1241"/>
      <c r="AH1241"/>
      <c r="AO1241" s="2"/>
      <c r="AP1241" s="3"/>
      <c r="AQ1241" s="3"/>
      <c r="AR1241" s="3"/>
      <c r="AS1241" s="3"/>
    </row>
    <row r="1242" spans="1:45" ht="15">
      <c r="A1242"/>
      <c r="J1242"/>
      <c r="AA1242"/>
      <c r="AB1242"/>
      <c r="AC1242"/>
      <c r="AD1242"/>
      <c r="AE1242"/>
      <c r="AF1242"/>
      <c r="AG1242"/>
      <c r="AH1242"/>
      <c r="AO1242" s="2"/>
      <c r="AP1242" s="3"/>
      <c r="AQ1242" s="3"/>
      <c r="AR1242" s="3"/>
      <c r="AS1242" s="3"/>
    </row>
    <row r="1243" spans="1:45" ht="15">
      <c r="A1243"/>
      <c r="J1243"/>
      <c r="AA1243"/>
      <c r="AB1243"/>
      <c r="AC1243"/>
      <c r="AD1243"/>
      <c r="AE1243"/>
      <c r="AF1243"/>
      <c r="AG1243"/>
      <c r="AH1243"/>
      <c r="AO1243" s="2"/>
      <c r="AP1243" s="3"/>
      <c r="AQ1243" s="3"/>
      <c r="AR1243" s="3"/>
      <c r="AS1243" s="3"/>
    </row>
    <row r="1244" spans="1:45" ht="15">
      <c r="A1244"/>
      <c r="J1244"/>
      <c r="AA1244"/>
      <c r="AB1244"/>
      <c r="AC1244"/>
      <c r="AD1244"/>
      <c r="AE1244"/>
      <c r="AF1244"/>
      <c r="AG1244"/>
      <c r="AH1244"/>
      <c r="AO1244" s="2"/>
      <c r="AP1244" s="3"/>
      <c r="AQ1244" s="3"/>
      <c r="AR1244" s="3"/>
      <c r="AS1244" s="3"/>
    </row>
    <row r="1245" spans="1:45" ht="15">
      <c r="A1245"/>
      <c r="J1245"/>
      <c r="AA1245"/>
      <c r="AB1245"/>
      <c r="AC1245"/>
      <c r="AD1245"/>
      <c r="AE1245"/>
      <c r="AF1245"/>
      <c r="AG1245"/>
      <c r="AH1245"/>
      <c r="AO1245" s="2"/>
      <c r="AP1245" s="3"/>
      <c r="AQ1245" s="3"/>
      <c r="AR1245" s="3"/>
      <c r="AS1245" s="3"/>
    </row>
    <row r="1246" spans="1:45" ht="15">
      <c r="A1246"/>
      <c r="J1246"/>
      <c r="AA1246"/>
      <c r="AB1246"/>
      <c r="AC1246"/>
      <c r="AD1246"/>
      <c r="AE1246"/>
      <c r="AF1246"/>
      <c r="AG1246"/>
      <c r="AH1246"/>
      <c r="AO1246" s="2"/>
      <c r="AP1246" s="3"/>
      <c r="AQ1246" s="3"/>
      <c r="AR1246" s="3"/>
      <c r="AS1246" s="3"/>
    </row>
    <row r="1247" spans="1:45" ht="15">
      <c r="A1247"/>
      <c r="J1247"/>
      <c r="AA1247"/>
      <c r="AB1247"/>
      <c r="AC1247"/>
      <c r="AD1247"/>
      <c r="AE1247"/>
      <c r="AF1247"/>
      <c r="AG1247"/>
      <c r="AH1247"/>
      <c r="AO1247" s="2"/>
      <c r="AP1247" s="3"/>
      <c r="AQ1247" s="3"/>
      <c r="AR1247" s="3"/>
      <c r="AS1247" s="3"/>
    </row>
    <row r="1248" spans="1:45" ht="15">
      <c r="A1248"/>
      <c r="J1248"/>
      <c r="AA1248"/>
      <c r="AB1248"/>
      <c r="AC1248"/>
      <c r="AD1248"/>
      <c r="AE1248"/>
      <c r="AF1248"/>
      <c r="AG1248"/>
      <c r="AH1248"/>
      <c r="AO1248" s="2"/>
      <c r="AP1248" s="3"/>
      <c r="AQ1248" s="3"/>
      <c r="AR1248" s="3"/>
      <c r="AS1248" s="3"/>
    </row>
    <row r="1249" spans="1:45" ht="15">
      <c r="A1249"/>
      <c r="J1249"/>
      <c r="AA1249"/>
      <c r="AB1249"/>
      <c r="AC1249"/>
      <c r="AD1249"/>
      <c r="AE1249"/>
      <c r="AF1249"/>
      <c r="AG1249"/>
      <c r="AH1249"/>
      <c r="AO1249" s="2"/>
      <c r="AP1249" s="3"/>
      <c r="AQ1249" s="3"/>
      <c r="AR1249" s="3"/>
      <c r="AS1249" s="3"/>
    </row>
    <row r="1250" spans="1:45" ht="15">
      <c r="A1250"/>
      <c r="J1250"/>
      <c r="AA1250"/>
      <c r="AB1250"/>
      <c r="AC1250"/>
      <c r="AD1250"/>
      <c r="AE1250"/>
      <c r="AF1250"/>
      <c r="AG1250"/>
      <c r="AH1250"/>
      <c r="AO1250" s="2"/>
      <c r="AP1250" s="3"/>
      <c r="AQ1250" s="3"/>
      <c r="AR1250" s="3"/>
      <c r="AS1250" s="3"/>
    </row>
    <row r="1251" spans="1:45" ht="15">
      <c r="A1251"/>
      <c r="J1251"/>
      <c r="AA1251"/>
      <c r="AB1251"/>
      <c r="AC1251"/>
      <c r="AD1251"/>
      <c r="AE1251"/>
      <c r="AF1251"/>
      <c r="AG1251"/>
      <c r="AH1251"/>
      <c r="AO1251" s="2"/>
      <c r="AP1251" s="3"/>
      <c r="AQ1251" s="3"/>
      <c r="AR1251" s="3"/>
      <c r="AS1251" s="3"/>
    </row>
    <row r="1252" spans="1:45" ht="15">
      <c r="A1252"/>
      <c r="J1252"/>
      <c r="AA1252"/>
      <c r="AB1252"/>
      <c r="AC1252"/>
      <c r="AD1252"/>
      <c r="AE1252"/>
      <c r="AF1252"/>
      <c r="AG1252"/>
      <c r="AH1252"/>
      <c r="AO1252" s="2"/>
      <c r="AP1252" s="3"/>
      <c r="AQ1252" s="3"/>
      <c r="AR1252" s="3"/>
      <c r="AS1252" s="3"/>
    </row>
    <row r="1253" spans="1:45" ht="15">
      <c r="A1253"/>
      <c r="J1253"/>
      <c r="AA1253"/>
      <c r="AB1253"/>
      <c r="AC1253"/>
      <c r="AD1253"/>
      <c r="AE1253"/>
      <c r="AF1253"/>
      <c r="AG1253"/>
      <c r="AH1253"/>
      <c r="AO1253" s="2"/>
      <c r="AP1253" s="3"/>
      <c r="AQ1253" s="3"/>
      <c r="AR1253" s="3"/>
      <c r="AS1253" s="3"/>
    </row>
    <row r="1254" spans="1:45" ht="15">
      <c r="A1254"/>
      <c r="J1254"/>
      <c r="AA1254"/>
      <c r="AB1254"/>
      <c r="AC1254"/>
      <c r="AD1254"/>
      <c r="AE1254"/>
      <c r="AF1254"/>
      <c r="AG1254"/>
      <c r="AH1254"/>
      <c r="AO1254" s="2"/>
      <c r="AP1254" s="3"/>
      <c r="AQ1254" s="3"/>
      <c r="AR1254" s="3"/>
      <c r="AS1254" s="3"/>
    </row>
    <row r="1255" spans="1:45" ht="15">
      <c r="A1255"/>
      <c r="J1255"/>
      <c r="AA1255"/>
      <c r="AB1255"/>
      <c r="AC1255"/>
      <c r="AD1255"/>
      <c r="AE1255"/>
      <c r="AF1255"/>
      <c r="AG1255"/>
      <c r="AH1255"/>
      <c r="AO1255" s="2"/>
      <c r="AP1255" s="3"/>
      <c r="AQ1255" s="3"/>
      <c r="AR1255" s="3"/>
      <c r="AS1255" s="3"/>
    </row>
    <row r="1256" spans="1:45" ht="15">
      <c r="A1256"/>
      <c r="J1256"/>
      <c r="AA1256"/>
      <c r="AB1256"/>
      <c r="AC1256"/>
      <c r="AD1256"/>
      <c r="AE1256"/>
      <c r="AF1256"/>
      <c r="AG1256"/>
      <c r="AH1256"/>
      <c r="AO1256" s="2"/>
      <c r="AP1256" s="3"/>
      <c r="AQ1256" s="3"/>
      <c r="AR1256" s="3"/>
      <c r="AS1256" s="3"/>
    </row>
    <row r="1257" spans="1:45" ht="15">
      <c r="A1257"/>
      <c r="J1257"/>
      <c r="AA1257"/>
      <c r="AB1257"/>
      <c r="AC1257"/>
      <c r="AD1257"/>
      <c r="AE1257"/>
      <c r="AF1257"/>
      <c r="AG1257"/>
      <c r="AH1257"/>
      <c r="AO1257" s="2"/>
      <c r="AP1257" s="3"/>
      <c r="AQ1257" s="3"/>
      <c r="AR1257" s="3"/>
      <c r="AS1257" s="3"/>
    </row>
    <row r="1258" spans="1:45" ht="15">
      <c r="A1258"/>
      <c r="J1258"/>
      <c r="AA1258"/>
      <c r="AB1258"/>
      <c r="AC1258"/>
      <c r="AD1258"/>
      <c r="AE1258"/>
      <c r="AF1258"/>
      <c r="AG1258"/>
      <c r="AH1258"/>
      <c r="AO1258" s="2"/>
      <c r="AP1258" s="3"/>
      <c r="AQ1258" s="3"/>
      <c r="AR1258" s="3"/>
      <c r="AS1258" s="3"/>
    </row>
    <row r="1259" spans="1:45" ht="15">
      <c r="A1259"/>
      <c r="J1259"/>
      <c r="AA1259"/>
      <c r="AB1259"/>
      <c r="AC1259"/>
      <c r="AD1259"/>
      <c r="AE1259"/>
      <c r="AF1259"/>
      <c r="AG1259"/>
      <c r="AH1259"/>
      <c r="AO1259" s="2"/>
      <c r="AP1259" s="3"/>
      <c r="AQ1259" s="3"/>
      <c r="AR1259" s="3"/>
      <c r="AS1259" s="3"/>
    </row>
    <row r="1260" spans="1:45" ht="15">
      <c r="A1260"/>
      <c r="J1260"/>
      <c r="AA1260"/>
      <c r="AB1260"/>
      <c r="AC1260"/>
      <c r="AD1260"/>
      <c r="AE1260"/>
      <c r="AF1260"/>
      <c r="AG1260"/>
      <c r="AH1260"/>
      <c r="AO1260" s="2"/>
      <c r="AP1260" s="3"/>
      <c r="AQ1260" s="3"/>
      <c r="AR1260" s="3"/>
      <c r="AS1260" s="3"/>
    </row>
    <row r="1261" spans="1:45" ht="15">
      <c r="A1261"/>
      <c r="J1261"/>
      <c r="AA1261"/>
      <c r="AB1261"/>
      <c r="AC1261"/>
      <c r="AD1261"/>
      <c r="AE1261"/>
      <c r="AF1261"/>
      <c r="AG1261"/>
      <c r="AH1261"/>
      <c r="AO1261" s="2"/>
      <c r="AP1261" s="3"/>
      <c r="AQ1261" s="3"/>
      <c r="AR1261" s="3"/>
      <c r="AS1261" s="3"/>
    </row>
    <row r="1262" spans="1:45" ht="15">
      <c r="A1262"/>
      <c r="J1262"/>
      <c r="AA1262"/>
      <c r="AB1262"/>
      <c r="AC1262"/>
      <c r="AD1262"/>
      <c r="AE1262"/>
      <c r="AF1262"/>
      <c r="AG1262"/>
      <c r="AH1262"/>
      <c r="AO1262" s="2"/>
      <c r="AP1262" s="3"/>
      <c r="AQ1262" s="3"/>
      <c r="AR1262" s="3"/>
      <c r="AS1262" s="3"/>
    </row>
    <row r="1263" spans="1:45" ht="15">
      <c r="A1263"/>
      <c r="J1263"/>
      <c r="AA1263"/>
      <c r="AB1263"/>
      <c r="AC1263"/>
      <c r="AD1263"/>
      <c r="AE1263"/>
      <c r="AF1263"/>
      <c r="AG1263"/>
      <c r="AH1263"/>
      <c r="AO1263" s="2"/>
      <c r="AP1263" s="3"/>
      <c r="AQ1263" s="3"/>
      <c r="AR1263" s="3"/>
      <c r="AS1263" s="3"/>
    </row>
    <row r="1264" spans="1:45" ht="15">
      <c r="A1264"/>
      <c r="J1264"/>
      <c r="AA1264"/>
      <c r="AB1264"/>
      <c r="AC1264"/>
      <c r="AD1264"/>
      <c r="AE1264"/>
      <c r="AF1264"/>
      <c r="AG1264"/>
      <c r="AH1264"/>
      <c r="AO1264" s="2"/>
      <c r="AP1264" s="3"/>
      <c r="AQ1264" s="3"/>
      <c r="AR1264" s="3"/>
      <c r="AS1264" s="3"/>
    </row>
    <row r="1265" spans="1:45" ht="15">
      <c r="A1265"/>
      <c r="J1265"/>
      <c r="AA1265"/>
      <c r="AB1265"/>
      <c r="AC1265"/>
      <c r="AD1265"/>
      <c r="AE1265"/>
      <c r="AF1265"/>
      <c r="AG1265"/>
      <c r="AH1265"/>
      <c r="AO1265" s="2"/>
      <c r="AP1265" s="3"/>
      <c r="AQ1265" s="3"/>
      <c r="AR1265" s="3"/>
      <c r="AS1265" s="3"/>
    </row>
    <row r="1266" spans="1:45" ht="15">
      <c r="A1266"/>
      <c r="J1266"/>
      <c r="AA1266"/>
      <c r="AB1266"/>
      <c r="AC1266"/>
      <c r="AD1266"/>
      <c r="AE1266"/>
      <c r="AF1266"/>
      <c r="AG1266"/>
      <c r="AH1266"/>
      <c r="AO1266" s="2"/>
      <c r="AP1266" s="3"/>
      <c r="AQ1266" s="3"/>
      <c r="AR1266" s="3"/>
      <c r="AS1266" s="3"/>
    </row>
    <row r="1267" spans="1:45" ht="15">
      <c r="A1267"/>
      <c r="J1267"/>
      <c r="AA1267"/>
      <c r="AB1267"/>
      <c r="AC1267"/>
      <c r="AD1267"/>
      <c r="AE1267"/>
      <c r="AF1267"/>
      <c r="AG1267"/>
      <c r="AH1267"/>
      <c r="AO1267" s="2"/>
      <c r="AP1267" s="3"/>
      <c r="AQ1267" s="3"/>
      <c r="AR1267" s="3"/>
      <c r="AS1267" s="3"/>
    </row>
    <row r="1268" spans="1:45" ht="15">
      <c r="A1268"/>
      <c r="J1268"/>
      <c r="AA1268"/>
      <c r="AB1268"/>
      <c r="AC1268"/>
      <c r="AD1268"/>
      <c r="AE1268"/>
      <c r="AF1268"/>
      <c r="AG1268"/>
      <c r="AH1268"/>
      <c r="AO1268" s="2"/>
      <c r="AP1268" s="3"/>
      <c r="AQ1268" s="3"/>
      <c r="AR1268" s="3"/>
      <c r="AS1268" s="3"/>
    </row>
    <row r="1269" spans="1:45" ht="15">
      <c r="A1269"/>
      <c r="J1269"/>
      <c r="AA1269"/>
      <c r="AB1269"/>
      <c r="AC1269"/>
      <c r="AD1269"/>
      <c r="AE1269"/>
      <c r="AF1269"/>
      <c r="AG1269"/>
      <c r="AH1269"/>
      <c r="AO1269" s="2"/>
      <c r="AP1269" s="3"/>
      <c r="AQ1269" s="3"/>
      <c r="AR1269" s="3"/>
      <c r="AS1269" s="3"/>
    </row>
    <row r="1270" spans="1:45" ht="15">
      <c r="A1270"/>
      <c r="J1270"/>
      <c r="AA1270"/>
      <c r="AB1270"/>
      <c r="AC1270"/>
      <c r="AD1270"/>
      <c r="AE1270"/>
      <c r="AF1270"/>
      <c r="AG1270"/>
      <c r="AH1270"/>
      <c r="AO1270" s="2"/>
      <c r="AP1270" s="3"/>
      <c r="AQ1270" s="3"/>
      <c r="AR1270" s="3"/>
      <c r="AS1270" s="3"/>
    </row>
    <row r="1271" spans="1:45" ht="15">
      <c r="A1271"/>
      <c r="J1271"/>
      <c r="AA1271"/>
      <c r="AB1271"/>
      <c r="AC1271"/>
      <c r="AD1271"/>
      <c r="AE1271"/>
      <c r="AF1271"/>
      <c r="AG1271"/>
      <c r="AH1271"/>
      <c r="AO1271" s="2"/>
      <c r="AP1271" s="3"/>
      <c r="AQ1271" s="3"/>
      <c r="AR1271" s="3"/>
      <c r="AS1271" s="3"/>
    </row>
    <row r="1272" spans="1:45" ht="15">
      <c r="A1272"/>
      <c r="J1272"/>
      <c r="AA1272"/>
      <c r="AB1272"/>
      <c r="AC1272"/>
      <c r="AD1272"/>
      <c r="AE1272"/>
      <c r="AF1272"/>
      <c r="AG1272"/>
      <c r="AH1272"/>
      <c r="AO1272" s="2"/>
      <c r="AP1272" s="3"/>
      <c r="AQ1272" s="3"/>
      <c r="AR1272" s="3"/>
      <c r="AS1272" s="3"/>
    </row>
    <row r="1273" spans="1:45" ht="15">
      <c r="A1273"/>
      <c r="J1273"/>
      <c r="AA1273"/>
      <c r="AB1273"/>
      <c r="AC1273"/>
      <c r="AD1273"/>
      <c r="AE1273"/>
      <c r="AF1273"/>
      <c r="AG1273"/>
      <c r="AH1273"/>
      <c r="AO1273" s="2"/>
      <c r="AP1273" s="3"/>
      <c r="AQ1273" s="3"/>
      <c r="AR1273" s="3"/>
      <c r="AS1273" s="3"/>
    </row>
    <row r="1274" spans="1:45" ht="15">
      <c r="A1274"/>
      <c r="J1274"/>
      <c r="AA1274"/>
      <c r="AB1274"/>
      <c r="AC1274"/>
      <c r="AD1274"/>
      <c r="AE1274"/>
      <c r="AF1274"/>
      <c r="AG1274"/>
      <c r="AH1274"/>
      <c r="AO1274" s="2"/>
      <c r="AP1274" s="3"/>
      <c r="AQ1274" s="3"/>
      <c r="AR1274" s="3"/>
      <c r="AS1274" s="3"/>
    </row>
    <row r="1275" spans="1:45" ht="15">
      <c r="A1275"/>
      <c r="J1275"/>
      <c r="AA1275"/>
      <c r="AB1275"/>
      <c r="AC1275"/>
      <c r="AD1275"/>
      <c r="AE1275"/>
      <c r="AF1275"/>
      <c r="AG1275"/>
      <c r="AH1275"/>
      <c r="AO1275" s="2"/>
      <c r="AP1275" s="3"/>
      <c r="AQ1275" s="3"/>
      <c r="AR1275" s="3"/>
      <c r="AS1275" s="3"/>
    </row>
    <row r="1276" spans="1:45" ht="15">
      <c r="A1276"/>
      <c r="J1276"/>
      <c r="AA1276"/>
      <c r="AB1276"/>
      <c r="AC1276"/>
      <c r="AD1276"/>
      <c r="AE1276"/>
      <c r="AF1276"/>
      <c r="AG1276"/>
      <c r="AH1276"/>
      <c r="AO1276" s="2"/>
      <c r="AP1276" s="3"/>
      <c r="AQ1276" s="3"/>
      <c r="AR1276" s="3"/>
      <c r="AS1276" s="3"/>
    </row>
    <row r="1277" spans="1:45" ht="15">
      <c r="A1277"/>
      <c r="J1277"/>
      <c r="AA1277"/>
      <c r="AB1277"/>
      <c r="AC1277"/>
      <c r="AD1277"/>
      <c r="AE1277"/>
      <c r="AF1277"/>
      <c r="AG1277"/>
      <c r="AH1277"/>
      <c r="AO1277" s="2"/>
      <c r="AP1277" s="3"/>
      <c r="AQ1277" s="3"/>
      <c r="AR1277" s="3"/>
      <c r="AS1277" s="3"/>
    </row>
    <row r="1278" spans="1:45" ht="15">
      <c r="A1278"/>
      <c r="J1278"/>
      <c r="AA1278"/>
      <c r="AB1278"/>
      <c r="AC1278"/>
      <c r="AD1278"/>
      <c r="AE1278"/>
      <c r="AF1278"/>
      <c r="AG1278"/>
      <c r="AH1278"/>
      <c r="AO1278" s="2"/>
      <c r="AP1278" s="3"/>
      <c r="AQ1278" s="3"/>
      <c r="AR1278" s="3"/>
      <c r="AS1278" s="3"/>
    </row>
    <row r="1279" spans="1:45" ht="15">
      <c r="A1279"/>
      <c r="J1279"/>
      <c r="AA1279"/>
      <c r="AB1279"/>
      <c r="AC1279"/>
      <c r="AD1279"/>
      <c r="AE1279"/>
      <c r="AF1279"/>
      <c r="AG1279"/>
      <c r="AH1279"/>
      <c r="AO1279" s="2"/>
      <c r="AP1279" s="3"/>
      <c r="AQ1279" s="3"/>
      <c r="AR1279" s="3"/>
      <c r="AS1279" s="3"/>
    </row>
    <row r="1280" spans="1:45" ht="15">
      <c r="A1280"/>
      <c r="J1280"/>
      <c r="AA1280"/>
      <c r="AB1280"/>
      <c r="AC1280"/>
      <c r="AD1280"/>
      <c r="AE1280"/>
      <c r="AF1280"/>
      <c r="AG1280"/>
      <c r="AH1280"/>
      <c r="AO1280" s="2"/>
      <c r="AP1280" s="3"/>
      <c r="AQ1280" s="3"/>
      <c r="AR1280" s="3"/>
      <c r="AS1280" s="3"/>
    </row>
    <row r="1281" spans="1:45" ht="15">
      <c r="A1281"/>
      <c r="J1281"/>
      <c r="AA1281"/>
      <c r="AB1281"/>
      <c r="AC1281"/>
      <c r="AD1281"/>
      <c r="AE1281"/>
      <c r="AF1281"/>
      <c r="AG1281"/>
      <c r="AH1281"/>
      <c r="AO1281" s="2"/>
      <c r="AP1281" s="3"/>
      <c r="AQ1281" s="3"/>
      <c r="AR1281" s="3"/>
      <c r="AS1281" s="3"/>
    </row>
    <row r="1282" spans="1:45" ht="15">
      <c r="A1282"/>
      <c r="J1282"/>
      <c r="AA1282"/>
      <c r="AB1282"/>
      <c r="AC1282"/>
      <c r="AD1282"/>
      <c r="AE1282"/>
      <c r="AF1282"/>
      <c r="AG1282"/>
      <c r="AH1282"/>
      <c r="AO1282" s="2"/>
      <c r="AP1282" s="3"/>
      <c r="AQ1282" s="3"/>
      <c r="AR1282" s="3"/>
      <c r="AS1282" s="3"/>
    </row>
    <row r="1283" spans="1:45" ht="15">
      <c r="A1283"/>
      <c r="J1283"/>
      <c r="AA1283"/>
      <c r="AB1283"/>
      <c r="AC1283"/>
      <c r="AD1283"/>
      <c r="AE1283"/>
      <c r="AF1283"/>
      <c r="AG1283"/>
      <c r="AH1283"/>
      <c r="AO1283" s="2"/>
      <c r="AP1283" s="3"/>
      <c r="AQ1283" s="3"/>
      <c r="AR1283" s="3"/>
      <c r="AS1283" s="3"/>
    </row>
    <row r="1284" spans="1:45" ht="15">
      <c r="A1284"/>
      <c r="J1284"/>
      <c r="AA1284"/>
      <c r="AB1284"/>
      <c r="AC1284"/>
      <c r="AD1284"/>
      <c r="AE1284"/>
      <c r="AF1284"/>
      <c r="AG1284"/>
      <c r="AH1284"/>
      <c r="AO1284" s="2"/>
      <c r="AP1284" s="3"/>
      <c r="AQ1284" s="3"/>
      <c r="AR1284" s="3"/>
      <c r="AS1284" s="3"/>
    </row>
    <row r="1285" spans="1:45" ht="15">
      <c r="A1285"/>
      <c r="J1285"/>
      <c r="AA1285"/>
      <c r="AB1285"/>
      <c r="AC1285"/>
      <c r="AD1285"/>
      <c r="AE1285"/>
      <c r="AF1285"/>
      <c r="AG1285"/>
      <c r="AH1285"/>
      <c r="AO1285" s="2"/>
      <c r="AP1285" s="3"/>
      <c r="AQ1285" s="3"/>
      <c r="AR1285" s="3"/>
      <c r="AS1285" s="3"/>
    </row>
    <row r="1286" spans="1:45" ht="15">
      <c r="A1286"/>
      <c r="J1286"/>
      <c r="AA1286"/>
      <c r="AB1286"/>
      <c r="AC1286"/>
      <c r="AD1286"/>
      <c r="AE1286"/>
      <c r="AF1286"/>
      <c r="AG1286"/>
      <c r="AH1286"/>
      <c r="AO1286" s="2"/>
      <c r="AP1286" s="3"/>
      <c r="AQ1286" s="3"/>
      <c r="AR1286" s="3"/>
      <c r="AS1286" s="3"/>
    </row>
    <row r="1287" spans="1:45" ht="15">
      <c r="A1287"/>
      <c r="J1287"/>
      <c r="AA1287"/>
      <c r="AB1287"/>
      <c r="AC1287"/>
      <c r="AD1287"/>
      <c r="AE1287"/>
      <c r="AF1287"/>
      <c r="AG1287"/>
      <c r="AH1287"/>
      <c r="AO1287" s="2"/>
      <c r="AP1287" s="3"/>
      <c r="AQ1287" s="3"/>
      <c r="AR1287" s="3"/>
      <c r="AS1287" s="3"/>
    </row>
    <row r="1288" spans="1:45" ht="15">
      <c r="A1288"/>
      <c r="J1288"/>
      <c r="AA1288"/>
      <c r="AB1288"/>
      <c r="AC1288"/>
      <c r="AD1288"/>
      <c r="AE1288"/>
      <c r="AF1288"/>
      <c r="AG1288"/>
      <c r="AH1288"/>
      <c r="AO1288" s="2"/>
      <c r="AP1288" s="3"/>
      <c r="AQ1288" s="3"/>
      <c r="AR1288" s="3"/>
      <c r="AS1288" s="3"/>
    </row>
    <row r="1289" spans="1:45" ht="15">
      <c r="A1289"/>
      <c r="J1289"/>
      <c r="AA1289"/>
      <c r="AB1289"/>
      <c r="AC1289"/>
      <c r="AD1289"/>
      <c r="AE1289"/>
      <c r="AF1289"/>
      <c r="AG1289"/>
      <c r="AH1289"/>
      <c r="AO1289" s="2"/>
      <c r="AP1289" s="3"/>
      <c r="AQ1289" s="3"/>
      <c r="AR1289" s="3"/>
      <c r="AS1289" s="3"/>
    </row>
    <row r="1290" spans="1:45" ht="15">
      <c r="A1290"/>
      <c r="J1290"/>
      <c r="AA1290"/>
      <c r="AB1290"/>
      <c r="AC1290"/>
      <c r="AD1290"/>
      <c r="AE1290"/>
      <c r="AF1290"/>
      <c r="AG1290"/>
      <c r="AH1290"/>
      <c r="AO1290" s="2"/>
      <c r="AP1290" s="3"/>
      <c r="AQ1290" s="3"/>
      <c r="AR1290" s="3"/>
      <c r="AS1290" s="3"/>
    </row>
    <row r="1291" spans="1:45" ht="15">
      <c r="A1291"/>
      <c r="J1291"/>
      <c r="AA1291"/>
      <c r="AB1291"/>
      <c r="AC1291"/>
      <c r="AD1291"/>
      <c r="AE1291"/>
      <c r="AF1291"/>
      <c r="AG1291"/>
      <c r="AH1291"/>
      <c r="AO1291" s="2"/>
      <c r="AP1291" s="3"/>
      <c r="AQ1291" s="3"/>
      <c r="AR1291" s="3"/>
      <c r="AS1291" s="3"/>
    </row>
    <row r="1292" spans="1:45" ht="15">
      <c r="A1292"/>
      <c r="J1292"/>
      <c r="AA1292"/>
      <c r="AB1292"/>
      <c r="AC1292"/>
      <c r="AD1292"/>
      <c r="AE1292"/>
      <c r="AF1292"/>
      <c r="AG1292"/>
      <c r="AH1292"/>
      <c r="AO1292" s="2"/>
      <c r="AP1292" s="3"/>
      <c r="AQ1292" s="3"/>
      <c r="AR1292" s="3"/>
      <c r="AS1292" s="3"/>
    </row>
    <row r="1293" spans="1:45" ht="15">
      <c r="A1293"/>
      <c r="J1293"/>
      <c r="AA1293"/>
      <c r="AB1293"/>
      <c r="AC1293"/>
      <c r="AD1293"/>
      <c r="AE1293"/>
      <c r="AF1293"/>
      <c r="AG1293"/>
      <c r="AH1293"/>
      <c r="AO1293" s="2"/>
      <c r="AP1293" s="3"/>
      <c r="AQ1293" s="3"/>
      <c r="AR1293" s="3"/>
      <c r="AS1293" s="3"/>
    </row>
    <row r="1294" spans="1:45" ht="15">
      <c r="A1294"/>
      <c r="J1294"/>
      <c r="AA1294"/>
      <c r="AB1294"/>
      <c r="AC1294"/>
      <c r="AD1294"/>
      <c r="AE1294"/>
      <c r="AF1294"/>
      <c r="AG1294"/>
      <c r="AH1294"/>
      <c r="AO1294" s="2"/>
      <c r="AP1294" s="3"/>
      <c r="AQ1294" s="3"/>
      <c r="AR1294" s="3"/>
      <c r="AS1294" s="3"/>
    </row>
    <row r="1295" spans="1:45" ht="15">
      <c r="A1295"/>
      <c r="J1295"/>
      <c r="AA1295"/>
      <c r="AB1295"/>
      <c r="AC1295"/>
      <c r="AD1295"/>
      <c r="AE1295"/>
      <c r="AF1295"/>
      <c r="AG1295"/>
      <c r="AH1295"/>
      <c r="AO1295" s="2"/>
      <c r="AP1295" s="3"/>
      <c r="AQ1295" s="3"/>
      <c r="AR1295" s="3"/>
      <c r="AS1295" s="3"/>
    </row>
    <row r="1296" spans="1:45" ht="15">
      <c r="A1296"/>
      <c r="J1296"/>
      <c r="AA1296"/>
      <c r="AB1296"/>
      <c r="AC1296"/>
      <c r="AD1296"/>
      <c r="AE1296"/>
      <c r="AF1296"/>
      <c r="AG1296"/>
      <c r="AH1296"/>
      <c r="AO1296" s="2"/>
      <c r="AP1296" s="3"/>
      <c r="AQ1296" s="3"/>
      <c r="AR1296" s="3"/>
      <c r="AS1296" s="3"/>
    </row>
    <row r="1297" spans="1:45" ht="15">
      <c r="A1297"/>
      <c r="J1297"/>
      <c r="AA1297"/>
      <c r="AB1297"/>
      <c r="AC1297"/>
      <c r="AD1297"/>
      <c r="AE1297"/>
      <c r="AF1297"/>
      <c r="AG1297"/>
      <c r="AH1297"/>
      <c r="AO1297" s="2"/>
      <c r="AP1297" s="3"/>
      <c r="AQ1297" s="3"/>
      <c r="AR1297" s="3"/>
      <c r="AS1297" s="3"/>
    </row>
    <row r="1298" spans="1:45" ht="15">
      <c r="A1298"/>
      <c r="J1298"/>
      <c r="AA1298"/>
      <c r="AB1298"/>
      <c r="AC1298"/>
      <c r="AD1298"/>
      <c r="AE1298"/>
      <c r="AF1298"/>
      <c r="AG1298"/>
      <c r="AH1298"/>
      <c r="AO1298" s="2"/>
      <c r="AP1298" s="3"/>
      <c r="AQ1298" s="3"/>
      <c r="AR1298" s="3"/>
      <c r="AS1298" s="3"/>
    </row>
    <row r="1299" spans="1:45" ht="15">
      <c r="A1299"/>
      <c r="J1299"/>
      <c r="AA1299"/>
      <c r="AB1299"/>
      <c r="AC1299"/>
      <c r="AD1299"/>
      <c r="AE1299"/>
      <c r="AF1299"/>
      <c r="AG1299"/>
      <c r="AH1299"/>
      <c r="AO1299" s="2"/>
      <c r="AP1299" s="3"/>
      <c r="AQ1299" s="3"/>
      <c r="AR1299" s="3"/>
      <c r="AS1299" s="3"/>
    </row>
    <row r="1300" spans="1:45" ht="15">
      <c r="A1300"/>
      <c r="J1300"/>
      <c r="AA1300"/>
      <c r="AB1300"/>
      <c r="AC1300"/>
      <c r="AD1300"/>
      <c r="AE1300"/>
      <c r="AF1300"/>
      <c r="AG1300"/>
      <c r="AH1300"/>
      <c r="AO1300" s="2"/>
      <c r="AP1300" s="3"/>
      <c r="AQ1300" s="3"/>
      <c r="AR1300" s="3"/>
      <c r="AS1300" s="3"/>
    </row>
    <row r="1301" spans="1:45" ht="15">
      <c r="A1301"/>
      <c r="J1301"/>
      <c r="AA1301"/>
      <c r="AB1301"/>
      <c r="AC1301"/>
      <c r="AD1301"/>
      <c r="AE1301"/>
      <c r="AF1301"/>
      <c r="AG1301"/>
      <c r="AH1301"/>
      <c r="AO1301" s="2"/>
      <c r="AP1301" s="3"/>
      <c r="AQ1301" s="3"/>
      <c r="AR1301" s="3"/>
      <c r="AS1301" s="3"/>
    </row>
    <row r="1302" spans="1:45" ht="15">
      <c r="A1302"/>
      <c r="J1302"/>
      <c r="AA1302"/>
      <c r="AB1302"/>
      <c r="AC1302"/>
      <c r="AD1302"/>
      <c r="AE1302"/>
      <c r="AF1302"/>
      <c r="AG1302"/>
      <c r="AH1302"/>
      <c r="AO1302" s="2"/>
      <c r="AP1302" s="3"/>
      <c r="AQ1302" s="3"/>
      <c r="AR1302" s="3"/>
      <c r="AS1302" s="3"/>
    </row>
    <row r="1303" spans="1:45" ht="15">
      <c r="A1303"/>
      <c r="J1303"/>
      <c r="AA1303"/>
      <c r="AB1303"/>
      <c r="AC1303"/>
      <c r="AD1303"/>
      <c r="AE1303"/>
      <c r="AF1303"/>
      <c r="AG1303"/>
      <c r="AH1303"/>
      <c r="AO1303" s="2"/>
      <c r="AP1303" s="3"/>
      <c r="AQ1303" s="3"/>
      <c r="AR1303" s="3"/>
      <c r="AS1303" s="3"/>
    </row>
    <row r="1304" spans="1:45" ht="15">
      <c r="A1304"/>
      <c r="J1304"/>
      <c r="AA1304"/>
      <c r="AB1304"/>
      <c r="AC1304"/>
      <c r="AD1304"/>
      <c r="AE1304"/>
      <c r="AF1304"/>
      <c r="AG1304"/>
      <c r="AH1304"/>
      <c r="AO1304" s="2"/>
      <c r="AP1304" s="3"/>
      <c r="AQ1304" s="3"/>
      <c r="AR1304" s="3"/>
      <c r="AS1304" s="3"/>
    </row>
    <row r="1305" spans="1:45" ht="15">
      <c r="A1305"/>
      <c r="J1305"/>
      <c r="AA1305"/>
      <c r="AB1305"/>
      <c r="AC1305"/>
      <c r="AD1305"/>
      <c r="AE1305"/>
      <c r="AF1305"/>
      <c r="AG1305"/>
      <c r="AH1305"/>
      <c r="AO1305" s="2"/>
      <c r="AP1305" s="3"/>
      <c r="AQ1305" s="3"/>
      <c r="AR1305" s="3"/>
      <c r="AS1305" s="3"/>
    </row>
    <row r="1306" spans="1:45" ht="15">
      <c r="A1306"/>
      <c r="J1306"/>
      <c r="AA1306"/>
      <c r="AB1306"/>
      <c r="AC1306"/>
      <c r="AD1306"/>
      <c r="AE1306"/>
      <c r="AF1306"/>
      <c r="AG1306"/>
      <c r="AH1306"/>
      <c r="AO1306" s="2"/>
      <c r="AP1306" s="3"/>
      <c r="AQ1306" s="3"/>
      <c r="AR1306" s="3"/>
      <c r="AS1306" s="3"/>
    </row>
    <row r="1307" spans="1:45" ht="15">
      <c r="A1307"/>
      <c r="J1307"/>
      <c r="AA1307"/>
      <c r="AB1307"/>
      <c r="AC1307"/>
      <c r="AD1307"/>
      <c r="AE1307"/>
      <c r="AF1307"/>
      <c r="AG1307"/>
      <c r="AH1307"/>
      <c r="AO1307" s="2"/>
      <c r="AP1307" s="3"/>
      <c r="AQ1307" s="3"/>
      <c r="AR1307" s="3"/>
      <c r="AS1307" s="3"/>
    </row>
    <row r="1308" spans="1:45" ht="15">
      <c r="A1308"/>
      <c r="J1308"/>
      <c r="AA1308"/>
      <c r="AB1308"/>
      <c r="AC1308"/>
      <c r="AD1308"/>
      <c r="AE1308"/>
      <c r="AF1308"/>
      <c r="AG1308"/>
      <c r="AH1308"/>
      <c r="AO1308" s="2"/>
      <c r="AP1308" s="3"/>
      <c r="AQ1308" s="3"/>
      <c r="AR1308" s="3"/>
      <c r="AS1308" s="3"/>
    </row>
    <row r="1309" spans="1:45" ht="15">
      <c r="A1309"/>
      <c r="J1309"/>
      <c r="AA1309"/>
      <c r="AB1309"/>
      <c r="AC1309"/>
      <c r="AD1309"/>
      <c r="AE1309"/>
      <c r="AF1309"/>
      <c r="AG1309"/>
      <c r="AH1309"/>
      <c r="AO1309" s="2"/>
      <c r="AP1309" s="3"/>
      <c r="AQ1309" s="3"/>
      <c r="AR1309" s="3"/>
      <c r="AS1309" s="3"/>
    </row>
    <row r="1310" spans="1:45" ht="15">
      <c r="A1310"/>
      <c r="J1310"/>
      <c r="AA1310"/>
      <c r="AB1310"/>
      <c r="AC1310"/>
      <c r="AD1310"/>
      <c r="AE1310"/>
      <c r="AF1310"/>
      <c r="AG1310"/>
      <c r="AH1310"/>
      <c r="AO1310" s="2"/>
      <c r="AP1310" s="3"/>
      <c r="AQ1310" s="3"/>
      <c r="AR1310" s="3"/>
      <c r="AS1310" s="3"/>
    </row>
    <row r="1311" spans="1:45" ht="15">
      <c r="A1311"/>
      <c r="J1311"/>
      <c r="AA1311"/>
      <c r="AB1311"/>
      <c r="AC1311"/>
      <c r="AD1311"/>
      <c r="AE1311"/>
      <c r="AF1311"/>
      <c r="AG1311"/>
      <c r="AH1311"/>
      <c r="AO1311" s="2"/>
      <c r="AP1311" s="3"/>
      <c r="AQ1311" s="3"/>
      <c r="AR1311" s="3"/>
      <c r="AS1311" s="3"/>
    </row>
    <row r="1312" spans="1:45" ht="15">
      <c r="A1312"/>
      <c r="J1312"/>
      <c r="AA1312"/>
      <c r="AB1312"/>
      <c r="AC1312"/>
      <c r="AD1312"/>
      <c r="AE1312"/>
      <c r="AF1312"/>
      <c r="AG1312"/>
      <c r="AH1312"/>
      <c r="AO1312" s="2"/>
      <c r="AP1312" s="3"/>
      <c r="AQ1312" s="3"/>
      <c r="AR1312" s="3"/>
      <c r="AS1312" s="3"/>
    </row>
    <row r="1313" spans="1:45" ht="15">
      <c r="A1313"/>
      <c r="J1313"/>
      <c r="AA1313"/>
      <c r="AB1313"/>
      <c r="AC1313"/>
      <c r="AD1313"/>
      <c r="AE1313"/>
      <c r="AF1313"/>
      <c r="AG1313"/>
      <c r="AH1313"/>
      <c r="AO1313" s="2"/>
      <c r="AP1313" s="3"/>
      <c r="AQ1313" s="3"/>
      <c r="AR1313" s="3"/>
      <c r="AS1313" s="3"/>
    </row>
    <row r="1314" spans="1:45" ht="15">
      <c r="A1314"/>
      <c r="J1314"/>
      <c r="AA1314"/>
      <c r="AB1314"/>
      <c r="AC1314"/>
      <c r="AD1314"/>
      <c r="AE1314"/>
      <c r="AF1314"/>
      <c r="AG1314"/>
      <c r="AH1314"/>
      <c r="AO1314" s="2"/>
      <c r="AP1314" s="3"/>
      <c r="AQ1314" s="3"/>
      <c r="AR1314" s="3"/>
      <c r="AS1314" s="3"/>
    </row>
    <row r="1315" spans="1:45" ht="15">
      <c r="A1315"/>
      <c r="J1315"/>
      <c r="AA1315"/>
      <c r="AB1315"/>
      <c r="AC1315"/>
      <c r="AD1315"/>
      <c r="AE1315"/>
      <c r="AF1315"/>
      <c r="AG1315"/>
      <c r="AH1315"/>
      <c r="AO1315" s="2"/>
      <c r="AP1315" s="3"/>
      <c r="AQ1315" s="3"/>
      <c r="AR1315" s="3"/>
      <c r="AS1315" s="3"/>
    </row>
    <row r="1316" spans="1:45" ht="15">
      <c r="A1316"/>
      <c r="J1316"/>
      <c r="AA1316"/>
      <c r="AB1316"/>
      <c r="AC1316"/>
      <c r="AD1316"/>
      <c r="AE1316"/>
      <c r="AF1316"/>
      <c r="AG1316"/>
      <c r="AH1316"/>
      <c r="AO1316" s="2"/>
      <c r="AP1316" s="3"/>
      <c r="AQ1316" s="3"/>
      <c r="AR1316" s="3"/>
      <c r="AS1316" s="3"/>
    </row>
    <row r="1317" spans="1:45" ht="15">
      <c r="A1317"/>
      <c r="J1317"/>
      <c r="AA1317"/>
      <c r="AB1317"/>
      <c r="AC1317"/>
      <c r="AD1317"/>
      <c r="AE1317"/>
      <c r="AF1317"/>
      <c r="AG1317"/>
      <c r="AH1317"/>
      <c r="AO1317" s="2"/>
      <c r="AP1317" s="3"/>
      <c r="AQ1317" s="3"/>
      <c r="AR1317" s="3"/>
      <c r="AS1317" s="3"/>
    </row>
    <row r="1318" spans="1:45" ht="15">
      <c r="A1318"/>
      <c r="J1318"/>
      <c r="AA1318"/>
      <c r="AB1318"/>
      <c r="AC1318"/>
      <c r="AD1318"/>
      <c r="AE1318"/>
      <c r="AF1318"/>
      <c r="AG1318"/>
      <c r="AH1318"/>
      <c r="AO1318" s="2"/>
      <c r="AP1318" s="3"/>
      <c r="AQ1318" s="3"/>
      <c r="AR1318" s="3"/>
      <c r="AS1318" s="3"/>
    </row>
    <row r="1319" spans="1:45" ht="15">
      <c r="A1319"/>
      <c r="J1319"/>
      <c r="AA1319"/>
      <c r="AB1319"/>
      <c r="AC1319"/>
      <c r="AD1319"/>
      <c r="AE1319"/>
      <c r="AF1319"/>
      <c r="AG1319"/>
      <c r="AH1319"/>
      <c r="AO1319" s="2"/>
      <c r="AP1319" s="3"/>
      <c r="AQ1319" s="3"/>
      <c r="AR1319" s="3"/>
      <c r="AS1319" s="3"/>
    </row>
    <row r="1320" spans="1:45" ht="15">
      <c r="A1320"/>
      <c r="J1320"/>
      <c r="AA1320"/>
      <c r="AB1320"/>
      <c r="AC1320"/>
      <c r="AD1320"/>
      <c r="AE1320"/>
      <c r="AF1320"/>
      <c r="AG1320"/>
      <c r="AH1320"/>
      <c r="AO1320" s="2"/>
      <c r="AP1320" s="3"/>
      <c r="AQ1320" s="3"/>
      <c r="AR1320" s="3"/>
      <c r="AS1320" s="3"/>
    </row>
    <row r="1321" spans="1:45" ht="15">
      <c r="A1321"/>
      <c r="J1321"/>
      <c r="AA1321"/>
      <c r="AB1321"/>
      <c r="AC1321"/>
      <c r="AD1321"/>
      <c r="AE1321"/>
      <c r="AF1321"/>
      <c r="AG1321"/>
      <c r="AH1321"/>
      <c r="AO1321" s="2"/>
      <c r="AP1321" s="3"/>
      <c r="AQ1321" s="3"/>
      <c r="AR1321" s="3"/>
      <c r="AS1321" s="3"/>
    </row>
    <row r="1322" spans="1:45" ht="15">
      <c r="A1322"/>
      <c r="J1322"/>
      <c r="AA1322"/>
      <c r="AB1322"/>
      <c r="AC1322"/>
      <c r="AD1322"/>
      <c r="AE1322"/>
      <c r="AF1322"/>
      <c r="AG1322"/>
      <c r="AH1322"/>
      <c r="AO1322" s="2"/>
      <c r="AP1322" s="3"/>
      <c r="AQ1322" s="3"/>
      <c r="AR1322" s="3"/>
      <c r="AS1322" s="3"/>
    </row>
    <row r="1323" spans="1:45" ht="15">
      <c r="A1323"/>
      <c r="J1323"/>
      <c r="AA1323"/>
      <c r="AB1323"/>
      <c r="AC1323"/>
      <c r="AD1323"/>
      <c r="AE1323"/>
      <c r="AF1323"/>
      <c r="AG1323"/>
      <c r="AH1323"/>
      <c r="AO1323" s="2"/>
      <c r="AP1323" s="3"/>
      <c r="AQ1323" s="3"/>
      <c r="AR1323" s="3"/>
      <c r="AS1323" s="3"/>
    </row>
    <row r="1324" spans="1:45" ht="15">
      <c r="A1324"/>
      <c r="J1324"/>
      <c r="AA1324"/>
      <c r="AB1324"/>
      <c r="AC1324"/>
      <c r="AD1324"/>
      <c r="AE1324"/>
      <c r="AF1324"/>
      <c r="AG1324"/>
      <c r="AH1324"/>
      <c r="AO1324" s="2"/>
      <c r="AP1324" s="3"/>
      <c r="AQ1324" s="3"/>
      <c r="AR1324" s="3"/>
      <c r="AS1324" s="3"/>
    </row>
    <row r="1325" spans="1:45" ht="15">
      <c r="A1325"/>
      <c r="J1325"/>
      <c r="AA1325"/>
      <c r="AB1325"/>
      <c r="AC1325"/>
      <c r="AD1325"/>
      <c r="AE1325"/>
      <c r="AF1325"/>
      <c r="AG1325"/>
      <c r="AH1325"/>
      <c r="AO1325" s="2"/>
      <c r="AP1325" s="3"/>
      <c r="AQ1325" s="3"/>
      <c r="AR1325" s="3"/>
      <c r="AS1325" s="3"/>
    </row>
    <row r="1326" spans="1:45" ht="15">
      <c r="A1326"/>
      <c r="J1326"/>
      <c r="AA1326"/>
      <c r="AB1326"/>
      <c r="AC1326"/>
      <c r="AD1326"/>
      <c r="AE1326"/>
      <c r="AF1326"/>
      <c r="AG1326"/>
      <c r="AH1326"/>
      <c r="AO1326" s="2"/>
      <c r="AP1326" s="3"/>
      <c r="AQ1326" s="3"/>
      <c r="AR1326" s="3"/>
      <c r="AS1326" s="3"/>
    </row>
    <row r="1327" spans="1:45" ht="15">
      <c r="A1327"/>
      <c r="J1327"/>
      <c r="AA1327"/>
      <c r="AB1327"/>
      <c r="AC1327"/>
      <c r="AD1327"/>
      <c r="AE1327"/>
      <c r="AF1327"/>
      <c r="AG1327"/>
      <c r="AH1327"/>
      <c r="AO1327" s="2"/>
      <c r="AP1327" s="3"/>
      <c r="AQ1327" s="3"/>
      <c r="AR1327" s="3"/>
      <c r="AS1327" s="3"/>
    </row>
    <row r="1328" spans="1:45" ht="15">
      <c r="A1328"/>
      <c r="J1328"/>
      <c r="AA1328"/>
      <c r="AB1328"/>
      <c r="AC1328"/>
      <c r="AD1328"/>
      <c r="AE1328"/>
      <c r="AF1328"/>
      <c r="AG1328"/>
      <c r="AH1328"/>
      <c r="AO1328" s="2"/>
      <c r="AP1328" s="3"/>
      <c r="AQ1328" s="3"/>
      <c r="AR1328" s="3"/>
      <c r="AS1328" s="3"/>
    </row>
    <row r="1329" spans="1:45" ht="15">
      <c r="A1329"/>
      <c r="J1329"/>
      <c r="AA1329"/>
      <c r="AB1329"/>
      <c r="AC1329"/>
      <c r="AD1329"/>
      <c r="AE1329"/>
      <c r="AF1329"/>
      <c r="AG1329"/>
      <c r="AH1329"/>
      <c r="AO1329" s="2"/>
      <c r="AP1329" s="3"/>
      <c r="AQ1329" s="3"/>
      <c r="AR1329" s="3"/>
      <c r="AS1329" s="3"/>
    </row>
    <row r="1330" spans="1:45" ht="15">
      <c r="A1330"/>
      <c r="J1330"/>
      <c r="AA1330"/>
      <c r="AB1330"/>
      <c r="AC1330"/>
      <c r="AD1330"/>
      <c r="AE1330"/>
      <c r="AF1330"/>
      <c r="AG1330"/>
      <c r="AH1330"/>
      <c r="AO1330" s="2"/>
      <c r="AP1330" s="3"/>
      <c r="AQ1330" s="3"/>
      <c r="AR1330" s="3"/>
      <c r="AS1330" s="3"/>
    </row>
    <row r="1331" spans="1:45" ht="15">
      <c r="A1331"/>
      <c r="J1331"/>
      <c r="AA1331"/>
      <c r="AB1331"/>
      <c r="AC1331"/>
      <c r="AD1331"/>
      <c r="AE1331"/>
      <c r="AF1331"/>
      <c r="AG1331"/>
      <c r="AH1331"/>
      <c r="AO1331" s="2"/>
      <c r="AP1331" s="3"/>
      <c r="AQ1331" s="3"/>
      <c r="AR1331" s="3"/>
      <c r="AS1331" s="3"/>
    </row>
    <row r="1332" spans="1:45" ht="15">
      <c r="A1332"/>
      <c r="J1332"/>
      <c r="AA1332"/>
      <c r="AB1332"/>
      <c r="AC1332"/>
      <c r="AD1332"/>
      <c r="AE1332"/>
      <c r="AF1332"/>
      <c r="AG1332"/>
      <c r="AH1332"/>
      <c r="AO1332" s="2"/>
      <c r="AP1332" s="3"/>
      <c r="AQ1332" s="3"/>
      <c r="AR1332" s="3"/>
      <c r="AS1332" s="3"/>
    </row>
    <row r="1333" spans="1:45" ht="15">
      <c r="A1333"/>
      <c r="J1333"/>
      <c r="AA1333"/>
      <c r="AB1333"/>
      <c r="AC1333"/>
      <c r="AD1333"/>
      <c r="AE1333"/>
      <c r="AF1333"/>
      <c r="AG1333"/>
      <c r="AH1333"/>
      <c r="AO1333" s="2"/>
      <c r="AP1333" s="3"/>
      <c r="AQ1333" s="3"/>
      <c r="AR1333" s="3"/>
      <c r="AS1333" s="3"/>
    </row>
    <row r="1334" spans="1:45" ht="15">
      <c r="A1334"/>
      <c r="J1334"/>
      <c r="AA1334"/>
      <c r="AB1334"/>
      <c r="AC1334"/>
      <c r="AD1334"/>
      <c r="AE1334"/>
      <c r="AF1334"/>
      <c r="AG1334"/>
      <c r="AH1334"/>
      <c r="AO1334" s="2"/>
      <c r="AP1334" s="3"/>
      <c r="AQ1334" s="3"/>
      <c r="AR1334" s="3"/>
      <c r="AS1334" s="3"/>
    </row>
    <row r="1335" spans="1:45" ht="15">
      <c r="A1335"/>
      <c r="J1335"/>
      <c r="AA1335"/>
      <c r="AB1335"/>
      <c r="AC1335"/>
      <c r="AD1335"/>
      <c r="AE1335"/>
      <c r="AF1335"/>
      <c r="AG1335"/>
      <c r="AH1335"/>
      <c r="AO1335" s="2"/>
      <c r="AP1335" s="3"/>
      <c r="AQ1335" s="3"/>
      <c r="AR1335" s="3"/>
      <c r="AS1335" s="3"/>
    </row>
    <row r="1336" spans="1:45" ht="15">
      <c r="A1336"/>
      <c r="J1336"/>
      <c r="AA1336"/>
      <c r="AB1336"/>
      <c r="AC1336"/>
      <c r="AD1336"/>
      <c r="AE1336"/>
      <c r="AF1336"/>
      <c r="AG1336"/>
      <c r="AH1336"/>
      <c r="AO1336" s="2"/>
      <c r="AP1336" s="3"/>
      <c r="AQ1336" s="3"/>
      <c r="AR1336" s="3"/>
      <c r="AS1336" s="3"/>
    </row>
    <row r="1337" spans="1:45" ht="15">
      <c r="A1337"/>
      <c r="J1337"/>
      <c r="AA1337"/>
      <c r="AB1337"/>
      <c r="AC1337"/>
      <c r="AD1337"/>
      <c r="AE1337"/>
      <c r="AF1337"/>
      <c r="AG1337"/>
      <c r="AH1337"/>
      <c r="AO1337" s="2"/>
      <c r="AP1337" s="3"/>
      <c r="AQ1337" s="3"/>
      <c r="AR1337" s="3"/>
      <c r="AS1337" s="3"/>
    </row>
    <row r="1338" spans="1:45" ht="15">
      <c r="A1338"/>
      <c r="J1338"/>
      <c r="AA1338"/>
      <c r="AB1338"/>
      <c r="AC1338"/>
      <c r="AD1338"/>
      <c r="AE1338"/>
      <c r="AF1338"/>
      <c r="AG1338"/>
      <c r="AH1338"/>
      <c r="AO1338" s="2"/>
      <c r="AP1338" s="3"/>
      <c r="AQ1338" s="3"/>
      <c r="AR1338" s="3"/>
      <c r="AS1338" s="3"/>
    </row>
    <row r="1339" spans="1:45" ht="15">
      <c r="A1339"/>
      <c r="J1339"/>
      <c r="AA1339"/>
      <c r="AB1339"/>
      <c r="AC1339"/>
      <c r="AD1339"/>
      <c r="AE1339"/>
      <c r="AF1339"/>
      <c r="AG1339"/>
      <c r="AH1339"/>
      <c r="AO1339" s="2"/>
      <c r="AP1339" s="3"/>
      <c r="AQ1339" s="3"/>
      <c r="AR1339" s="3"/>
      <c r="AS1339" s="3"/>
    </row>
    <row r="1340" spans="1:45" ht="15">
      <c r="A1340"/>
      <c r="J1340"/>
      <c r="AA1340"/>
      <c r="AB1340"/>
      <c r="AC1340"/>
      <c r="AD1340"/>
      <c r="AE1340"/>
      <c r="AF1340"/>
      <c r="AG1340"/>
      <c r="AH1340"/>
      <c r="AO1340" s="2"/>
      <c r="AP1340" s="3"/>
      <c r="AQ1340" s="3"/>
      <c r="AR1340" s="3"/>
      <c r="AS1340" s="3"/>
    </row>
    <row r="1341" spans="1:45" ht="15">
      <c r="A1341"/>
      <c r="J1341"/>
      <c r="AA1341"/>
      <c r="AB1341"/>
      <c r="AC1341"/>
      <c r="AD1341"/>
      <c r="AE1341"/>
      <c r="AF1341"/>
      <c r="AG1341"/>
      <c r="AH1341"/>
      <c r="AO1341" s="2"/>
      <c r="AP1341" s="3"/>
      <c r="AQ1341" s="3"/>
      <c r="AR1341" s="3"/>
      <c r="AS1341" s="3"/>
    </row>
    <row r="1342" spans="1:45" ht="15">
      <c r="A1342"/>
      <c r="J1342"/>
      <c r="AA1342"/>
      <c r="AB1342"/>
      <c r="AC1342"/>
      <c r="AD1342"/>
      <c r="AE1342"/>
      <c r="AF1342"/>
      <c r="AG1342"/>
      <c r="AH1342"/>
      <c r="AO1342" s="2"/>
      <c r="AP1342" s="3"/>
      <c r="AQ1342" s="3"/>
      <c r="AR1342" s="3"/>
      <c r="AS1342" s="3"/>
    </row>
    <row r="1343" spans="1:45" ht="15">
      <c r="A1343"/>
      <c r="J1343"/>
      <c r="AA1343"/>
      <c r="AB1343"/>
      <c r="AC1343"/>
      <c r="AD1343"/>
      <c r="AE1343"/>
      <c r="AF1343"/>
      <c r="AG1343"/>
      <c r="AH1343"/>
      <c r="AO1343" s="2"/>
      <c r="AP1343" s="3"/>
      <c r="AQ1343" s="3"/>
      <c r="AR1343" s="3"/>
      <c r="AS1343" s="3"/>
    </row>
    <row r="1344" spans="1:45" ht="15">
      <c r="A1344"/>
      <c r="J1344"/>
      <c r="AA1344"/>
      <c r="AB1344"/>
      <c r="AC1344"/>
      <c r="AD1344"/>
      <c r="AE1344"/>
      <c r="AF1344"/>
      <c r="AG1344"/>
      <c r="AH1344"/>
      <c r="AO1344" s="2"/>
      <c r="AP1344" s="3"/>
      <c r="AQ1344" s="3"/>
      <c r="AR1344" s="3"/>
      <c r="AS1344" s="3"/>
    </row>
    <row r="1345" spans="1:45" ht="15">
      <c r="A1345"/>
      <c r="J1345"/>
      <c r="AA1345"/>
      <c r="AB1345"/>
      <c r="AC1345"/>
      <c r="AD1345"/>
      <c r="AE1345"/>
      <c r="AF1345"/>
      <c r="AG1345"/>
      <c r="AH1345"/>
      <c r="AO1345" s="2"/>
      <c r="AP1345" s="3"/>
      <c r="AQ1345" s="3"/>
      <c r="AR1345" s="3"/>
      <c r="AS1345" s="3"/>
    </row>
    <row r="1346" spans="1:45" ht="15">
      <c r="A1346"/>
      <c r="J1346"/>
      <c r="AA1346"/>
      <c r="AB1346"/>
      <c r="AC1346"/>
      <c r="AD1346"/>
      <c r="AE1346"/>
      <c r="AF1346"/>
      <c r="AG1346"/>
      <c r="AH1346"/>
      <c r="AO1346" s="2"/>
      <c r="AP1346" s="3"/>
      <c r="AQ1346" s="3"/>
      <c r="AR1346" s="3"/>
      <c r="AS1346" s="3"/>
    </row>
    <row r="1347" spans="1:45" ht="15">
      <c r="A1347"/>
      <c r="J1347"/>
      <c r="AA1347"/>
      <c r="AB1347"/>
      <c r="AC1347"/>
      <c r="AD1347"/>
      <c r="AE1347"/>
      <c r="AF1347"/>
      <c r="AG1347"/>
      <c r="AH1347"/>
      <c r="AO1347" s="2"/>
      <c r="AP1347" s="3"/>
      <c r="AQ1347" s="3"/>
      <c r="AR1347" s="3"/>
      <c r="AS1347" s="3"/>
    </row>
    <row r="1348" spans="1:45" ht="15">
      <c r="A1348"/>
      <c r="J1348"/>
      <c r="AA1348"/>
      <c r="AB1348"/>
      <c r="AC1348"/>
      <c r="AD1348"/>
      <c r="AE1348"/>
      <c r="AF1348"/>
      <c r="AG1348"/>
      <c r="AH1348"/>
      <c r="AO1348" s="2"/>
      <c r="AP1348" s="3"/>
      <c r="AQ1348" s="3"/>
      <c r="AR1348" s="3"/>
      <c r="AS1348" s="3"/>
    </row>
    <row r="1349" spans="1:45" ht="15">
      <c r="A1349"/>
      <c r="J1349"/>
      <c r="AA1349"/>
      <c r="AB1349"/>
      <c r="AC1349"/>
      <c r="AD1349"/>
      <c r="AE1349"/>
      <c r="AF1349"/>
      <c r="AG1349"/>
      <c r="AH1349"/>
      <c r="AO1349" s="2"/>
      <c r="AP1349" s="3"/>
      <c r="AQ1349" s="3"/>
      <c r="AR1349" s="3"/>
      <c r="AS1349" s="3"/>
    </row>
    <row r="1350" spans="1:45" ht="15">
      <c r="A1350"/>
      <c r="J1350"/>
      <c r="AA1350"/>
      <c r="AB1350"/>
      <c r="AC1350"/>
      <c r="AD1350"/>
      <c r="AE1350"/>
      <c r="AF1350"/>
      <c r="AG1350"/>
      <c r="AH1350"/>
      <c r="AO1350" s="2"/>
      <c r="AP1350" s="3"/>
      <c r="AQ1350" s="3"/>
      <c r="AR1350" s="3"/>
      <c r="AS1350" s="3"/>
    </row>
    <row r="1351" spans="1:45" ht="15">
      <c r="A1351"/>
      <c r="J1351"/>
      <c r="AA1351"/>
      <c r="AB1351"/>
      <c r="AC1351"/>
      <c r="AD1351"/>
      <c r="AE1351"/>
      <c r="AF1351"/>
      <c r="AG1351"/>
      <c r="AH1351"/>
      <c r="AO1351" s="2"/>
      <c r="AP1351" s="3"/>
      <c r="AQ1351" s="3"/>
      <c r="AR1351" s="3"/>
      <c r="AS1351" s="3"/>
    </row>
    <row r="1352" spans="1:45" ht="15">
      <c r="A1352"/>
      <c r="J1352"/>
      <c r="AA1352"/>
      <c r="AB1352"/>
      <c r="AC1352"/>
      <c r="AD1352"/>
      <c r="AE1352"/>
      <c r="AF1352"/>
      <c r="AG1352"/>
      <c r="AH1352"/>
      <c r="AO1352" s="2"/>
      <c r="AP1352" s="3"/>
      <c r="AQ1352" s="3"/>
      <c r="AR1352" s="3"/>
      <c r="AS1352" s="3"/>
    </row>
    <row r="1353" spans="1:45" ht="15">
      <c r="A1353"/>
      <c r="J1353"/>
      <c r="AA1353"/>
      <c r="AB1353"/>
      <c r="AC1353"/>
      <c r="AD1353"/>
      <c r="AE1353"/>
      <c r="AF1353"/>
      <c r="AG1353"/>
      <c r="AH1353"/>
      <c r="AO1353" s="2"/>
      <c r="AP1353" s="3"/>
      <c r="AQ1353" s="3"/>
      <c r="AR1353" s="3"/>
      <c r="AS1353" s="3"/>
    </row>
    <row r="1354" spans="1:45" ht="15">
      <c r="A1354"/>
      <c r="J1354"/>
      <c r="AA1354"/>
      <c r="AB1354"/>
      <c r="AC1354"/>
      <c r="AD1354"/>
      <c r="AE1354"/>
      <c r="AF1354"/>
      <c r="AG1354"/>
      <c r="AH1354"/>
      <c r="AO1354" s="2"/>
      <c r="AP1354" s="3"/>
      <c r="AQ1354" s="3"/>
      <c r="AR1354" s="3"/>
      <c r="AS1354" s="3"/>
    </row>
    <row r="1355" spans="1:45" ht="15">
      <c r="A1355"/>
      <c r="J1355"/>
      <c r="AA1355"/>
      <c r="AB1355"/>
      <c r="AC1355"/>
      <c r="AD1355"/>
      <c r="AE1355"/>
      <c r="AF1355"/>
      <c r="AG1355"/>
      <c r="AH1355"/>
      <c r="AO1355" s="2"/>
      <c r="AP1355" s="3"/>
      <c r="AQ1355" s="3"/>
      <c r="AR1355" s="3"/>
      <c r="AS1355" s="3"/>
    </row>
    <row r="1356" spans="1:45" ht="15">
      <c r="A1356"/>
      <c r="J1356"/>
      <c r="AA1356"/>
      <c r="AB1356"/>
      <c r="AC1356"/>
      <c r="AD1356"/>
      <c r="AE1356"/>
      <c r="AF1356"/>
      <c r="AG1356"/>
      <c r="AH1356"/>
      <c r="AO1356" s="2"/>
      <c r="AP1356" s="3"/>
      <c r="AQ1356" s="3"/>
      <c r="AR1356" s="3"/>
      <c r="AS1356" s="3"/>
    </row>
    <row r="1357" spans="1:45" ht="15">
      <c r="A1357"/>
      <c r="J1357"/>
      <c r="AA1357"/>
      <c r="AB1357"/>
      <c r="AC1357"/>
      <c r="AD1357"/>
      <c r="AE1357"/>
      <c r="AF1357"/>
      <c r="AG1357"/>
      <c r="AH1357"/>
      <c r="AO1357" s="2"/>
      <c r="AP1357" s="3"/>
      <c r="AQ1357" s="3"/>
      <c r="AR1357" s="3"/>
      <c r="AS1357" s="3"/>
    </row>
    <row r="1358" spans="1:45" ht="15">
      <c r="A1358"/>
      <c r="J1358"/>
      <c r="AA1358"/>
      <c r="AB1358"/>
      <c r="AC1358"/>
      <c r="AD1358"/>
      <c r="AE1358"/>
      <c r="AF1358"/>
      <c r="AG1358"/>
      <c r="AH1358"/>
      <c r="AO1358" s="2"/>
      <c r="AP1358" s="3"/>
      <c r="AQ1358" s="3"/>
      <c r="AR1358" s="3"/>
      <c r="AS1358" s="3"/>
    </row>
    <row r="1359" spans="1:45" ht="15">
      <c r="A1359"/>
      <c r="J1359"/>
      <c r="AA1359"/>
      <c r="AB1359"/>
      <c r="AC1359"/>
      <c r="AD1359"/>
      <c r="AE1359"/>
      <c r="AF1359"/>
      <c r="AG1359"/>
      <c r="AH1359"/>
      <c r="AO1359" s="2"/>
      <c r="AP1359" s="3"/>
      <c r="AQ1359" s="3"/>
      <c r="AR1359" s="3"/>
      <c r="AS1359" s="3"/>
    </row>
    <row r="1360" spans="1:45" ht="15">
      <c r="A1360"/>
      <c r="J1360"/>
      <c r="AA1360"/>
      <c r="AB1360"/>
      <c r="AC1360"/>
      <c r="AD1360"/>
      <c r="AE1360"/>
      <c r="AF1360"/>
      <c r="AG1360"/>
      <c r="AH1360"/>
      <c r="AO1360" s="2"/>
      <c r="AP1360" s="3"/>
      <c r="AQ1360" s="3"/>
      <c r="AR1360" s="3"/>
      <c r="AS1360" s="3"/>
    </row>
    <row r="1361" spans="1:45" ht="15">
      <c r="A1361"/>
      <c r="J1361"/>
      <c r="AA1361"/>
      <c r="AB1361"/>
      <c r="AC1361"/>
      <c r="AD1361"/>
      <c r="AE1361"/>
      <c r="AF1361"/>
      <c r="AG1361"/>
      <c r="AH1361"/>
      <c r="AO1361" s="2"/>
      <c r="AP1361" s="3"/>
      <c r="AQ1361" s="3"/>
      <c r="AR1361" s="3"/>
      <c r="AS1361" s="3"/>
    </row>
    <row r="1362" spans="1:45" ht="15">
      <c r="A1362"/>
      <c r="J1362"/>
      <c r="AA1362"/>
      <c r="AB1362"/>
      <c r="AC1362"/>
      <c r="AD1362"/>
      <c r="AE1362"/>
      <c r="AF1362"/>
      <c r="AG1362"/>
      <c r="AH1362"/>
      <c r="AO1362" s="2"/>
      <c r="AP1362" s="3"/>
      <c r="AQ1362" s="3"/>
      <c r="AR1362" s="3"/>
      <c r="AS1362" s="3"/>
    </row>
    <row r="1363" spans="1:45" ht="15">
      <c r="A1363"/>
      <c r="J1363"/>
      <c r="AA1363"/>
      <c r="AB1363"/>
      <c r="AC1363"/>
      <c r="AD1363"/>
      <c r="AE1363"/>
      <c r="AF1363"/>
      <c r="AG1363"/>
      <c r="AH1363"/>
      <c r="AO1363" s="2"/>
      <c r="AP1363" s="3"/>
      <c r="AQ1363" s="3"/>
      <c r="AR1363" s="3"/>
      <c r="AS1363" s="3"/>
    </row>
    <row r="1364" spans="1:45" ht="15">
      <c r="A1364"/>
      <c r="J1364"/>
      <c r="AA1364"/>
      <c r="AB1364"/>
      <c r="AC1364"/>
      <c r="AD1364"/>
      <c r="AE1364"/>
      <c r="AF1364"/>
      <c r="AG1364"/>
      <c r="AH1364"/>
      <c r="AO1364" s="2"/>
      <c r="AP1364" s="3"/>
      <c r="AQ1364" s="3"/>
      <c r="AR1364" s="3"/>
      <c r="AS1364" s="3"/>
    </row>
    <row r="1365" spans="1:45" ht="15">
      <c r="A1365"/>
      <c r="J1365"/>
      <c r="AA1365"/>
      <c r="AB1365"/>
      <c r="AC1365"/>
      <c r="AD1365"/>
      <c r="AE1365"/>
      <c r="AF1365"/>
      <c r="AG1365"/>
      <c r="AH1365"/>
      <c r="AO1365" s="2"/>
      <c r="AP1365" s="3"/>
      <c r="AQ1365" s="3"/>
      <c r="AR1365" s="3"/>
      <c r="AS1365" s="3"/>
    </row>
    <row r="1366" spans="1:45" ht="15">
      <c r="A1366"/>
      <c r="J1366"/>
      <c r="AA1366"/>
      <c r="AB1366"/>
      <c r="AC1366"/>
      <c r="AD1366"/>
      <c r="AE1366"/>
      <c r="AF1366"/>
      <c r="AG1366"/>
      <c r="AH1366"/>
      <c r="AO1366" s="2"/>
      <c r="AP1366" s="3"/>
      <c r="AQ1366" s="3"/>
      <c r="AR1366" s="3"/>
      <c r="AS1366" s="3"/>
    </row>
    <row r="1367" spans="1:45" ht="15">
      <c r="A1367"/>
      <c r="J1367"/>
      <c r="AA1367"/>
      <c r="AB1367"/>
      <c r="AC1367"/>
      <c r="AD1367"/>
      <c r="AE1367"/>
      <c r="AF1367"/>
      <c r="AG1367"/>
      <c r="AH1367"/>
      <c r="AO1367" s="2"/>
      <c r="AP1367" s="3"/>
      <c r="AQ1367" s="3"/>
      <c r="AR1367" s="3"/>
      <c r="AS1367" s="3"/>
    </row>
    <row r="1368" spans="1:45" ht="15">
      <c r="A1368"/>
      <c r="J1368"/>
      <c r="AA1368"/>
      <c r="AB1368"/>
      <c r="AC1368"/>
      <c r="AD1368"/>
      <c r="AE1368"/>
      <c r="AF1368"/>
      <c r="AG1368"/>
      <c r="AH1368"/>
      <c r="AO1368" s="2"/>
      <c r="AP1368" s="3"/>
      <c r="AQ1368" s="3"/>
      <c r="AR1368" s="3"/>
      <c r="AS1368" s="3"/>
    </row>
    <row r="1369" spans="1:45" ht="15">
      <c r="A1369"/>
      <c r="J1369"/>
      <c r="AA1369"/>
      <c r="AB1369"/>
      <c r="AC1369"/>
      <c r="AD1369"/>
      <c r="AE1369"/>
      <c r="AF1369"/>
      <c r="AG1369"/>
      <c r="AH1369"/>
      <c r="AO1369" s="2"/>
      <c r="AP1369" s="3"/>
      <c r="AQ1369" s="3"/>
      <c r="AR1369" s="3"/>
      <c r="AS1369" s="3"/>
    </row>
    <row r="1370" spans="1:45" ht="15">
      <c r="A1370"/>
      <c r="J1370"/>
      <c r="AA1370"/>
      <c r="AB1370"/>
      <c r="AC1370"/>
      <c r="AD1370"/>
      <c r="AE1370"/>
      <c r="AF1370"/>
      <c r="AG1370"/>
      <c r="AH1370"/>
      <c r="AO1370" s="2"/>
      <c r="AP1370" s="3"/>
      <c r="AQ1370" s="3"/>
      <c r="AR1370" s="3"/>
      <c r="AS1370" s="3"/>
    </row>
    <row r="1371" spans="1:45" ht="15">
      <c r="A1371"/>
      <c r="J1371"/>
      <c r="AA1371"/>
      <c r="AB1371"/>
      <c r="AC1371"/>
      <c r="AD1371"/>
      <c r="AE1371"/>
      <c r="AF1371"/>
      <c r="AG1371"/>
      <c r="AH1371"/>
      <c r="AO1371" s="2"/>
      <c r="AP1371" s="3"/>
      <c r="AQ1371" s="3"/>
      <c r="AR1371" s="3"/>
      <c r="AS1371" s="3"/>
    </row>
    <row r="1372" spans="1:45" ht="15">
      <c r="A1372"/>
      <c r="J1372"/>
      <c r="AA1372"/>
      <c r="AB1372"/>
      <c r="AC1372"/>
      <c r="AD1372"/>
      <c r="AE1372"/>
      <c r="AF1372"/>
      <c r="AG1372"/>
      <c r="AH1372"/>
      <c r="AO1372" s="2"/>
      <c r="AP1372" s="3"/>
      <c r="AQ1372" s="3"/>
      <c r="AR1372" s="3"/>
      <c r="AS1372" s="3"/>
    </row>
    <row r="1373" spans="1:45" ht="15">
      <c r="A1373"/>
      <c r="J1373"/>
      <c r="AA1373"/>
      <c r="AB1373"/>
      <c r="AC1373"/>
      <c r="AD1373"/>
      <c r="AE1373"/>
      <c r="AF1373"/>
      <c r="AG1373"/>
      <c r="AH1373"/>
      <c r="AO1373" s="2"/>
      <c r="AP1373" s="3"/>
      <c r="AQ1373" s="3"/>
      <c r="AR1373" s="3"/>
      <c r="AS1373" s="3"/>
    </row>
    <row r="1374" spans="1:45" ht="15">
      <c r="A1374"/>
      <c r="J1374"/>
      <c r="AA1374"/>
      <c r="AB1374"/>
      <c r="AC1374"/>
      <c r="AD1374"/>
      <c r="AE1374"/>
      <c r="AF1374"/>
      <c r="AG1374"/>
      <c r="AH1374"/>
      <c r="AO1374" s="2"/>
      <c r="AP1374" s="3"/>
      <c r="AQ1374" s="3"/>
      <c r="AR1374" s="3"/>
      <c r="AS1374" s="3"/>
    </row>
    <row r="1375" spans="1:45" ht="15">
      <c r="A1375"/>
      <c r="J1375"/>
      <c r="AA1375"/>
      <c r="AB1375"/>
      <c r="AC1375"/>
      <c r="AD1375"/>
      <c r="AE1375"/>
      <c r="AF1375"/>
      <c r="AG1375"/>
      <c r="AH1375"/>
      <c r="AO1375" s="2"/>
      <c r="AP1375" s="3"/>
      <c r="AQ1375" s="3"/>
      <c r="AR1375" s="3"/>
      <c r="AS1375" s="3"/>
    </row>
    <row r="1376" spans="1:45" ht="15">
      <c r="A1376"/>
      <c r="J1376"/>
      <c r="AA1376"/>
      <c r="AB1376"/>
      <c r="AC1376"/>
      <c r="AD1376"/>
      <c r="AE1376"/>
      <c r="AF1376"/>
      <c r="AG1376"/>
      <c r="AH1376"/>
      <c r="AO1376" s="2"/>
      <c r="AP1376" s="3"/>
      <c r="AQ1376" s="3"/>
      <c r="AR1376" s="3"/>
      <c r="AS1376" s="3"/>
    </row>
    <row r="1377" spans="1:45" ht="15">
      <c r="A1377"/>
      <c r="J1377"/>
      <c r="AA1377"/>
      <c r="AB1377"/>
      <c r="AC1377"/>
      <c r="AD1377"/>
      <c r="AE1377"/>
      <c r="AF1377"/>
      <c r="AG1377"/>
      <c r="AH1377"/>
      <c r="AO1377" s="2"/>
      <c r="AP1377" s="3"/>
      <c r="AQ1377" s="3"/>
      <c r="AR1377" s="3"/>
      <c r="AS1377" s="3"/>
    </row>
    <row r="1378" spans="1:45" ht="15">
      <c r="A1378"/>
      <c r="J1378"/>
      <c r="AA1378"/>
      <c r="AB1378"/>
      <c r="AC1378"/>
      <c r="AD1378"/>
      <c r="AE1378"/>
      <c r="AF1378"/>
      <c r="AG1378"/>
      <c r="AH1378"/>
      <c r="AO1378" s="2"/>
      <c r="AP1378" s="3"/>
      <c r="AQ1378" s="3"/>
      <c r="AR1378" s="3"/>
      <c r="AS1378" s="3"/>
    </row>
    <row r="1379" spans="1:45" ht="15">
      <c r="A1379"/>
      <c r="J1379"/>
      <c r="AA1379"/>
      <c r="AB1379"/>
      <c r="AC1379"/>
      <c r="AD1379"/>
      <c r="AE1379"/>
      <c r="AF1379"/>
      <c r="AG1379"/>
      <c r="AH1379"/>
      <c r="AO1379" s="2"/>
      <c r="AP1379" s="3"/>
      <c r="AQ1379" s="3"/>
      <c r="AR1379" s="3"/>
      <c r="AS1379" s="3"/>
    </row>
    <row r="1380" spans="1:45" ht="15">
      <c r="A1380"/>
      <c r="J1380"/>
      <c r="AA1380"/>
      <c r="AB1380"/>
      <c r="AC1380"/>
      <c r="AD1380"/>
      <c r="AE1380"/>
      <c r="AF1380"/>
      <c r="AG1380"/>
      <c r="AH1380"/>
      <c r="AO1380" s="2"/>
      <c r="AP1380" s="3"/>
      <c r="AQ1380" s="3"/>
      <c r="AR1380" s="3"/>
      <c r="AS1380" s="3"/>
    </row>
    <row r="1381" spans="1:45" ht="15">
      <c r="A1381"/>
      <c r="J1381"/>
      <c r="AA1381"/>
      <c r="AB1381"/>
      <c r="AC1381"/>
      <c r="AD1381"/>
      <c r="AE1381"/>
      <c r="AF1381"/>
      <c r="AG1381"/>
      <c r="AH1381"/>
      <c r="AO1381" s="2"/>
      <c r="AP1381" s="3"/>
      <c r="AQ1381" s="3"/>
      <c r="AR1381" s="3"/>
      <c r="AS1381" s="3"/>
    </row>
    <row r="1382" spans="1:45" ht="15">
      <c r="A1382"/>
      <c r="J1382"/>
      <c r="AA1382"/>
      <c r="AB1382"/>
      <c r="AC1382"/>
      <c r="AD1382"/>
      <c r="AE1382"/>
      <c r="AF1382"/>
      <c r="AG1382"/>
      <c r="AH1382"/>
      <c r="AO1382" s="2"/>
      <c r="AP1382" s="3"/>
      <c r="AQ1382" s="3"/>
      <c r="AR1382" s="3"/>
      <c r="AS1382" s="3"/>
    </row>
    <row r="1383" spans="1:45" ht="15">
      <c r="A1383"/>
      <c r="J1383"/>
      <c r="AA1383"/>
      <c r="AB1383"/>
      <c r="AC1383"/>
      <c r="AD1383"/>
      <c r="AE1383"/>
      <c r="AF1383"/>
      <c r="AG1383"/>
      <c r="AH1383"/>
      <c r="AO1383" s="2"/>
      <c r="AP1383" s="3"/>
      <c r="AQ1383" s="3"/>
      <c r="AR1383" s="3"/>
      <c r="AS1383" s="3"/>
    </row>
    <row r="1384" spans="1:45" ht="15">
      <c r="A1384"/>
      <c r="J1384"/>
      <c r="AA1384"/>
      <c r="AB1384"/>
      <c r="AC1384"/>
      <c r="AD1384"/>
      <c r="AE1384"/>
      <c r="AF1384"/>
      <c r="AG1384"/>
      <c r="AH1384"/>
      <c r="AO1384" s="2"/>
      <c r="AP1384" s="3"/>
      <c r="AQ1384" s="3"/>
      <c r="AR1384" s="3"/>
      <c r="AS1384" s="3"/>
    </row>
    <row r="1385" spans="1:45" ht="15">
      <c r="A1385"/>
      <c r="J1385"/>
      <c r="AA1385"/>
      <c r="AB1385"/>
      <c r="AC1385"/>
      <c r="AD1385"/>
      <c r="AE1385"/>
      <c r="AF1385"/>
      <c r="AG1385"/>
      <c r="AH1385"/>
      <c r="AO1385" s="2"/>
      <c r="AP1385" s="3"/>
      <c r="AQ1385" s="3"/>
      <c r="AR1385" s="3"/>
      <c r="AS1385" s="3"/>
    </row>
    <row r="1386" spans="1:45" ht="15">
      <c r="A1386"/>
      <c r="J1386"/>
      <c r="AA1386"/>
      <c r="AB1386"/>
      <c r="AC1386"/>
      <c r="AD1386"/>
      <c r="AE1386"/>
      <c r="AF1386"/>
      <c r="AG1386"/>
      <c r="AH1386"/>
      <c r="AO1386" s="2"/>
      <c r="AP1386" s="3"/>
      <c r="AQ1386" s="3"/>
      <c r="AR1386" s="3"/>
      <c r="AS1386" s="3"/>
    </row>
    <row r="1387" spans="1:45" ht="15">
      <c r="A1387"/>
      <c r="J1387"/>
      <c r="AA1387"/>
      <c r="AB1387"/>
      <c r="AC1387"/>
      <c r="AD1387"/>
      <c r="AE1387"/>
      <c r="AF1387"/>
      <c r="AG1387"/>
      <c r="AH1387"/>
      <c r="AO1387" s="2"/>
      <c r="AP1387" s="3"/>
      <c r="AQ1387" s="3"/>
      <c r="AR1387" s="3"/>
      <c r="AS1387" s="3"/>
    </row>
    <row r="1388" spans="1:45" ht="15">
      <c r="A1388"/>
      <c r="J1388"/>
      <c r="AA1388"/>
      <c r="AB1388"/>
      <c r="AC1388"/>
      <c r="AD1388"/>
      <c r="AE1388"/>
      <c r="AF1388"/>
      <c r="AG1388"/>
      <c r="AH1388"/>
      <c r="AO1388" s="2"/>
      <c r="AP1388" s="3"/>
      <c r="AQ1388" s="3"/>
      <c r="AR1388" s="3"/>
      <c r="AS1388" s="3"/>
    </row>
    <row r="1389" spans="1:45" ht="15">
      <c r="A1389"/>
      <c r="J1389"/>
      <c r="AA1389"/>
      <c r="AB1389"/>
      <c r="AC1389"/>
      <c r="AD1389"/>
      <c r="AE1389"/>
      <c r="AF1389"/>
      <c r="AG1389"/>
      <c r="AH1389"/>
      <c r="AO1389" s="2"/>
      <c r="AP1389" s="3"/>
      <c r="AQ1389" s="3"/>
      <c r="AR1389" s="3"/>
      <c r="AS1389" s="3"/>
    </row>
    <row r="1390" spans="1:45" ht="15">
      <c r="A1390"/>
      <c r="J1390"/>
      <c r="AA1390"/>
      <c r="AB1390"/>
      <c r="AC1390"/>
      <c r="AD1390"/>
      <c r="AE1390"/>
      <c r="AF1390"/>
      <c r="AG1390"/>
      <c r="AH1390"/>
      <c r="AO1390" s="2"/>
      <c r="AP1390" s="3"/>
      <c r="AQ1390" s="3"/>
      <c r="AR1390" s="3"/>
      <c r="AS1390" s="3"/>
    </row>
    <row r="1391" spans="1:45" ht="15">
      <c r="A1391"/>
      <c r="J1391"/>
      <c r="AA1391"/>
      <c r="AB1391"/>
      <c r="AC1391"/>
      <c r="AD1391"/>
      <c r="AE1391"/>
      <c r="AF1391"/>
      <c r="AG1391"/>
      <c r="AH1391"/>
      <c r="AO1391" s="2"/>
      <c r="AP1391" s="3"/>
      <c r="AQ1391" s="3"/>
      <c r="AR1391" s="3"/>
      <c r="AS1391" s="3"/>
    </row>
    <row r="1392" spans="1:45" ht="15">
      <c r="A1392"/>
      <c r="J1392"/>
      <c r="AA1392"/>
      <c r="AB1392"/>
      <c r="AC1392"/>
      <c r="AD1392"/>
      <c r="AE1392"/>
      <c r="AF1392"/>
      <c r="AG1392"/>
      <c r="AH1392"/>
      <c r="AO1392" s="2"/>
      <c r="AP1392" s="3"/>
      <c r="AQ1392" s="3"/>
      <c r="AR1392" s="3"/>
      <c r="AS1392" s="3"/>
    </row>
    <row r="1393" spans="1:45" ht="15">
      <c r="A1393"/>
      <c r="J1393"/>
      <c r="AA1393"/>
      <c r="AB1393"/>
      <c r="AC1393"/>
      <c r="AD1393"/>
      <c r="AE1393"/>
      <c r="AF1393"/>
      <c r="AG1393"/>
      <c r="AH1393"/>
      <c r="AO1393" s="2"/>
      <c r="AP1393" s="3"/>
      <c r="AQ1393" s="3"/>
      <c r="AR1393" s="3"/>
      <c r="AS1393" s="3"/>
    </row>
    <row r="1394" spans="1:45" ht="15">
      <c r="A1394"/>
      <c r="J1394"/>
      <c r="AA1394"/>
      <c r="AB1394"/>
      <c r="AC1394"/>
      <c r="AD1394"/>
      <c r="AE1394"/>
      <c r="AF1394"/>
      <c r="AG1394"/>
      <c r="AH1394"/>
      <c r="AO1394" s="2"/>
      <c r="AP1394" s="3"/>
      <c r="AQ1394" s="3"/>
      <c r="AR1394" s="3"/>
      <c r="AS1394" s="3"/>
    </row>
    <row r="1395" spans="1:45" ht="15">
      <c r="A1395"/>
      <c r="J1395"/>
      <c r="AA1395"/>
      <c r="AB1395"/>
      <c r="AC1395"/>
      <c r="AD1395"/>
      <c r="AE1395"/>
      <c r="AF1395"/>
      <c r="AG1395"/>
      <c r="AH1395"/>
      <c r="AO1395" s="2"/>
      <c r="AP1395" s="3"/>
      <c r="AQ1395" s="3"/>
      <c r="AR1395" s="3"/>
      <c r="AS1395" s="3"/>
    </row>
    <row r="1396" spans="1:45" ht="15">
      <c r="A1396"/>
      <c r="J1396"/>
      <c r="AA1396"/>
      <c r="AB1396"/>
      <c r="AC1396"/>
      <c r="AD1396"/>
      <c r="AE1396"/>
      <c r="AF1396"/>
      <c r="AG1396"/>
      <c r="AH1396"/>
      <c r="AO1396" s="2"/>
      <c r="AP1396" s="3"/>
      <c r="AQ1396" s="3"/>
      <c r="AR1396" s="3"/>
      <c r="AS1396" s="3"/>
    </row>
    <row r="1397" spans="1:45" ht="15">
      <c r="A1397"/>
      <c r="J1397"/>
      <c r="AA1397"/>
      <c r="AB1397"/>
      <c r="AC1397"/>
      <c r="AD1397"/>
      <c r="AE1397"/>
      <c r="AF1397"/>
      <c r="AG1397"/>
      <c r="AH1397"/>
      <c r="AO1397" s="2"/>
      <c r="AP1397" s="3"/>
      <c r="AQ1397" s="3"/>
      <c r="AR1397" s="3"/>
      <c r="AS1397" s="3"/>
    </row>
    <row r="1398" spans="1:45" ht="15">
      <c r="A1398"/>
      <c r="J1398"/>
      <c r="AA1398"/>
      <c r="AB1398"/>
      <c r="AC1398"/>
      <c r="AD1398"/>
      <c r="AE1398"/>
      <c r="AF1398"/>
      <c r="AG1398"/>
      <c r="AH1398"/>
      <c r="AO1398" s="2"/>
      <c r="AP1398" s="3"/>
      <c r="AQ1398" s="3"/>
      <c r="AR1398" s="3"/>
      <c r="AS1398" s="3"/>
    </row>
    <row r="1399" spans="1:45" ht="15">
      <c r="A1399"/>
      <c r="J1399"/>
      <c r="AA1399"/>
      <c r="AB1399"/>
      <c r="AC1399"/>
      <c r="AD1399"/>
      <c r="AE1399"/>
      <c r="AF1399"/>
      <c r="AG1399"/>
      <c r="AH1399"/>
      <c r="AO1399" s="2"/>
      <c r="AP1399" s="3"/>
      <c r="AQ1399" s="3"/>
      <c r="AR1399" s="3"/>
      <c r="AS1399" s="3"/>
    </row>
    <row r="1400" spans="1:45" ht="15">
      <c r="A1400"/>
      <c r="J1400"/>
      <c r="AA1400"/>
      <c r="AB1400"/>
      <c r="AC1400"/>
      <c r="AD1400"/>
      <c r="AE1400"/>
      <c r="AF1400"/>
      <c r="AG1400"/>
      <c r="AH1400"/>
      <c r="AO1400" s="2"/>
      <c r="AP1400" s="3"/>
      <c r="AQ1400" s="3"/>
      <c r="AR1400" s="3"/>
      <c r="AS1400" s="3"/>
    </row>
    <row r="1401" spans="1:45" ht="15">
      <c r="A1401"/>
      <c r="J1401"/>
      <c r="AA1401"/>
      <c r="AB1401"/>
      <c r="AC1401"/>
      <c r="AD1401"/>
      <c r="AE1401"/>
      <c r="AF1401"/>
      <c r="AG1401"/>
      <c r="AH1401"/>
      <c r="AO1401" s="2"/>
      <c r="AP1401" s="3"/>
      <c r="AQ1401" s="3"/>
      <c r="AR1401" s="3"/>
      <c r="AS1401" s="3"/>
    </row>
    <row r="1402" spans="1:45" ht="15">
      <c r="A1402"/>
      <c r="J1402"/>
      <c r="AA1402"/>
      <c r="AB1402"/>
      <c r="AC1402"/>
      <c r="AD1402"/>
      <c r="AE1402"/>
      <c r="AF1402"/>
      <c r="AG1402"/>
      <c r="AH1402"/>
      <c r="AO1402" s="2"/>
      <c r="AP1402" s="3"/>
      <c r="AQ1402" s="3"/>
      <c r="AR1402" s="3"/>
      <c r="AS1402" s="3"/>
    </row>
    <row r="1403" spans="1:45" ht="15">
      <c r="A1403"/>
      <c r="J1403"/>
      <c r="AA1403"/>
      <c r="AB1403"/>
      <c r="AC1403"/>
      <c r="AD1403"/>
      <c r="AE1403"/>
      <c r="AF1403"/>
      <c r="AG1403"/>
      <c r="AH1403"/>
      <c r="AO1403" s="2"/>
      <c r="AP1403" s="3"/>
      <c r="AQ1403" s="3"/>
      <c r="AR1403" s="3"/>
      <c r="AS1403" s="3"/>
    </row>
    <row r="1404" spans="1:45" ht="15">
      <c r="A1404"/>
      <c r="J1404"/>
      <c r="AA1404"/>
      <c r="AB1404"/>
      <c r="AC1404"/>
      <c r="AD1404"/>
      <c r="AE1404"/>
      <c r="AF1404"/>
      <c r="AG1404"/>
      <c r="AH1404"/>
      <c r="AO1404" s="2"/>
      <c r="AP1404" s="3"/>
      <c r="AQ1404" s="3"/>
      <c r="AR1404" s="3"/>
      <c r="AS1404" s="3"/>
    </row>
    <row r="1405" spans="1:45" ht="15">
      <c r="A1405"/>
      <c r="J1405"/>
      <c r="AA1405"/>
      <c r="AB1405"/>
      <c r="AC1405"/>
      <c r="AD1405"/>
      <c r="AE1405"/>
      <c r="AF1405"/>
      <c r="AG1405"/>
      <c r="AH1405"/>
      <c r="AO1405" s="2"/>
      <c r="AP1405" s="3"/>
      <c r="AQ1405" s="3"/>
      <c r="AR1405" s="3"/>
      <c r="AS1405" s="3"/>
    </row>
    <row r="1406" spans="1:45" ht="15">
      <c r="A1406"/>
      <c r="J1406"/>
      <c r="AA1406"/>
      <c r="AB1406"/>
      <c r="AC1406"/>
      <c r="AD1406"/>
      <c r="AE1406"/>
      <c r="AF1406"/>
      <c r="AG1406"/>
      <c r="AH1406"/>
      <c r="AO1406" s="2"/>
      <c r="AP1406" s="3"/>
      <c r="AQ1406" s="3"/>
      <c r="AR1406" s="3"/>
      <c r="AS1406" s="3"/>
    </row>
    <row r="1407" spans="1:45" ht="15">
      <c r="A1407"/>
      <c r="J1407"/>
      <c r="AA1407"/>
      <c r="AB1407"/>
      <c r="AC1407"/>
      <c r="AD1407"/>
      <c r="AE1407"/>
      <c r="AF1407"/>
      <c r="AG1407"/>
      <c r="AH1407"/>
      <c r="AO1407" s="2"/>
      <c r="AP1407" s="3"/>
      <c r="AQ1407" s="3"/>
      <c r="AR1407" s="3"/>
      <c r="AS1407" s="3"/>
    </row>
    <row r="1408" spans="1:45" ht="15">
      <c r="A1408"/>
      <c r="J1408"/>
      <c r="AA1408"/>
      <c r="AB1408"/>
      <c r="AC1408"/>
      <c r="AD1408"/>
      <c r="AE1408"/>
      <c r="AF1408"/>
      <c r="AG1408"/>
      <c r="AH1408"/>
      <c r="AO1408" s="2"/>
      <c r="AP1408" s="3"/>
      <c r="AQ1408" s="3"/>
      <c r="AR1408" s="3"/>
      <c r="AS1408" s="3"/>
    </row>
    <row r="1409" spans="1:45" ht="15">
      <c r="A1409"/>
      <c r="J1409"/>
      <c r="AA1409"/>
      <c r="AB1409"/>
      <c r="AC1409"/>
      <c r="AD1409"/>
      <c r="AE1409"/>
      <c r="AF1409"/>
      <c r="AG1409"/>
      <c r="AH1409"/>
      <c r="AO1409" s="2"/>
      <c r="AP1409" s="3"/>
      <c r="AQ1409" s="3"/>
      <c r="AR1409" s="3"/>
      <c r="AS1409" s="3"/>
    </row>
    <row r="1410" spans="1:45" ht="15">
      <c r="A1410"/>
      <c r="J1410"/>
      <c r="AA1410"/>
      <c r="AB1410"/>
      <c r="AC1410"/>
      <c r="AD1410"/>
      <c r="AE1410"/>
      <c r="AF1410"/>
      <c r="AG1410"/>
      <c r="AH1410"/>
      <c r="AO1410" s="2"/>
      <c r="AP1410" s="3"/>
      <c r="AQ1410" s="3"/>
      <c r="AR1410" s="3"/>
      <c r="AS1410" s="3"/>
    </row>
    <row r="1411" spans="1:45" ht="15">
      <c r="A1411"/>
      <c r="J1411"/>
      <c r="AA1411"/>
      <c r="AB1411"/>
      <c r="AC1411"/>
      <c r="AD1411"/>
      <c r="AE1411"/>
      <c r="AF1411"/>
      <c r="AG1411"/>
      <c r="AH1411"/>
      <c r="AO1411" s="2"/>
      <c r="AP1411" s="3"/>
      <c r="AQ1411" s="3"/>
      <c r="AR1411" s="3"/>
      <c r="AS1411" s="3"/>
    </row>
    <row r="1412" spans="1:45" ht="15">
      <c r="A1412"/>
      <c r="J1412"/>
      <c r="AA1412"/>
      <c r="AB1412"/>
      <c r="AC1412"/>
      <c r="AD1412"/>
      <c r="AE1412"/>
      <c r="AF1412"/>
      <c r="AG1412"/>
      <c r="AH1412"/>
      <c r="AO1412" s="2"/>
      <c r="AP1412" s="3"/>
      <c r="AQ1412" s="3"/>
      <c r="AR1412" s="3"/>
      <c r="AS1412" s="3"/>
    </row>
    <row r="1413" spans="1:45" ht="15">
      <c r="A1413"/>
      <c r="J1413"/>
      <c r="AA1413"/>
      <c r="AB1413"/>
      <c r="AC1413"/>
      <c r="AD1413"/>
      <c r="AE1413"/>
      <c r="AF1413"/>
      <c r="AG1413"/>
      <c r="AH1413"/>
      <c r="AO1413" s="2"/>
      <c r="AP1413" s="3"/>
      <c r="AQ1413" s="3"/>
      <c r="AR1413" s="3"/>
      <c r="AS1413" s="3"/>
    </row>
    <row r="1414" spans="1:45" ht="15">
      <c r="A1414"/>
      <c r="J1414"/>
      <c r="AA1414"/>
      <c r="AB1414"/>
      <c r="AC1414"/>
      <c r="AD1414"/>
      <c r="AE1414"/>
      <c r="AF1414"/>
      <c r="AG1414"/>
      <c r="AH1414"/>
      <c r="AO1414" s="2"/>
      <c r="AP1414" s="3"/>
      <c r="AQ1414" s="3"/>
      <c r="AR1414" s="3"/>
      <c r="AS1414" s="3"/>
    </row>
    <row r="1415" spans="1:45" ht="15">
      <c r="A1415"/>
      <c r="J1415"/>
      <c r="AA1415"/>
      <c r="AB1415"/>
      <c r="AC1415"/>
      <c r="AD1415"/>
      <c r="AE1415"/>
      <c r="AF1415"/>
      <c r="AG1415"/>
      <c r="AH1415"/>
      <c r="AO1415" s="2"/>
      <c r="AP1415" s="3"/>
      <c r="AQ1415" s="3"/>
      <c r="AR1415" s="3"/>
      <c r="AS1415" s="3"/>
    </row>
    <row r="1416" spans="1:45" ht="15">
      <c r="A1416"/>
      <c r="J1416"/>
      <c r="AA1416"/>
      <c r="AB1416"/>
      <c r="AC1416"/>
      <c r="AD1416"/>
      <c r="AE1416"/>
      <c r="AF1416"/>
      <c r="AG1416"/>
      <c r="AH1416"/>
      <c r="AO1416" s="2"/>
      <c r="AP1416" s="3"/>
      <c r="AQ1416" s="3"/>
      <c r="AR1416" s="3"/>
      <c r="AS1416" s="3"/>
    </row>
    <row r="1417" spans="1:45" ht="15">
      <c r="A1417"/>
      <c r="J1417"/>
      <c r="AA1417"/>
      <c r="AB1417"/>
      <c r="AC1417"/>
      <c r="AD1417"/>
      <c r="AE1417"/>
      <c r="AF1417"/>
      <c r="AG1417"/>
      <c r="AH1417"/>
      <c r="AO1417" s="2"/>
      <c r="AP1417" s="3"/>
      <c r="AQ1417" s="3"/>
      <c r="AR1417" s="3"/>
      <c r="AS1417" s="3"/>
    </row>
    <row r="1418" spans="1:45" ht="15">
      <c r="A1418"/>
      <c r="J1418"/>
      <c r="AA1418"/>
      <c r="AB1418"/>
      <c r="AC1418"/>
      <c r="AD1418"/>
      <c r="AE1418"/>
      <c r="AF1418"/>
      <c r="AG1418"/>
      <c r="AH1418"/>
      <c r="AO1418" s="2"/>
      <c r="AP1418" s="3"/>
      <c r="AQ1418" s="3"/>
      <c r="AR1418" s="3"/>
      <c r="AS1418" s="3"/>
    </row>
    <row r="1419" spans="1:45" ht="15">
      <c r="A1419"/>
      <c r="J1419"/>
      <c r="AA1419"/>
      <c r="AB1419"/>
      <c r="AC1419"/>
      <c r="AD1419"/>
      <c r="AE1419"/>
      <c r="AF1419"/>
      <c r="AG1419"/>
      <c r="AH1419"/>
      <c r="AO1419" s="2"/>
      <c r="AP1419" s="3"/>
      <c r="AQ1419" s="3"/>
      <c r="AR1419" s="3"/>
      <c r="AS1419" s="3"/>
    </row>
    <row r="1420" spans="1:45" ht="15">
      <c r="A1420"/>
      <c r="J1420"/>
      <c r="AA1420"/>
      <c r="AB1420"/>
      <c r="AC1420"/>
      <c r="AD1420"/>
      <c r="AE1420"/>
      <c r="AF1420"/>
      <c r="AG1420"/>
      <c r="AH1420"/>
      <c r="AO1420" s="2"/>
      <c r="AP1420" s="3"/>
      <c r="AQ1420" s="3"/>
      <c r="AR1420" s="3"/>
      <c r="AS1420" s="3"/>
    </row>
    <row r="1421" spans="1:45" ht="15">
      <c r="A1421"/>
      <c r="J1421"/>
      <c r="AA1421"/>
      <c r="AB1421"/>
      <c r="AC1421"/>
      <c r="AD1421"/>
      <c r="AE1421"/>
      <c r="AF1421"/>
      <c r="AG1421"/>
      <c r="AH1421"/>
      <c r="AO1421" s="2"/>
      <c r="AP1421" s="3"/>
      <c r="AQ1421" s="3"/>
      <c r="AR1421" s="3"/>
      <c r="AS1421" s="3"/>
    </row>
    <row r="1422" spans="1:45" ht="15">
      <c r="A1422"/>
      <c r="J1422"/>
      <c r="AA1422"/>
      <c r="AB1422"/>
      <c r="AC1422"/>
      <c r="AD1422"/>
      <c r="AE1422"/>
      <c r="AF1422"/>
      <c r="AG1422"/>
      <c r="AH1422"/>
      <c r="AO1422" s="2"/>
      <c r="AP1422" s="3"/>
      <c r="AQ1422" s="3"/>
      <c r="AR1422" s="3"/>
      <c r="AS1422" s="3"/>
    </row>
    <row r="1423" spans="1:45" ht="15">
      <c r="A1423"/>
      <c r="J1423"/>
      <c r="AA1423"/>
      <c r="AB1423"/>
      <c r="AC1423"/>
      <c r="AD1423"/>
      <c r="AE1423"/>
      <c r="AF1423"/>
      <c r="AG1423"/>
      <c r="AH1423"/>
      <c r="AO1423" s="2"/>
      <c r="AP1423" s="3"/>
      <c r="AQ1423" s="3"/>
      <c r="AR1423" s="3"/>
      <c r="AS1423" s="3"/>
    </row>
    <row r="1424" spans="1:45" ht="15">
      <c r="A1424"/>
      <c r="J1424"/>
      <c r="AA1424"/>
      <c r="AB1424"/>
      <c r="AC1424"/>
      <c r="AD1424"/>
      <c r="AE1424"/>
      <c r="AF1424"/>
      <c r="AG1424"/>
      <c r="AH1424"/>
      <c r="AO1424" s="2"/>
      <c r="AP1424" s="3"/>
      <c r="AQ1424" s="3"/>
      <c r="AR1424" s="3"/>
      <c r="AS1424" s="3"/>
    </row>
    <row r="1425" spans="1:45" ht="15">
      <c r="A1425"/>
      <c r="J1425"/>
      <c r="AA1425"/>
      <c r="AB1425"/>
      <c r="AC1425"/>
      <c r="AD1425"/>
      <c r="AE1425"/>
      <c r="AF1425"/>
      <c r="AG1425"/>
      <c r="AH1425"/>
      <c r="AO1425" s="2"/>
      <c r="AP1425" s="3"/>
      <c r="AQ1425" s="3"/>
      <c r="AR1425" s="3"/>
      <c r="AS1425" s="3"/>
    </row>
    <row r="1426" spans="1:45" ht="15">
      <c r="A1426"/>
      <c r="J1426"/>
      <c r="AA1426"/>
      <c r="AB1426"/>
      <c r="AC1426"/>
      <c r="AD1426"/>
      <c r="AE1426"/>
      <c r="AF1426"/>
      <c r="AG1426"/>
      <c r="AH1426"/>
      <c r="AO1426" s="2"/>
      <c r="AP1426" s="3"/>
      <c r="AQ1426" s="3"/>
      <c r="AR1426" s="3"/>
      <c r="AS1426" s="3"/>
    </row>
    <row r="1427" spans="1:45" ht="15">
      <c r="A1427"/>
      <c r="J1427"/>
      <c r="AA1427"/>
      <c r="AB1427"/>
      <c r="AC1427"/>
      <c r="AD1427"/>
      <c r="AE1427"/>
      <c r="AF1427"/>
      <c r="AG1427"/>
      <c r="AH1427"/>
      <c r="AO1427" s="2"/>
      <c r="AP1427" s="3"/>
      <c r="AQ1427" s="3"/>
      <c r="AR1427" s="3"/>
      <c r="AS1427" s="3"/>
    </row>
    <row r="1428" spans="1:45" ht="15">
      <c r="A1428"/>
      <c r="J1428"/>
      <c r="AA1428"/>
      <c r="AB1428"/>
      <c r="AC1428"/>
      <c r="AD1428"/>
      <c r="AE1428"/>
      <c r="AF1428"/>
      <c r="AG1428"/>
      <c r="AH1428"/>
      <c r="AO1428" s="2"/>
      <c r="AP1428" s="3"/>
      <c r="AQ1428" s="3"/>
      <c r="AR1428" s="3"/>
      <c r="AS1428" s="3"/>
    </row>
    <row r="1429" spans="1:45" ht="15">
      <c r="A1429"/>
      <c r="J1429"/>
      <c r="AA1429"/>
      <c r="AB1429"/>
      <c r="AC1429"/>
      <c r="AD1429"/>
      <c r="AE1429"/>
      <c r="AF1429"/>
      <c r="AG1429"/>
      <c r="AH1429"/>
      <c r="AO1429" s="2"/>
      <c r="AP1429" s="3"/>
      <c r="AQ1429" s="3"/>
      <c r="AR1429" s="3"/>
      <c r="AS1429" s="3"/>
    </row>
    <row r="1430" spans="1:45" ht="15">
      <c r="A1430"/>
      <c r="J1430"/>
      <c r="AA1430"/>
      <c r="AB1430"/>
      <c r="AC1430"/>
      <c r="AD1430"/>
      <c r="AE1430"/>
      <c r="AF1430"/>
      <c r="AG1430"/>
      <c r="AH1430"/>
      <c r="AO1430" s="2"/>
      <c r="AP1430" s="3"/>
      <c r="AQ1430" s="3"/>
      <c r="AR1430" s="3"/>
      <c r="AS1430" s="3"/>
    </row>
    <row r="1431" spans="1:45" ht="15">
      <c r="A1431"/>
      <c r="J1431"/>
      <c r="AA1431"/>
      <c r="AB1431"/>
      <c r="AC1431"/>
      <c r="AD1431"/>
      <c r="AE1431"/>
      <c r="AF1431"/>
      <c r="AG1431"/>
      <c r="AH1431"/>
      <c r="AO1431" s="2"/>
      <c r="AP1431" s="3"/>
      <c r="AQ1431" s="3"/>
      <c r="AR1431" s="3"/>
      <c r="AS1431" s="3"/>
    </row>
    <row r="1432" spans="1:45" ht="15">
      <c r="A1432"/>
      <c r="J1432"/>
      <c r="AA1432"/>
      <c r="AB1432"/>
      <c r="AC1432"/>
      <c r="AD1432"/>
      <c r="AE1432"/>
      <c r="AF1432"/>
      <c r="AG1432"/>
      <c r="AH1432"/>
      <c r="AO1432" s="2"/>
      <c r="AP1432" s="3"/>
      <c r="AQ1432" s="3"/>
      <c r="AR1432" s="3"/>
      <c r="AS1432" s="3"/>
    </row>
    <row r="1433" spans="1:45" ht="15">
      <c r="A1433"/>
      <c r="J1433"/>
      <c r="AA1433"/>
      <c r="AB1433"/>
      <c r="AC1433"/>
      <c r="AD1433"/>
      <c r="AE1433"/>
      <c r="AF1433"/>
      <c r="AG1433"/>
      <c r="AH1433"/>
      <c r="AO1433" s="2"/>
      <c r="AP1433" s="3"/>
      <c r="AQ1433" s="3"/>
      <c r="AR1433" s="3"/>
      <c r="AS1433" s="3"/>
    </row>
    <row r="1434" spans="1:45" ht="15">
      <c r="A1434"/>
      <c r="J1434"/>
      <c r="AA1434"/>
      <c r="AB1434"/>
      <c r="AC1434"/>
      <c r="AD1434"/>
      <c r="AE1434"/>
      <c r="AF1434"/>
      <c r="AG1434"/>
      <c r="AH1434"/>
      <c r="AO1434" s="2"/>
      <c r="AP1434" s="3"/>
      <c r="AQ1434" s="3"/>
      <c r="AR1434" s="3"/>
      <c r="AS1434" s="3"/>
    </row>
    <row r="1435" spans="1:45" ht="15">
      <c r="A1435"/>
      <c r="J1435"/>
      <c r="AA1435"/>
      <c r="AB1435"/>
      <c r="AC1435"/>
      <c r="AD1435"/>
      <c r="AE1435"/>
      <c r="AF1435"/>
      <c r="AG1435"/>
      <c r="AH1435"/>
      <c r="AO1435" s="2"/>
      <c r="AP1435" s="3"/>
      <c r="AQ1435" s="3"/>
      <c r="AR1435" s="3"/>
      <c r="AS1435" s="3"/>
    </row>
    <row r="1436" spans="1:45" ht="15">
      <c r="A1436"/>
      <c r="J1436"/>
      <c r="AA1436"/>
      <c r="AB1436"/>
      <c r="AC1436"/>
      <c r="AD1436"/>
      <c r="AE1436"/>
      <c r="AF1436"/>
      <c r="AG1436"/>
      <c r="AH1436"/>
      <c r="AO1436" s="2"/>
      <c r="AP1436" s="3"/>
      <c r="AQ1436" s="3"/>
      <c r="AR1436" s="3"/>
      <c r="AS1436" s="3"/>
    </row>
    <row r="1437" spans="1:45" ht="15">
      <c r="A1437"/>
      <c r="J1437"/>
      <c r="AA1437"/>
      <c r="AB1437"/>
      <c r="AC1437"/>
      <c r="AD1437"/>
      <c r="AE1437"/>
      <c r="AF1437"/>
      <c r="AG1437"/>
      <c r="AH1437"/>
      <c r="AO1437" s="2"/>
      <c r="AP1437" s="3"/>
      <c r="AQ1437" s="3"/>
      <c r="AR1437" s="3"/>
      <c r="AS1437" s="3"/>
    </row>
    <row r="1438" spans="1:45" ht="15">
      <c r="A1438"/>
      <c r="J1438"/>
      <c r="AA1438"/>
      <c r="AB1438"/>
      <c r="AC1438"/>
      <c r="AD1438"/>
      <c r="AE1438"/>
      <c r="AF1438"/>
      <c r="AG1438"/>
      <c r="AH1438"/>
      <c r="AO1438" s="2"/>
      <c r="AP1438" s="3"/>
      <c r="AQ1438" s="3"/>
      <c r="AR1438" s="3"/>
      <c r="AS1438" s="3"/>
    </row>
    <row r="1439" spans="1:45" ht="15">
      <c r="A1439"/>
      <c r="J1439"/>
      <c r="AA1439"/>
      <c r="AB1439"/>
      <c r="AC1439"/>
      <c r="AD1439"/>
      <c r="AE1439"/>
      <c r="AF1439"/>
      <c r="AG1439"/>
      <c r="AH1439"/>
      <c r="AO1439" s="2"/>
      <c r="AP1439" s="3"/>
      <c r="AQ1439" s="3"/>
      <c r="AR1439" s="3"/>
      <c r="AS1439" s="3"/>
    </row>
    <row r="1440" spans="1:45" ht="15">
      <c r="A1440"/>
      <c r="J1440"/>
      <c r="AA1440"/>
      <c r="AB1440"/>
      <c r="AC1440"/>
      <c r="AD1440"/>
      <c r="AE1440"/>
      <c r="AF1440"/>
      <c r="AG1440"/>
      <c r="AH1440"/>
      <c r="AO1440" s="2"/>
      <c r="AP1440" s="3"/>
      <c r="AQ1440" s="3"/>
      <c r="AR1440" s="3"/>
      <c r="AS1440" s="3"/>
    </row>
    <row r="1441" spans="1:45" ht="15">
      <c r="A1441"/>
      <c r="J1441"/>
      <c r="AA1441"/>
      <c r="AB1441"/>
      <c r="AC1441"/>
      <c r="AD1441"/>
      <c r="AE1441"/>
      <c r="AF1441"/>
      <c r="AG1441"/>
      <c r="AH1441"/>
      <c r="AO1441" s="2"/>
      <c r="AP1441" s="3"/>
      <c r="AQ1441" s="3"/>
      <c r="AR1441" s="3"/>
      <c r="AS1441" s="3"/>
    </row>
    <row r="1442" spans="1:45" ht="15">
      <c r="A1442"/>
      <c r="J1442"/>
      <c r="AA1442"/>
      <c r="AB1442"/>
      <c r="AC1442"/>
      <c r="AD1442"/>
      <c r="AE1442"/>
      <c r="AF1442"/>
      <c r="AG1442"/>
      <c r="AH1442"/>
      <c r="AO1442" s="2"/>
      <c r="AP1442" s="3"/>
      <c r="AQ1442" s="3"/>
      <c r="AR1442" s="3"/>
      <c r="AS1442" s="3"/>
    </row>
    <row r="1443" spans="1:45" ht="15">
      <c r="A1443"/>
      <c r="J1443"/>
      <c r="AA1443"/>
      <c r="AB1443"/>
      <c r="AC1443"/>
      <c r="AD1443"/>
      <c r="AE1443"/>
      <c r="AF1443"/>
      <c r="AG1443"/>
      <c r="AH1443"/>
      <c r="AO1443" s="2"/>
      <c r="AP1443" s="3"/>
      <c r="AQ1443" s="3"/>
      <c r="AR1443" s="3"/>
      <c r="AS1443" s="3"/>
    </row>
    <row r="1444" spans="1:45" ht="15">
      <c r="A1444"/>
      <c r="J1444"/>
      <c r="AA1444"/>
      <c r="AB1444"/>
      <c r="AC1444"/>
      <c r="AD1444"/>
      <c r="AE1444"/>
      <c r="AF1444"/>
      <c r="AG1444"/>
      <c r="AH1444"/>
      <c r="AO1444" s="2"/>
      <c r="AP1444" s="3"/>
      <c r="AQ1444" s="3"/>
      <c r="AR1444" s="3"/>
      <c r="AS1444" s="3"/>
    </row>
    <row r="1445" spans="1:45" ht="15">
      <c r="A1445"/>
      <c r="J1445"/>
      <c r="AA1445"/>
      <c r="AB1445"/>
      <c r="AC1445"/>
      <c r="AD1445"/>
      <c r="AE1445"/>
      <c r="AF1445"/>
      <c r="AG1445"/>
      <c r="AH1445"/>
      <c r="AO1445" s="2"/>
      <c r="AP1445" s="3"/>
      <c r="AQ1445" s="3"/>
      <c r="AR1445" s="3"/>
      <c r="AS1445" s="3"/>
    </row>
    <row r="1446" spans="1:45" ht="15">
      <c r="A1446"/>
      <c r="J1446"/>
      <c r="AA1446"/>
      <c r="AB1446"/>
      <c r="AC1446"/>
      <c r="AD1446"/>
      <c r="AE1446"/>
      <c r="AF1446"/>
      <c r="AG1446"/>
      <c r="AH1446"/>
      <c r="AO1446" s="2"/>
      <c r="AP1446" s="3"/>
      <c r="AQ1446" s="3"/>
      <c r="AR1446" s="3"/>
      <c r="AS1446" s="3"/>
    </row>
    <row r="1447" spans="1:45" ht="15">
      <c r="A1447"/>
      <c r="J1447"/>
      <c r="AA1447"/>
      <c r="AB1447"/>
      <c r="AC1447"/>
      <c r="AD1447"/>
      <c r="AE1447"/>
      <c r="AF1447"/>
      <c r="AG1447"/>
      <c r="AH1447"/>
      <c r="AO1447" s="2"/>
      <c r="AP1447" s="3"/>
      <c r="AQ1447" s="3"/>
      <c r="AR1447" s="3"/>
      <c r="AS1447" s="3"/>
    </row>
    <row r="1448" spans="1:45" ht="15">
      <c r="A1448"/>
      <c r="J1448"/>
      <c r="AA1448"/>
      <c r="AB1448"/>
      <c r="AC1448"/>
      <c r="AD1448"/>
      <c r="AE1448"/>
      <c r="AF1448"/>
      <c r="AG1448"/>
      <c r="AH1448"/>
      <c r="AO1448" s="2"/>
      <c r="AP1448" s="3"/>
      <c r="AQ1448" s="3"/>
      <c r="AR1448" s="3"/>
      <c r="AS1448" s="3"/>
    </row>
    <row r="1449" spans="1:45" ht="15">
      <c r="A1449"/>
      <c r="J1449"/>
      <c r="AA1449"/>
      <c r="AB1449"/>
      <c r="AC1449"/>
      <c r="AD1449"/>
      <c r="AE1449"/>
      <c r="AF1449"/>
      <c r="AG1449"/>
      <c r="AH1449"/>
      <c r="AO1449" s="2"/>
      <c r="AP1449" s="3"/>
      <c r="AQ1449" s="3"/>
      <c r="AR1449" s="3"/>
      <c r="AS1449" s="3"/>
    </row>
    <row r="1450" spans="1:45" ht="15">
      <c r="A1450"/>
      <c r="J1450"/>
      <c r="AA1450"/>
      <c r="AB1450"/>
      <c r="AC1450"/>
      <c r="AD1450"/>
      <c r="AE1450"/>
      <c r="AF1450"/>
      <c r="AG1450"/>
      <c r="AH1450"/>
      <c r="AO1450" s="2"/>
      <c r="AP1450" s="3"/>
      <c r="AQ1450" s="3"/>
      <c r="AR1450" s="3"/>
      <c r="AS1450" s="3"/>
    </row>
    <row r="1451" spans="1:45" ht="15">
      <c r="A1451"/>
      <c r="J1451"/>
      <c r="AA1451"/>
      <c r="AB1451"/>
      <c r="AC1451"/>
      <c r="AD1451"/>
      <c r="AE1451"/>
      <c r="AF1451"/>
      <c r="AG1451"/>
      <c r="AH1451"/>
      <c r="AO1451" s="2"/>
      <c r="AP1451" s="3"/>
      <c r="AQ1451" s="3"/>
      <c r="AR1451" s="3"/>
      <c r="AS1451" s="3"/>
    </row>
    <row r="1452" spans="1:45" ht="15">
      <c r="A1452"/>
      <c r="J1452"/>
      <c r="AA1452"/>
      <c r="AB1452"/>
      <c r="AC1452"/>
      <c r="AD1452"/>
      <c r="AE1452"/>
      <c r="AF1452"/>
      <c r="AG1452"/>
      <c r="AH1452"/>
      <c r="AO1452" s="2"/>
      <c r="AP1452" s="3"/>
      <c r="AQ1452" s="3"/>
      <c r="AR1452" s="3"/>
      <c r="AS1452" s="3"/>
    </row>
    <row r="1453" spans="1:45" ht="15">
      <c r="A1453"/>
      <c r="J1453"/>
      <c r="AA1453"/>
      <c r="AB1453"/>
      <c r="AC1453"/>
      <c r="AD1453"/>
      <c r="AE1453"/>
      <c r="AF1453"/>
      <c r="AG1453"/>
      <c r="AH1453"/>
      <c r="AO1453" s="2"/>
      <c r="AP1453" s="3"/>
      <c r="AQ1453" s="3"/>
      <c r="AR1453" s="3"/>
      <c r="AS1453" s="3"/>
    </row>
    <row r="1454" spans="1:45" ht="15">
      <c r="A1454"/>
      <c r="J1454"/>
      <c r="AA1454"/>
      <c r="AB1454"/>
      <c r="AC1454"/>
      <c r="AD1454"/>
      <c r="AE1454"/>
      <c r="AF1454"/>
      <c r="AG1454"/>
      <c r="AH1454"/>
      <c r="AO1454" s="2"/>
      <c r="AP1454" s="3"/>
      <c r="AQ1454" s="3"/>
      <c r="AR1454" s="3"/>
      <c r="AS1454" s="3"/>
    </row>
    <row r="1455" spans="1:45" ht="15">
      <c r="A1455"/>
      <c r="J1455"/>
      <c r="AA1455"/>
      <c r="AB1455"/>
      <c r="AC1455"/>
      <c r="AD1455"/>
      <c r="AE1455"/>
      <c r="AF1455"/>
      <c r="AG1455"/>
      <c r="AH1455"/>
      <c r="AO1455" s="2"/>
      <c r="AP1455" s="3"/>
      <c r="AQ1455" s="3"/>
      <c r="AR1455" s="3"/>
      <c r="AS1455" s="3"/>
    </row>
    <row r="1456" spans="1:45" ht="15">
      <c r="A1456"/>
      <c r="J1456"/>
      <c r="AA1456"/>
      <c r="AB1456"/>
      <c r="AC1456"/>
      <c r="AD1456"/>
      <c r="AE1456"/>
      <c r="AF1456"/>
      <c r="AG1456"/>
      <c r="AH1456"/>
      <c r="AO1456" s="2"/>
      <c r="AP1456" s="3"/>
      <c r="AQ1456" s="3"/>
      <c r="AR1456" s="3"/>
      <c r="AS1456" s="3"/>
    </row>
    <row r="1457" spans="1:45" ht="15">
      <c r="A1457"/>
      <c r="J1457"/>
      <c r="AA1457"/>
      <c r="AB1457"/>
      <c r="AC1457"/>
      <c r="AD1457"/>
      <c r="AE1457"/>
      <c r="AF1457"/>
      <c r="AG1457"/>
      <c r="AH1457"/>
      <c r="AO1457" s="2"/>
      <c r="AP1457" s="3"/>
      <c r="AQ1457" s="3"/>
      <c r="AR1457" s="3"/>
      <c r="AS1457" s="3"/>
    </row>
    <row r="1458" spans="1:45" ht="15">
      <c r="A1458"/>
      <c r="J1458"/>
      <c r="AA1458"/>
      <c r="AB1458"/>
      <c r="AC1458"/>
      <c r="AD1458"/>
      <c r="AE1458"/>
      <c r="AF1458"/>
      <c r="AG1458"/>
      <c r="AH1458"/>
      <c r="AO1458" s="2"/>
      <c r="AP1458" s="3"/>
      <c r="AQ1458" s="3"/>
      <c r="AR1458" s="3"/>
      <c r="AS1458" s="3"/>
    </row>
    <row r="1459" spans="1:45" ht="15">
      <c r="A1459"/>
      <c r="J1459"/>
      <c r="AA1459"/>
      <c r="AB1459"/>
      <c r="AC1459"/>
      <c r="AD1459"/>
      <c r="AE1459"/>
      <c r="AF1459"/>
      <c r="AG1459"/>
      <c r="AH1459"/>
      <c r="AO1459" s="2"/>
      <c r="AP1459" s="3"/>
      <c r="AQ1459" s="3"/>
      <c r="AR1459" s="3"/>
      <c r="AS1459" s="3"/>
    </row>
    <row r="1460" spans="1:45" ht="15">
      <c r="A1460"/>
      <c r="J1460"/>
      <c r="AA1460"/>
      <c r="AB1460"/>
      <c r="AC1460"/>
      <c r="AD1460"/>
      <c r="AE1460"/>
      <c r="AF1460"/>
      <c r="AG1460"/>
      <c r="AH1460"/>
      <c r="AO1460" s="2"/>
      <c r="AP1460" s="3"/>
      <c r="AQ1460" s="3"/>
      <c r="AR1460" s="3"/>
      <c r="AS1460" s="3"/>
    </row>
    <row r="1461" spans="1:45" ht="15">
      <c r="A1461"/>
      <c r="J1461"/>
      <c r="AA1461"/>
      <c r="AB1461"/>
      <c r="AC1461"/>
      <c r="AD1461"/>
      <c r="AE1461"/>
      <c r="AF1461"/>
      <c r="AG1461"/>
      <c r="AH1461"/>
      <c r="AO1461" s="2"/>
      <c r="AP1461" s="3"/>
      <c r="AQ1461" s="3"/>
      <c r="AR1461" s="3"/>
      <c r="AS1461" s="3"/>
    </row>
    <row r="1462" spans="1:45" ht="15">
      <c r="A1462"/>
      <c r="J1462"/>
      <c r="AA1462"/>
      <c r="AB1462"/>
      <c r="AC1462"/>
      <c r="AD1462"/>
      <c r="AE1462"/>
      <c r="AF1462"/>
      <c r="AG1462"/>
      <c r="AH1462"/>
      <c r="AO1462" s="2"/>
      <c r="AP1462" s="3"/>
      <c r="AQ1462" s="3"/>
      <c r="AR1462" s="3"/>
      <c r="AS1462" s="3"/>
    </row>
    <row r="1463" spans="1:45" ht="15">
      <c r="A1463"/>
      <c r="J1463"/>
      <c r="AA1463"/>
      <c r="AB1463"/>
      <c r="AC1463"/>
      <c r="AD1463"/>
      <c r="AE1463"/>
      <c r="AF1463"/>
      <c r="AG1463"/>
      <c r="AH1463"/>
      <c r="AO1463" s="2"/>
      <c r="AP1463" s="3"/>
      <c r="AQ1463" s="3"/>
      <c r="AR1463" s="3"/>
      <c r="AS1463" s="3"/>
    </row>
    <row r="1464" spans="1:45" ht="15">
      <c r="A1464"/>
      <c r="J1464"/>
      <c r="AA1464"/>
      <c r="AB1464"/>
      <c r="AC1464"/>
      <c r="AD1464"/>
      <c r="AE1464"/>
      <c r="AF1464"/>
      <c r="AG1464"/>
      <c r="AH1464"/>
      <c r="AO1464" s="2"/>
      <c r="AP1464" s="3"/>
      <c r="AQ1464" s="3"/>
      <c r="AR1464" s="3"/>
      <c r="AS1464" s="3"/>
    </row>
    <row r="1465" spans="1:45" ht="15">
      <c r="A1465"/>
      <c r="J1465"/>
      <c r="AA1465"/>
      <c r="AB1465"/>
      <c r="AC1465"/>
      <c r="AD1465"/>
      <c r="AE1465"/>
      <c r="AF1465"/>
      <c r="AG1465"/>
      <c r="AH1465"/>
      <c r="AO1465" s="2"/>
      <c r="AP1465" s="3"/>
      <c r="AQ1465" s="3"/>
      <c r="AR1465" s="3"/>
      <c r="AS1465" s="3"/>
    </row>
    <row r="1466" spans="1:45" ht="15">
      <c r="A1466"/>
      <c r="J1466"/>
      <c r="AA1466"/>
      <c r="AB1466"/>
      <c r="AC1466"/>
      <c r="AD1466"/>
      <c r="AE1466"/>
      <c r="AF1466"/>
      <c r="AG1466"/>
      <c r="AH1466"/>
      <c r="AO1466" s="2"/>
      <c r="AP1466" s="3"/>
      <c r="AQ1466" s="3"/>
      <c r="AR1466" s="3"/>
      <c r="AS1466" s="3"/>
    </row>
    <row r="1467" spans="1:45" ht="15">
      <c r="A1467"/>
      <c r="J1467"/>
      <c r="AA1467"/>
      <c r="AB1467"/>
      <c r="AC1467"/>
      <c r="AD1467"/>
      <c r="AE1467"/>
      <c r="AF1467"/>
      <c r="AG1467"/>
      <c r="AH1467"/>
      <c r="AO1467" s="2"/>
      <c r="AP1467" s="3"/>
      <c r="AQ1467" s="3"/>
      <c r="AR1467" s="3"/>
      <c r="AS1467" s="3"/>
    </row>
    <row r="1468" spans="1:45" ht="15">
      <c r="A1468"/>
      <c r="J1468"/>
      <c r="AA1468"/>
      <c r="AB1468"/>
      <c r="AC1468"/>
      <c r="AD1468"/>
      <c r="AE1468"/>
      <c r="AF1468"/>
      <c r="AG1468"/>
      <c r="AH1468"/>
      <c r="AO1468" s="2"/>
      <c r="AP1468" s="3"/>
      <c r="AQ1468" s="3"/>
      <c r="AR1468" s="3"/>
      <c r="AS1468" s="3"/>
    </row>
    <row r="1469" spans="1:45" ht="15">
      <c r="A1469"/>
      <c r="J1469"/>
      <c r="AA1469"/>
      <c r="AB1469"/>
      <c r="AC1469"/>
      <c r="AD1469"/>
      <c r="AE1469"/>
      <c r="AF1469"/>
      <c r="AG1469"/>
      <c r="AH1469"/>
      <c r="AO1469" s="2"/>
      <c r="AP1469" s="3"/>
      <c r="AQ1469" s="3"/>
      <c r="AR1469" s="3"/>
      <c r="AS1469" s="3"/>
    </row>
    <row r="1470" spans="1:45" ht="15">
      <c r="A1470"/>
      <c r="J1470"/>
      <c r="AA1470"/>
      <c r="AB1470"/>
      <c r="AC1470"/>
      <c r="AD1470"/>
      <c r="AE1470"/>
      <c r="AF1470"/>
      <c r="AG1470"/>
      <c r="AH1470"/>
      <c r="AO1470" s="2"/>
      <c r="AP1470" s="3"/>
      <c r="AQ1470" s="3"/>
      <c r="AR1470" s="3"/>
      <c r="AS1470" s="3"/>
    </row>
    <row r="1471" spans="1:45" ht="15">
      <c r="A1471"/>
      <c r="J1471"/>
      <c r="AA1471"/>
      <c r="AB1471"/>
      <c r="AC1471"/>
      <c r="AD1471"/>
      <c r="AE1471"/>
      <c r="AF1471"/>
      <c r="AG1471"/>
      <c r="AH1471"/>
      <c r="AO1471" s="2"/>
      <c r="AP1471" s="3"/>
      <c r="AQ1471" s="3"/>
      <c r="AR1471" s="3"/>
      <c r="AS1471" s="3"/>
    </row>
    <row r="1472" spans="1:45" ht="15">
      <c r="A1472"/>
      <c r="J1472"/>
      <c r="AA1472"/>
      <c r="AB1472"/>
      <c r="AC1472"/>
      <c r="AD1472"/>
      <c r="AE1472"/>
      <c r="AF1472"/>
      <c r="AG1472"/>
      <c r="AH1472"/>
      <c r="AO1472" s="2"/>
      <c r="AP1472" s="3"/>
      <c r="AQ1472" s="3"/>
      <c r="AR1472" s="3"/>
      <c r="AS1472" s="3"/>
    </row>
    <row r="1473" spans="1:45" ht="15">
      <c r="A1473"/>
      <c r="J1473"/>
      <c r="AA1473"/>
      <c r="AB1473"/>
      <c r="AC1473"/>
      <c r="AD1473"/>
      <c r="AE1473"/>
      <c r="AF1473"/>
      <c r="AG1473"/>
      <c r="AH1473"/>
      <c r="AO1473" s="2"/>
      <c r="AP1473" s="3"/>
      <c r="AQ1473" s="3"/>
      <c r="AR1473" s="3"/>
      <c r="AS1473" s="3"/>
    </row>
    <row r="1474" spans="1:45" ht="15">
      <c r="A1474"/>
      <c r="J1474"/>
      <c r="AA1474"/>
      <c r="AB1474"/>
      <c r="AC1474"/>
      <c r="AD1474"/>
      <c r="AE1474"/>
      <c r="AF1474"/>
      <c r="AG1474"/>
      <c r="AH1474"/>
      <c r="AO1474" s="2"/>
      <c r="AP1474" s="3"/>
      <c r="AQ1474" s="3"/>
      <c r="AR1474" s="3"/>
      <c r="AS1474" s="3"/>
    </row>
    <row r="1475" spans="1:45" ht="15">
      <c r="A1475"/>
      <c r="J1475"/>
      <c r="AA1475"/>
      <c r="AB1475"/>
      <c r="AC1475"/>
      <c r="AD1475"/>
      <c r="AE1475"/>
      <c r="AF1475"/>
      <c r="AG1475"/>
      <c r="AH1475"/>
      <c r="AO1475" s="2"/>
      <c r="AP1475" s="3"/>
      <c r="AQ1475" s="3"/>
      <c r="AR1475" s="3"/>
      <c r="AS1475" s="3"/>
    </row>
    <row r="1476" spans="1:45" ht="15">
      <c r="A1476"/>
      <c r="J1476"/>
      <c r="AA1476"/>
      <c r="AB1476"/>
      <c r="AC1476"/>
      <c r="AD1476"/>
      <c r="AE1476"/>
      <c r="AF1476"/>
      <c r="AG1476"/>
      <c r="AH1476"/>
      <c r="AO1476" s="2"/>
      <c r="AP1476" s="3"/>
      <c r="AQ1476" s="3"/>
      <c r="AR1476" s="3"/>
      <c r="AS1476" s="3"/>
    </row>
    <row r="1477" spans="1:45" ht="15">
      <c r="A1477"/>
      <c r="J1477"/>
      <c r="AA1477"/>
      <c r="AB1477"/>
      <c r="AC1477"/>
      <c r="AD1477"/>
      <c r="AE1477"/>
      <c r="AF1477"/>
      <c r="AG1477"/>
      <c r="AH1477"/>
      <c r="AO1477" s="2"/>
      <c r="AP1477" s="3"/>
      <c r="AQ1477" s="3"/>
      <c r="AR1477" s="3"/>
      <c r="AS1477" s="3"/>
    </row>
    <row r="1478" spans="1:45" ht="15">
      <c r="A1478"/>
      <c r="J1478"/>
      <c r="AA1478"/>
      <c r="AB1478"/>
      <c r="AC1478"/>
      <c r="AD1478"/>
      <c r="AE1478"/>
      <c r="AF1478"/>
      <c r="AG1478"/>
      <c r="AH1478"/>
      <c r="AO1478" s="2"/>
      <c r="AP1478" s="3"/>
      <c r="AQ1478" s="3"/>
      <c r="AR1478" s="3"/>
      <c r="AS1478" s="3"/>
    </row>
    <row r="1479" spans="1:45" ht="15">
      <c r="A1479"/>
      <c r="J1479"/>
      <c r="AA1479"/>
      <c r="AB1479"/>
      <c r="AC1479"/>
      <c r="AD1479"/>
      <c r="AE1479"/>
      <c r="AF1479"/>
      <c r="AG1479"/>
      <c r="AH1479"/>
      <c r="AO1479" s="2"/>
      <c r="AP1479" s="3"/>
      <c r="AQ1479" s="3"/>
      <c r="AR1479" s="3"/>
      <c r="AS1479" s="3"/>
    </row>
    <row r="1480" spans="1:45" ht="15">
      <c r="A1480"/>
      <c r="J1480"/>
      <c r="AA1480"/>
      <c r="AB1480"/>
      <c r="AC1480"/>
      <c r="AD1480"/>
      <c r="AE1480"/>
      <c r="AF1480"/>
      <c r="AG1480"/>
      <c r="AH1480"/>
      <c r="AO1480" s="2"/>
      <c r="AP1480" s="3"/>
      <c r="AQ1480" s="3"/>
      <c r="AR1480" s="3"/>
      <c r="AS1480" s="3"/>
    </row>
    <row r="1481" spans="1:45" ht="15">
      <c r="A1481"/>
      <c r="J1481"/>
      <c r="AA1481"/>
      <c r="AB1481"/>
      <c r="AC1481"/>
      <c r="AD1481"/>
      <c r="AE1481"/>
      <c r="AF1481"/>
      <c r="AG1481"/>
      <c r="AH1481"/>
      <c r="AO1481" s="2"/>
      <c r="AP1481" s="3"/>
      <c r="AQ1481" s="3"/>
      <c r="AR1481" s="3"/>
      <c r="AS1481" s="3"/>
    </row>
    <row r="1482" spans="1:45" ht="15">
      <c r="A1482"/>
      <c r="J1482"/>
      <c r="AA1482"/>
      <c r="AB1482"/>
      <c r="AC1482"/>
      <c r="AD1482"/>
      <c r="AE1482"/>
      <c r="AF1482"/>
      <c r="AG1482"/>
      <c r="AH1482"/>
      <c r="AO1482" s="2"/>
      <c r="AP1482" s="3"/>
      <c r="AQ1482" s="3"/>
      <c r="AR1482" s="3"/>
      <c r="AS1482" s="3"/>
    </row>
    <row r="1483" spans="1:45" ht="15">
      <c r="A1483"/>
      <c r="J1483"/>
      <c r="AA1483"/>
      <c r="AB1483"/>
      <c r="AC1483"/>
      <c r="AD1483"/>
      <c r="AE1483"/>
      <c r="AF1483"/>
      <c r="AG1483"/>
      <c r="AH1483"/>
      <c r="AO1483" s="2"/>
      <c r="AP1483" s="3"/>
      <c r="AQ1483" s="3"/>
      <c r="AR1483" s="3"/>
      <c r="AS1483" s="3"/>
    </row>
    <row r="1484" spans="1:45" ht="15">
      <c r="A1484"/>
      <c r="J1484"/>
      <c r="AA1484"/>
      <c r="AB1484"/>
      <c r="AC1484"/>
      <c r="AD1484"/>
      <c r="AE1484"/>
      <c r="AF1484"/>
      <c r="AG1484"/>
      <c r="AH1484"/>
      <c r="AO1484" s="2"/>
      <c r="AP1484" s="3"/>
      <c r="AQ1484" s="3"/>
      <c r="AR1484" s="3"/>
      <c r="AS1484" s="3"/>
    </row>
    <row r="1485" spans="1:45" ht="15">
      <c r="A1485"/>
      <c r="J1485"/>
      <c r="AA1485"/>
      <c r="AB1485"/>
      <c r="AC1485"/>
      <c r="AD1485"/>
      <c r="AE1485"/>
      <c r="AF1485"/>
      <c r="AG1485"/>
      <c r="AH1485"/>
      <c r="AO1485" s="2"/>
      <c r="AP1485" s="3"/>
      <c r="AQ1485" s="3"/>
      <c r="AR1485" s="3"/>
      <c r="AS1485" s="3"/>
    </row>
    <row r="1486" spans="1:45" ht="15">
      <c r="A1486"/>
      <c r="J1486"/>
      <c r="AA1486"/>
      <c r="AB1486"/>
      <c r="AC1486"/>
      <c r="AD1486"/>
      <c r="AE1486"/>
      <c r="AF1486"/>
      <c r="AG1486"/>
      <c r="AH1486"/>
      <c r="AO1486" s="2"/>
      <c r="AP1486" s="3"/>
      <c r="AQ1486" s="3"/>
      <c r="AR1486" s="3"/>
      <c r="AS1486" s="3"/>
    </row>
    <row r="1487" spans="1:45" ht="15">
      <c r="A1487"/>
      <c r="J1487"/>
      <c r="AA1487"/>
      <c r="AB1487"/>
      <c r="AC1487"/>
      <c r="AD1487"/>
      <c r="AE1487"/>
      <c r="AF1487"/>
      <c r="AG1487"/>
      <c r="AH1487"/>
      <c r="AO1487" s="2"/>
      <c r="AP1487" s="3"/>
      <c r="AQ1487" s="3"/>
      <c r="AR1487" s="3"/>
      <c r="AS1487" s="3"/>
    </row>
    <row r="1488" spans="1:45" ht="15">
      <c r="A1488"/>
      <c r="J1488"/>
      <c r="AA1488"/>
      <c r="AB1488"/>
      <c r="AC1488"/>
      <c r="AD1488"/>
      <c r="AE1488"/>
      <c r="AF1488"/>
      <c r="AG1488"/>
      <c r="AH1488"/>
      <c r="AO1488" s="2"/>
      <c r="AP1488" s="3"/>
      <c r="AQ1488" s="3"/>
      <c r="AR1488" s="3"/>
      <c r="AS1488" s="3"/>
    </row>
    <row r="1489" spans="1:45" ht="15">
      <c r="A1489"/>
      <c r="J1489"/>
      <c r="AA1489"/>
      <c r="AB1489"/>
      <c r="AC1489"/>
      <c r="AD1489"/>
      <c r="AE1489"/>
      <c r="AF1489"/>
      <c r="AG1489"/>
      <c r="AH1489"/>
      <c r="AO1489" s="2"/>
      <c r="AP1489" s="3"/>
      <c r="AQ1489" s="3"/>
      <c r="AR1489" s="3"/>
      <c r="AS1489" s="3"/>
    </row>
    <row r="1490" spans="1:45" ht="15">
      <c r="A1490"/>
      <c r="J1490"/>
      <c r="AA1490"/>
      <c r="AB1490"/>
      <c r="AC1490"/>
      <c r="AD1490"/>
      <c r="AE1490"/>
      <c r="AF1490"/>
      <c r="AG1490"/>
      <c r="AH1490"/>
      <c r="AO1490" s="2"/>
      <c r="AP1490" s="3"/>
      <c r="AQ1490" s="3"/>
      <c r="AR1490" s="3"/>
      <c r="AS1490" s="3"/>
    </row>
    <row r="1491" spans="1:45" ht="15">
      <c r="A1491"/>
      <c r="J1491"/>
      <c r="AA1491"/>
      <c r="AB1491"/>
      <c r="AC1491"/>
      <c r="AD1491"/>
      <c r="AE1491"/>
      <c r="AF1491"/>
      <c r="AG1491"/>
      <c r="AH1491"/>
      <c r="AO1491" s="2"/>
      <c r="AP1491" s="3"/>
      <c r="AQ1491" s="3"/>
      <c r="AR1491" s="3"/>
      <c r="AS1491" s="3"/>
    </row>
    <row r="1492" spans="1:45" ht="15">
      <c r="A1492"/>
      <c r="J1492"/>
      <c r="AA1492"/>
      <c r="AB1492"/>
      <c r="AC1492"/>
      <c r="AD1492"/>
      <c r="AE1492"/>
      <c r="AF1492"/>
      <c r="AG1492"/>
      <c r="AH1492"/>
      <c r="AO1492" s="2"/>
      <c r="AP1492" s="3"/>
      <c r="AQ1492" s="3"/>
      <c r="AR1492" s="3"/>
      <c r="AS1492" s="3"/>
    </row>
    <row r="1493" spans="1:45" ht="15">
      <c r="A1493"/>
      <c r="J1493"/>
      <c r="AA1493"/>
      <c r="AB1493"/>
      <c r="AC1493"/>
      <c r="AD1493"/>
      <c r="AE1493"/>
      <c r="AF1493"/>
      <c r="AG1493"/>
      <c r="AH1493"/>
      <c r="AO1493" s="2"/>
      <c r="AP1493" s="3"/>
      <c r="AQ1493" s="3"/>
      <c r="AR1493" s="3"/>
      <c r="AS1493" s="3"/>
    </row>
    <row r="1494" spans="1:45" ht="15">
      <c r="A1494"/>
      <c r="J1494"/>
      <c r="AA1494"/>
      <c r="AB1494"/>
      <c r="AC1494"/>
      <c r="AD1494"/>
      <c r="AE1494"/>
      <c r="AF1494"/>
      <c r="AG1494"/>
      <c r="AH1494"/>
      <c r="AO1494" s="2"/>
      <c r="AP1494" s="3"/>
      <c r="AQ1494" s="3"/>
      <c r="AR1494" s="3"/>
      <c r="AS1494" s="3"/>
    </row>
    <row r="1495" spans="1:45" ht="15">
      <c r="A1495"/>
      <c r="J1495"/>
      <c r="AA1495"/>
      <c r="AB1495"/>
      <c r="AC1495"/>
      <c r="AD1495"/>
      <c r="AE1495"/>
      <c r="AF1495"/>
      <c r="AG1495"/>
      <c r="AH1495"/>
      <c r="AO1495" s="2"/>
      <c r="AP1495" s="3"/>
      <c r="AQ1495" s="3"/>
      <c r="AR1495" s="3"/>
      <c r="AS1495" s="3"/>
    </row>
    <row r="1496" spans="1:45" ht="15">
      <c r="A1496"/>
      <c r="J1496"/>
      <c r="AA1496"/>
      <c r="AB1496"/>
      <c r="AC1496"/>
      <c r="AD1496"/>
      <c r="AE1496"/>
      <c r="AF1496"/>
      <c r="AG1496"/>
      <c r="AH1496"/>
      <c r="AO1496" s="2"/>
      <c r="AP1496" s="3"/>
      <c r="AQ1496" s="3"/>
      <c r="AR1496" s="3"/>
      <c r="AS1496" s="3"/>
    </row>
    <row r="1497" spans="1:45" ht="15">
      <c r="A1497"/>
      <c r="J1497"/>
      <c r="AA1497"/>
      <c r="AB1497"/>
      <c r="AC1497"/>
      <c r="AD1497"/>
      <c r="AE1497"/>
      <c r="AF1497"/>
      <c r="AG1497"/>
      <c r="AH1497"/>
      <c r="AO1497" s="2"/>
      <c r="AP1497" s="3"/>
      <c r="AQ1497" s="3"/>
      <c r="AR1497" s="3"/>
      <c r="AS1497" s="3"/>
    </row>
    <row r="1498" spans="1:45" ht="15">
      <c r="A1498"/>
      <c r="J1498"/>
      <c r="AA1498"/>
      <c r="AB1498"/>
      <c r="AC1498"/>
      <c r="AD1498"/>
      <c r="AE1498"/>
      <c r="AF1498"/>
      <c r="AG1498"/>
      <c r="AH1498"/>
      <c r="AO1498" s="2"/>
      <c r="AP1498" s="3"/>
      <c r="AQ1498" s="3"/>
      <c r="AR1498" s="3"/>
      <c r="AS1498" s="3"/>
    </row>
    <row r="1499" spans="1:45" ht="15">
      <c r="A1499"/>
      <c r="J1499"/>
      <c r="AA1499"/>
      <c r="AB1499"/>
      <c r="AC1499"/>
      <c r="AD1499"/>
      <c r="AE1499"/>
      <c r="AF1499"/>
      <c r="AG1499"/>
      <c r="AH1499"/>
      <c r="AO1499" s="2"/>
      <c r="AP1499" s="3"/>
      <c r="AQ1499" s="3"/>
      <c r="AR1499" s="3"/>
      <c r="AS1499" s="3"/>
    </row>
    <row r="1500" spans="1:45" ht="15">
      <c r="A1500"/>
      <c r="J1500"/>
      <c r="AA1500"/>
      <c r="AB1500"/>
      <c r="AC1500"/>
      <c r="AD1500"/>
      <c r="AE1500"/>
      <c r="AF1500"/>
      <c r="AG1500"/>
      <c r="AH1500"/>
      <c r="AO1500" s="2"/>
      <c r="AP1500" s="3"/>
      <c r="AQ1500" s="3"/>
      <c r="AR1500" s="3"/>
      <c r="AS1500" s="3"/>
    </row>
    <row r="1501" spans="1:45" ht="15">
      <c r="A1501"/>
      <c r="J1501"/>
      <c r="AA1501"/>
      <c r="AB1501"/>
      <c r="AC1501"/>
      <c r="AD1501"/>
      <c r="AE1501"/>
      <c r="AF1501"/>
      <c r="AG1501"/>
      <c r="AH1501"/>
      <c r="AO1501" s="2"/>
      <c r="AP1501" s="3"/>
      <c r="AQ1501" s="3"/>
      <c r="AR1501" s="3"/>
      <c r="AS1501" s="3"/>
    </row>
    <row r="1502" spans="1:45" ht="15">
      <c r="A1502"/>
      <c r="J1502"/>
      <c r="AA1502"/>
      <c r="AB1502"/>
      <c r="AC1502"/>
      <c r="AD1502"/>
      <c r="AE1502"/>
      <c r="AF1502"/>
      <c r="AG1502"/>
      <c r="AH1502"/>
      <c r="AO1502" s="2"/>
      <c r="AP1502" s="3"/>
      <c r="AQ1502" s="3"/>
      <c r="AR1502" s="3"/>
      <c r="AS1502" s="3"/>
    </row>
    <row r="1503" spans="1:45" ht="15">
      <c r="A1503"/>
      <c r="J1503"/>
      <c r="AA1503"/>
      <c r="AB1503"/>
      <c r="AC1503"/>
      <c r="AD1503"/>
      <c r="AE1503"/>
      <c r="AF1503"/>
      <c r="AG1503"/>
      <c r="AH1503"/>
      <c r="AO1503" s="2"/>
      <c r="AP1503" s="3"/>
      <c r="AQ1503" s="3"/>
      <c r="AR1503" s="3"/>
      <c r="AS1503" s="3"/>
    </row>
    <row r="1504" spans="1:45" ht="15">
      <c r="A1504"/>
      <c r="J1504"/>
      <c r="AA1504"/>
      <c r="AB1504"/>
      <c r="AC1504"/>
      <c r="AD1504"/>
      <c r="AE1504"/>
      <c r="AF1504"/>
      <c r="AG1504"/>
      <c r="AH1504"/>
      <c r="AO1504" s="2"/>
      <c r="AP1504" s="3"/>
      <c r="AQ1504" s="3"/>
      <c r="AR1504" s="3"/>
      <c r="AS1504" s="3"/>
    </row>
    <row r="1505" spans="1:45" ht="15">
      <c r="A1505"/>
      <c r="J1505"/>
      <c r="AA1505"/>
      <c r="AB1505"/>
      <c r="AC1505"/>
      <c r="AD1505"/>
      <c r="AE1505"/>
      <c r="AF1505"/>
      <c r="AG1505"/>
      <c r="AH1505"/>
      <c r="AO1505" s="2"/>
      <c r="AP1505" s="3"/>
      <c r="AQ1505" s="3"/>
      <c r="AR1505" s="3"/>
      <c r="AS1505" s="3"/>
    </row>
    <row r="1506" spans="1:45" ht="15">
      <c r="A1506"/>
      <c r="J1506"/>
      <c r="AA1506"/>
      <c r="AB1506"/>
      <c r="AC1506"/>
      <c r="AD1506"/>
      <c r="AE1506"/>
      <c r="AF1506"/>
      <c r="AG1506"/>
      <c r="AH1506"/>
      <c r="AO1506" s="2"/>
      <c r="AP1506" s="3"/>
      <c r="AQ1506" s="3"/>
      <c r="AR1506" s="3"/>
      <c r="AS1506" s="3"/>
    </row>
    <row r="1507" spans="1:45" ht="15">
      <c r="A1507"/>
      <c r="J1507"/>
      <c r="AA1507"/>
      <c r="AB1507"/>
      <c r="AC1507"/>
      <c r="AD1507"/>
      <c r="AE1507"/>
      <c r="AF1507"/>
      <c r="AG1507"/>
      <c r="AH1507"/>
      <c r="AO1507" s="2"/>
      <c r="AP1507" s="3"/>
      <c r="AQ1507" s="3"/>
      <c r="AR1507" s="3"/>
      <c r="AS1507" s="3"/>
    </row>
    <row r="1508" spans="1:45" ht="15">
      <c r="A1508"/>
      <c r="J1508"/>
      <c r="AA1508"/>
      <c r="AB1508"/>
      <c r="AC1508"/>
      <c r="AD1508"/>
      <c r="AE1508"/>
      <c r="AF1508"/>
      <c r="AG1508"/>
      <c r="AH1508"/>
      <c r="AO1508" s="2"/>
      <c r="AP1508" s="3"/>
      <c r="AQ1508" s="3"/>
      <c r="AR1508" s="3"/>
      <c r="AS1508" s="3"/>
    </row>
    <row r="1509" spans="1:45" ht="15">
      <c r="A1509"/>
      <c r="J1509"/>
      <c r="AA1509"/>
      <c r="AB1509"/>
      <c r="AC1509"/>
      <c r="AD1509"/>
      <c r="AE1509"/>
      <c r="AF1509"/>
      <c r="AG1509"/>
      <c r="AH1509"/>
      <c r="AO1509" s="2"/>
      <c r="AP1509" s="3"/>
      <c r="AQ1509" s="3"/>
      <c r="AR1509" s="3"/>
      <c r="AS1509" s="3"/>
    </row>
    <row r="1510" spans="1:45" ht="15">
      <c r="A1510"/>
      <c r="J1510"/>
      <c r="AA1510"/>
      <c r="AB1510"/>
      <c r="AC1510"/>
      <c r="AD1510"/>
      <c r="AE1510"/>
      <c r="AF1510"/>
      <c r="AG1510"/>
      <c r="AH1510"/>
      <c r="AO1510" s="2"/>
      <c r="AP1510" s="3"/>
      <c r="AQ1510" s="3"/>
      <c r="AR1510" s="3"/>
      <c r="AS1510" s="3"/>
    </row>
    <row r="1511" spans="1:45" ht="15">
      <c r="A1511"/>
      <c r="J1511"/>
      <c r="AA1511"/>
      <c r="AB1511"/>
      <c r="AC1511"/>
      <c r="AD1511"/>
      <c r="AE1511"/>
      <c r="AF1511"/>
      <c r="AG1511"/>
      <c r="AH1511"/>
      <c r="AO1511" s="2"/>
      <c r="AP1511" s="3"/>
      <c r="AQ1511" s="3"/>
      <c r="AR1511" s="3"/>
      <c r="AS1511" s="3"/>
    </row>
    <row r="1512" spans="1:45" ht="15">
      <c r="A1512"/>
      <c r="J1512"/>
      <c r="AA1512"/>
      <c r="AB1512"/>
      <c r="AC1512"/>
      <c r="AD1512"/>
      <c r="AE1512"/>
      <c r="AF1512"/>
      <c r="AG1512"/>
      <c r="AH1512"/>
      <c r="AO1512" s="2"/>
      <c r="AP1512" s="3"/>
      <c r="AQ1512" s="3"/>
      <c r="AR1512" s="3"/>
      <c r="AS1512" s="3"/>
    </row>
    <row r="1513" spans="1:45" ht="15">
      <c r="A1513"/>
      <c r="J1513"/>
      <c r="AA1513"/>
      <c r="AB1513"/>
      <c r="AC1513"/>
      <c r="AD1513"/>
      <c r="AE1513"/>
      <c r="AF1513"/>
      <c r="AG1513"/>
      <c r="AH1513"/>
      <c r="AO1513" s="2"/>
      <c r="AP1513" s="3"/>
      <c r="AQ1513" s="3"/>
      <c r="AR1513" s="3"/>
      <c r="AS1513" s="3"/>
    </row>
    <row r="1514" spans="1:45" ht="15">
      <c r="A1514"/>
      <c r="J1514"/>
      <c r="AA1514"/>
      <c r="AB1514"/>
      <c r="AC1514"/>
      <c r="AD1514"/>
      <c r="AE1514"/>
      <c r="AF1514"/>
      <c r="AG1514"/>
      <c r="AH1514"/>
      <c r="AO1514" s="2"/>
      <c r="AP1514" s="3"/>
      <c r="AQ1514" s="3"/>
      <c r="AR1514" s="3"/>
      <c r="AS1514" s="3"/>
    </row>
    <row r="1515" spans="1:45" ht="15">
      <c r="A1515"/>
      <c r="J1515"/>
      <c r="AA1515"/>
      <c r="AB1515"/>
      <c r="AC1515"/>
      <c r="AD1515"/>
      <c r="AE1515"/>
      <c r="AF1515"/>
      <c r="AG1515"/>
      <c r="AH1515"/>
      <c r="AO1515" s="2"/>
      <c r="AP1515" s="3"/>
      <c r="AQ1515" s="3"/>
      <c r="AR1515" s="3"/>
      <c r="AS1515" s="3"/>
    </row>
    <row r="1516" spans="1:45" ht="15">
      <c r="A1516"/>
      <c r="J1516"/>
      <c r="AA1516"/>
      <c r="AB1516"/>
      <c r="AC1516"/>
      <c r="AD1516"/>
      <c r="AE1516"/>
      <c r="AF1516"/>
      <c r="AG1516"/>
      <c r="AH1516"/>
      <c r="AO1516" s="2"/>
      <c r="AP1516" s="3"/>
      <c r="AQ1516" s="3"/>
      <c r="AR1516" s="3"/>
      <c r="AS1516" s="3"/>
    </row>
    <row r="1517" spans="1:45" ht="15">
      <c r="A1517"/>
      <c r="J1517"/>
      <c r="AA1517"/>
      <c r="AB1517"/>
      <c r="AC1517"/>
      <c r="AD1517"/>
      <c r="AE1517"/>
      <c r="AF1517"/>
      <c r="AG1517"/>
      <c r="AH1517"/>
      <c r="AO1517" s="2"/>
      <c r="AP1517" s="3"/>
      <c r="AQ1517" s="3"/>
      <c r="AR1517" s="3"/>
      <c r="AS1517" s="3"/>
    </row>
    <row r="1518" spans="1:45" ht="15">
      <c r="A1518"/>
      <c r="J1518"/>
      <c r="AA1518"/>
      <c r="AB1518"/>
      <c r="AC1518"/>
      <c r="AD1518"/>
      <c r="AE1518"/>
      <c r="AF1518"/>
      <c r="AG1518"/>
      <c r="AH1518"/>
      <c r="AO1518" s="2"/>
      <c r="AP1518" s="3"/>
      <c r="AQ1518" s="3"/>
      <c r="AR1518" s="3"/>
      <c r="AS1518" s="3"/>
    </row>
    <row r="1519" spans="1:45" ht="15">
      <c r="A1519"/>
      <c r="J1519"/>
      <c r="AA1519"/>
      <c r="AB1519"/>
      <c r="AC1519"/>
      <c r="AD1519"/>
      <c r="AE1519"/>
      <c r="AF1519"/>
      <c r="AG1519"/>
      <c r="AH1519"/>
      <c r="AO1519" s="2"/>
      <c r="AP1519" s="3"/>
      <c r="AQ1519" s="3"/>
      <c r="AR1519" s="3"/>
      <c r="AS1519" s="3"/>
    </row>
    <row r="1520" spans="1:45" ht="15">
      <c r="A1520"/>
      <c r="J1520"/>
      <c r="AA1520"/>
      <c r="AB1520"/>
      <c r="AC1520"/>
      <c r="AD1520"/>
      <c r="AE1520"/>
      <c r="AF1520"/>
      <c r="AG1520"/>
      <c r="AH1520"/>
      <c r="AO1520" s="2"/>
      <c r="AP1520" s="3"/>
      <c r="AQ1520" s="3"/>
      <c r="AR1520" s="3"/>
      <c r="AS1520" s="3"/>
    </row>
    <row r="1521" spans="1:45" ht="15">
      <c r="A1521"/>
      <c r="J1521"/>
      <c r="AA1521"/>
      <c r="AB1521"/>
      <c r="AC1521"/>
      <c r="AD1521"/>
      <c r="AE1521"/>
      <c r="AF1521"/>
      <c r="AG1521"/>
      <c r="AH1521"/>
      <c r="AO1521" s="2"/>
      <c r="AP1521" s="3"/>
      <c r="AQ1521" s="3"/>
      <c r="AR1521" s="3"/>
      <c r="AS1521" s="3"/>
    </row>
    <row r="1522" spans="1:45" ht="15">
      <c r="A1522"/>
      <c r="J1522"/>
      <c r="AA1522"/>
      <c r="AB1522"/>
      <c r="AC1522"/>
      <c r="AD1522"/>
      <c r="AE1522"/>
      <c r="AF1522"/>
      <c r="AG1522"/>
      <c r="AH1522"/>
      <c r="AO1522" s="2"/>
      <c r="AP1522" s="3"/>
      <c r="AQ1522" s="3"/>
      <c r="AR1522" s="3"/>
      <c r="AS1522" s="3"/>
    </row>
    <row r="1523" spans="1:45" ht="15">
      <c r="A1523"/>
      <c r="J1523"/>
      <c r="AA1523"/>
      <c r="AB1523"/>
      <c r="AC1523"/>
      <c r="AD1523"/>
      <c r="AE1523"/>
      <c r="AF1523"/>
      <c r="AG1523"/>
      <c r="AH1523"/>
      <c r="AO1523" s="2"/>
      <c r="AP1523" s="3"/>
      <c r="AQ1523" s="3"/>
      <c r="AR1523" s="3"/>
      <c r="AS1523" s="3"/>
    </row>
    <row r="1524" spans="1:45" ht="15">
      <c r="A1524"/>
      <c r="J1524"/>
      <c r="AA1524"/>
      <c r="AB1524"/>
      <c r="AC1524"/>
      <c r="AD1524"/>
      <c r="AE1524"/>
      <c r="AF1524"/>
      <c r="AG1524"/>
      <c r="AH1524"/>
      <c r="AO1524" s="2"/>
      <c r="AP1524" s="3"/>
      <c r="AQ1524" s="3"/>
      <c r="AR1524" s="3"/>
      <c r="AS1524" s="3"/>
    </row>
    <row r="1525" spans="1:45" ht="15">
      <c r="A1525"/>
      <c r="J1525"/>
      <c r="AA1525"/>
      <c r="AB1525"/>
      <c r="AC1525"/>
      <c r="AD1525"/>
      <c r="AE1525"/>
      <c r="AF1525"/>
      <c r="AG1525"/>
      <c r="AH1525"/>
      <c r="AO1525" s="2"/>
      <c r="AP1525" s="3"/>
      <c r="AQ1525" s="3"/>
      <c r="AR1525" s="3"/>
      <c r="AS1525" s="3"/>
    </row>
    <row r="1526" spans="1:45" ht="15">
      <c r="A1526"/>
      <c r="J1526"/>
      <c r="AA1526"/>
      <c r="AB1526"/>
      <c r="AC1526"/>
      <c r="AD1526"/>
      <c r="AE1526"/>
      <c r="AF1526"/>
      <c r="AG1526"/>
      <c r="AH1526"/>
      <c r="AO1526" s="2"/>
      <c r="AP1526" s="3"/>
      <c r="AQ1526" s="3"/>
      <c r="AR1526" s="3"/>
      <c r="AS1526" s="3"/>
    </row>
    <row r="1527" spans="1:45" ht="15">
      <c r="A1527"/>
      <c r="J1527"/>
      <c r="AA1527"/>
      <c r="AB1527"/>
      <c r="AC1527"/>
      <c r="AD1527"/>
      <c r="AE1527"/>
      <c r="AF1527"/>
      <c r="AG1527"/>
      <c r="AH1527"/>
      <c r="AO1527" s="2"/>
      <c r="AP1527" s="3"/>
      <c r="AQ1527" s="3"/>
      <c r="AR1527" s="3"/>
      <c r="AS1527" s="3"/>
    </row>
    <row r="1528" spans="1:45" ht="15">
      <c r="A1528"/>
      <c r="J1528"/>
      <c r="AA1528"/>
      <c r="AB1528"/>
      <c r="AC1528"/>
      <c r="AD1528"/>
      <c r="AE1528"/>
      <c r="AF1528"/>
      <c r="AG1528"/>
      <c r="AH1528"/>
      <c r="AO1528" s="2"/>
      <c r="AP1528" s="3"/>
      <c r="AQ1528" s="3"/>
      <c r="AR1528" s="3"/>
      <c r="AS1528" s="3"/>
    </row>
    <row r="1529" spans="1:45" ht="15">
      <c r="A1529"/>
      <c r="J1529"/>
      <c r="AA1529"/>
      <c r="AB1529"/>
      <c r="AC1529"/>
      <c r="AD1529"/>
      <c r="AE1529"/>
      <c r="AF1529"/>
      <c r="AG1529"/>
      <c r="AH1529"/>
      <c r="AO1529" s="2"/>
      <c r="AP1529" s="3"/>
      <c r="AQ1529" s="3"/>
      <c r="AR1529" s="3"/>
      <c r="AS1529" s="3"/>
    </row>
    <row r="1530" spans="1:45" ht="15">
      <c r="A1530"/>
      <c r="J1530"/>
      <c r="AA1530"/>
      <c r="AB1530"/>
      <c r="AC1530"/>
      <c r="AD1530"/>
      <c r="AE1530"/>
      <c r="AF1530"/>
      <c r="AG1530"/>
      <c r="AH1530"/>
      <c r="AO1530" s="2"/>
      <c r="AP1530" s="3"/>
      <c r="AQ1530" s="3"/>
      <c r="AR1530" s="3"/>
      <c r="AS1530" s="3"/>
    </row>
    <row r="1531" spans="1:45" ht="15">
      <c r="A1531"/>
      <c r="J1531"/>
      <c r="AA1531"/>
      <c r="AB1531"/>
      <c r="AC1531"/>
      <c r="AD1531"/>
      <c r="AE1531"/>
      <c r="AF1531"/>
      <c r="AG1531"/>
      <c r="AH1531"/>
      <c r="AO1531" s="2"/>
      <c r="AP1531" s="3"/>
      <c r="AQ1531" s="3"/>
      <c r="AR1531" s="3"/>
      <c r="AS1531" s="3"/>
    </row>
    <row r="1532" spans="1:45" ht="15">
      <c r="A1532"/>
      <c r="J1532"/>
      <c r="AA1532"/>
      <c r="AB1532"/>
      <c r="AC1532"/>
      <c r="AD1532"/>
      <c r="AE1532"/>
      <c r="AF1532"/>
      <c r="AG1532"/>
      <c r="AH1532"/>
      <c r="AO1532" s="2"/>
      <c r="AP1532" s="3"/>
      <c r="AQ1532" s="3"/>
      <c r="AR1532" s="3"/>
      <c r="AS1532" s="3"/>
    </row>
    <row r="1533" spans="1:45" ht="15">
      <c r="A1533"/>
      <c r="J1533"/>
      <c r="AA1533"/>
      <c r="AB1533"/>
      <c r="AC1533"/>
      <c r="AD1533"/>
      <c r="AE1533"/>
      <c r="AF1533"/>
      <c r="AG1533"/>
      <c r="AH1533"/>
      <c r="AO1533" s="2"/>
      <c r="AP1533" s="3"/>
      <c r="AQ1533" s="3"/>
      <c r="AR1533" s="3"/>
      <c r="AS1533" s="3"/>
    </row>
    <row r="1534" spans="1:45" ht="15">
      <c r="A1534"/>
      <c r="J1534"/>
      <c r="AA1534"/>
      <c r="AB1534"/>
      <c r="AC1534"/>
      <c r="AD1534"/>
      <c r="AE1534"/>
      <c r="AF1534"/>
      <c r="AG1534"/>
      <c r="AH1534"/>
      <c r="AO1534" s="2"/>
      <c r="AP1534" s="3"/>
      <c r="AQ1534" s="3"/>
      <c r="AR1534" s="3"/>
      <c r="AS1534" s="3"/>
    </row>
    <row r="1535" spans="1:45" ht="15">
      <c r="A1535"/>
      <c r="J1535"/>
      <c r="AA1535"/>
      <c r="AB1535"/>
      <c r="AC1535"/>
      <c r="AD1535"/>
      <c r="AE1535"/>
      <c r="AF1535"/>
      <c r="AG1535"/>
      <c r="AH1535"/>
      <c r="AO1535" s="2"/>
      <c r="AP1535" s="3"/>
      <c r="AQ1535" s="3"/>
      <c r="AR1535" s="3"/>
      <c r="AS1535" s="3"/>
    </row>
    <row r="1536" spans="1:45" ht="15">
      <c r="A1536"/>
      <c r="J1536"/>
      <c r="AA1536"/>
      <c r="AB1536"/>
      <c r="AC1536"/>
      <c r="AD1536"/>
      <c r="AE1536"/>
      <c r="AF1536"/>
      <c r="AG1536"/>
      <c r="AH1536"/>
      <c r="AO1536" s="2"/>
      <c r="AP1536" s="3"/>
      <c r="AQ1536" s="3"/>
      <c r="AR1536" s="3"/>
      <c r="AS1536" s="3"/>
    </row>
    <row r="1537" spans="1:45" ht="15">
      <c r="A1537"/>
      <c r="J1537"/>
      <c r="AA1537"/>
      <c r="AB1537"/>
      <c r="AC1537"/>
      <c r="AD1537"/>
      <c r="AE1537"/>
      <c r="AF1537"/>
      <c r="AG1537"/>
      <c r="AH1537"/>
      <c r="AO1537" s="2"/>
      <c r="AP1537" s="3"/>
      <c r="AQ1537" s="3"/>
      <c r="AR1537" s="3"/>
      <c r="AS1537" s="3"/>
    </row>
    <row r="1538" spans="1:45" ht="15">
      <c r="A1538"/>
      <c r="J1538"/>
      <c r="AA1538"/>
      <c r="AB1538"/>
      <c r="AC1538"/>
      <c r="AD1538"/>
      <c r="AE1538"/>
      <c r="AF1538"/>
      <c r="AG1538"/>
      <c r="AH1538"/>
      <c r="AO1538" s="2"/>
      <c r="AP1538" s="3"/>
      <c r="AQ1538" s="3"/>
      <c r="AR1538" s="3"/>
      <c r="AS1538" s="3"/>
    </row>
    <row r="1539" spans="1:45" ht="15">
      <c r="A1539"/>
      <c r="J1539"/>
      <c r="AA1539"/>
      <c r="AB1539"/>
      <c r="AC1539"/>
      <c r="AD1539"/>
      <c r="AE1539"/>
      <c r="AF1539"/>
      <c r="AG1539"/>
      <c r="AH1539"/>
      <c r="AO1539" s="2"/>
      <c r="AP1539" s="3"/>
      <c r="AQ1539" s="3"/>
      <c r="AR1539" s="3"/>
      <c r="AS1539" s="3"/>
    </row>
    <row r="1540" spans="1:45" ht="15">
      <c r="A1540"/>
      <c r="J1540"/>
      <c r="AA1540"/>
      <c r="AB1540"/>
      <c r="AC1540"/>
      <c r="AD1540"/>
      <c r="AE1540"/>
      <c r="AF1540"/>
      <c r="AG1540"/>
      <c r="AH1540"/>
      <c r="AO1540" s="2"/>
      <c r="AP1540" s="3"/>
      <c r="AQ1540" s="3"/>
      <c r="AR1540" s="3"/>
      <c r="AS1540" s="3"/>
    </row>
    <row r="1541" spans="1:45" ht="15">
      <c r="A1541"/>
      <c r="J1541"/>
      <c r="AA1541"/>
      <c r="AB1541"/>
      <c r="AC1541"/>
      <c r="AD1541"/>
      <c r="AE1541"/>
      <c r="AF1541"/>
      <c r="AG1541"/>
      <c r="AH1541"/>
      <c r="AO1541" s="2"/>
      <c r="AP1541" s="3"/>
      <c r="AQ1541" s="3"/>
      <c r="AR1541" s="3"/>
      <c r="AS1541" s="3"/>
    </row>
    <row r="1542" spans="1:45" ht="15">
      <c r="A1542"/>
      <c r="J1542"/>
      <c r="AA1542"/>
      <c r="AB1542"/>
      <c r="AC1542"/>
      <c r="AD1542"/>
      <c r="AE1542"/>
      <c r="AF1542"/>
      <c r="AG1542"/>
      <c r="AH1542"/>
      <c r="AO1542" s="2"/>
      <c r="AP1542" s="3"/>
      <c r="AQ1542" s="3"/>
      <c r="AR1542" s="3"/>
      <c r="AS1542" s="3"/>
    </row>
    <row r="1543" spans="1:45" ht="15">
      <c r="A1543"/>
      <c r="J1543"/>
      <c r="AA1543"/>
      <c r="AB1543"/>
      <c r="AC1543"/>
      <c r="AD1543"/>
      <c r="AE1543"/>
      <c r="AF1543"/>
      <c r="AG1543"/>
      <c r="AH1543"/>
      <c r="AO1543" s="2"/>
      <c r="AP1543" s="3"/>
      <c r="AQ1543" s="3"/>
      <c r="AR1543" s="3"/>
      <c r="AS1543" s="3"/>
    </row>
    <row r="1544" spans="1:45" ht="15">
      <c r="A1544"/>
      <c r="J1544"/>
      <c r="AA1544"/>
      <c r="AB1544"/>
      <c r="AC1544"/>
      <c r="AD1544"/>
      <c r="AE1544"/>
      <c r="AF1544"/>
      <c r="AG1544"/>
      <c r="AH1544"/>
      <c r="AO1544" s="2"/>
      <c r="AP1544" s="3"/>
      <c r="AQ1544" s="3"/>
      <c r="AR1544" s="3"/>
      <c r="AS1544" s="3"/>
    </row>
    <row r="1545" spans="1:45" ht="15">
      <c r="A1545"/>
      <c r="J1545"/>
      <c r="AA1545"/>
      <c r="AB1545"/>
      <c r="AC1545"/>
      <c r="AD1545"/>
      <c r="AE1545"/>
      <c r="AF1545"/>
      <c r="AG1545"/>
      <c r="AH1545"/>
      <c r="AO1545" s="2"/>
      <c r="AP1545" s="3"/>
      <c r="AQ1545" s="3"/>
      <c r="AR1545" s="3"/>
      <c r="AS1545" s="3"/>
    </row>
    <row r="1546" spans="1:45" ht="15">
      <c r="A1546"/>
      <c r="J1546"/>
      <c r="AA1546"/>
      <c r="AB1546"/>
      <c r="AC1546"/>
      <c r="AD1546"/>
      <c r="AE1546"/>
      <c r="AF1546"/>
      <c r="AG1546"/>
      <c r="AH1546"/>
      <c r="AO1546" s="2"/>
      <c r="AP1546" s="3"/>
      <c r="AQ1546" s="3"/>
      <c r="AR1546" s="3"/>
      <c r="AS1546" s="3"/>
    </row>
    <row r="1547" spans="1:45" ht="15">
      <c r="A1547"/>
      <c r="J1547"/>
      <c r="AA1547"/>
      <c r="AB1547"/>
      <c r="AC1547"/>
      <c r="AD1547"/>
      <c r="AE1547"/>
      <c r="AF1547"/>
      <c r="AG1547"/>
      <c r="AH1547"/>
      <c r="AO1547" s="2"/>
      <c r="AP1547" s="3"/>
      <c r="AQ1547" s="3"/>
      <c r="AR1547" s="3"/>
      <c r="AS1547" s="3"/>
    </row>
    <row r="1548" spans="1:45" ht="15">
      <c r="A1548"/>
      <c r="J1548"/>
      <c r="AA1548"/>
      <c r="AB1548"/>
      <c r="AC1548"/>
      <c r="AD1548"/>
      <c r="AE1548"/>
      <c r="AF1548"/>
      <c r="AG1548"/>
      <c r="AH1548"/>
      <c r="AO1548" s="2"/>
      <c r="AP1548" s="3"/>
      <c r="AQ1548" s="3"/>
      <c r="AR1548" s="3"/>
      <c r="AS1548" s="3"/>
    </row>
    <row r="1549" spans="1:45" ht="15">
      <c r="A1549"/>
      <c r="J1549"/>
      <c r="AA1549"/>
      <c r="AB1549"/>
      <c r="AC1549"/>
      <c r="AD1549"/>
      <c r="AE1549"/>
      <c r="AF1549"/>
      <c r="AG1549"/>
      <c r="AH1549"/>
      <c r="AO1549" s="2"/>
      <c r="AP1549" s="3"/>
      <c r="AQ1549" s="3"/>
      <c r="AR1549" s="3"/>
      <c r="AS1549" s="3"/>
    </row>
    <row r="1550" spans="1:45" ht="15">
      <c r="A1550"/>
      <c r="J1550"/>
      <c r="AA1550"/>
      <c r="AB1550"/>
      <c r="AC1550"/>
      <c r="AD1550"/>
      <c r="AE1550"/>
      <c r="AF1550"/>
      <c r="AG1550"/>
      <c r="AH1550"/>
      <c r="AO1550" s="2"/>
      <c r="AP1550" s="3"/>
      <c r="AQ1550" s="3"/>
      <c r="AR1550" s="3"/>
      <c r="AS1550" s="3"/>
    </row>
    <row r="1551" spans="1:45" ht="15">
      <c r="A1551"/>
      <c r="J1551"/>
      <c r="AA1551"/>
      <c r="AB1551"/>
      <c r="AC1551"/>
      <c r="AD1551"/>
      <c r="AE1551"/>
      <c r="AF1551"/>
      <c r="AG1551"/>
      <c r="AH1551"/>
      <c r="AO1551" s="2"/>
      <c r="AP1551" s="3"/>
      <c r="AQ1551" s="3"/>
      <c r="AR1551" s="3"/>
      <c r="AS1551" s="3"/>
    </row>
    <row r="1552" spans="1:45" ht="15">
      <c r="A1552"/>
      <c r="J1552"/>
      <c r="AA1552"/>
      <c r="AB1552"/>
      <c r="AC1552"/>
      <c r="AD1552"/>
      <c r="AE1552"/>
      <c r="AF1552"/>
      <c r="AG1552"/>
      <c r="AH1552"/>
      <c r="AO1552" s="2"/>
      <c r="AP1552" s="3"/>
      <c r="AQ1552" s="3"/>
      <c r="AR1552" s="3"/>
      <c r="AS1552" s="3"/>
    </row>
    <row r="1553" spans="1:45" ht="15">
      <c r="A1553"/>
      <c r="J1553"/>
      <c r="AA1553"/>
      <c r="AB1553"/>
      <c r="AC1553"/>
      <c r="AD1553"/>
      <c r="AE1553"/>
      <c r="AF1553"/>
      <c r="AG1553"/>
      <c r="AH1553"/>
      <c r="AO1553" s="2"/>
      <c r="AP1553" s="3"/>
      <c r="AQ1553" s="3"/>
      <c r="AR1553" s="3"/>
      <c r="AS1553" s="3"/>
    </row>
    <row r="1554" spans="1:45" ht="15">
      <c r="A1554"/>
      <c r="J1554"/>
      <c r="AA1554"/>
      <c r="AB1554"/>
      <c r="AC1554"/>
      <c r="AD1554"/>
      <c r="AE1554"/>
      <c r="AF1554"/>
      <c r="AG1554"/>
      <c r="AH1554"/>
      <c r="AO1554" s="2"/>
      <c r="AP1554" s="3"/>
      <c r="AQ1554" s="3"/>
      <c r="AR1554" s="3"/>
      <c r="AS1554" s="3"/>
    </row>
    <row r="1555" spans="1:45" ht="15">
      <c r="A1555"/>
      <c r="J1555"/>
      <c r="AA1555"/>
      <c r="AB1555"/>
      <c r="AC1555"/>
      <c r="AD1555"/>
      <c r="AE1555"/>
      <c r="AF1555"/>
      <c r="AG1555"/>
      <c r="AH1555"/>
      <c r="AO1555" s="2"/>
      <c r="AP1555" s="3"/>
      <c r="AQ1555" s="3"/>
      <c r="AR1555" s="3"/>
      <c r="AS1555" s="3"/>
    </row>
    <row r="1556" spans="1:45" ht="15">
      <c r="A1556"/>
      <c r="J1556"/>
      <c r="AA1556"/>
      <c r="AB1556"/>
      <c r="AC1556"/>
      <c r="AD1556"/>
      <c r="AE1556"/>
      <c r="AF1556"/>
      <c r="AG1556"/>
      <c r="AH1556"/>
      <c r="AO1556" s="2"/>
      <c r="AP1556" s="3"/>
      <c r="AQ1556" s="3"/>
      <c r="AR1556" s="3"/>
      <c r="AS1556" s="3"/>
    </row>
    <row r="1557" spans="1:45" ht="15">
      <c r="A1557"/>
      <c r="J1557"/>
      <c r="AA1557"/>
      <c r="AB1557"/>
      <c r="AC1557"/>
      <c r="AD1557"/>
      <c r="AE1557"/>
      <c r="AF1557"/>
      <c r="AG1557"/>
      <c r="AH1557"/>
      <c r="AO1557" s="2"/>
      <c r="AP1557" s="3"/>
      <c r="AQ1557" s="3"/>
      <c r="AR1557" s="3"/>
      <c r="AS1557" s="3"/>
    </row>
    <row r="1558" spans="1:45" ht="15">
      <c r="A1558"/>
      <c r="J1558"/>
      <c r="AA1558"/>
      <c r="AB1558"/>
      <c r="AC1558"/>
      <c r="AD1558"/>
      <c r="AE1558"/>
      <c r="AF1558"/>
      <c r="AG1558"/>
      <c r="AH1558"/>
      <c r="AO1558" s="2"/>
      <c r="AP1558" s="3"/>
      <c r="AQ1558" s="3"/>
      <c r="AR1558" s="3"/>
      <c r="AS1558" s="3"/>
    </row>
    <row r="1559" spans="1:45" ht="15">
      <c r="A1559"/>
      <c r="J1559"/>
      <c r="AA1559"/>
      <c r="AB1559"/>
      <c r="AC1559"/>
      <c r="AD1559"/>
      <c r="AE1559"/>
      <c r="AF1559"/>
      <c r="AG1559"/>
      <c r="AH1559"/>
      <c r="AO1559" s="2"/>
      <c r="AP1559" s="3"/>
      <c r="AQ1559" s="3"/>
      <c r="AR1559" s="3"/>
      <c r="AS1559" s="3"/>
    </row>
    <row r="1560" spans="1:45" ht="15">
      <c r="A1560"/>
      <c r="J1560"/>
      <c r="AA1560"/>
      <c r="AB1560"/>
      <c r="AC1560"/>
      <c r="AD1560"/>
      <c r="AE1560"/>
      <c r="AF1560"/>
      <c r="AG1560"/>
      <c r="AH1560"/>
      <c r="AO1560" s="2"/>
      <c r="AP1560" s="3"/>
      <c r="AQ1560" s="3"/>
      <c r="AR1560" s="3"/>
      <c r="AS1560" s="3"/>
    </row>
    <row r="1561" spans="1:45" ht="15">
      <c r="A1561"/>
      <c r="J1561"/>
      <c r="AA1561"/>
      <c r="AB1561"/>
      <c r="AC1561"/>
      <c r="AD1561"/>
      <c r="AE1561"/>
      <c r="AF1561"/>
      <c r="AG1561"/>
      <c r="AH1561"/>
      <c r="AO1561" s="2"/>
      <c r="AP1561" s="3"/>
      <c r="AQ1561" s="3"/>
      <c r="AR1561" s="3"/>
      <c r="AS1561" s="3"/>
    </row>
    <row r="1562" spans="1:45" ht="15">
      <c r="A1562"/>
      <c r="J1562"/>
      <c r="AA1562"/>
      <c r="AB1562"/>
      <c r="AC1562"/>
      <c r="AD1562"/>
      <c r="AE1562"/>
      <c r="AF1562"/>
      <c r="AG1562"/>
      <c r="AH1562"/>
      <c r="AO1562" s="2"/>
      <c r="AP1562" s="3"/>
      <c r="AQ1562" s="3"/>
      <c r="AR1562" s="3"/>
      <c r="AS1562" s="3"/>
    </row>
    <row r="1563" spans="1:45" ht="15">
      <c r="A1563"/>
      <c r="J1563"/>
      <c r="AA1563"/>
      <c r="AB1563"/>
      <c r="AC1563"/>
      <c r="AD1563"/>
      <c r="AE1563"/>
      <c r="AF1563"/>
      <c r="AG1563"/>
      <c r="AH1563"/>
      <c r="AO1563" s="2"/>
      <c r="AP1563" s="3"/>
      <c r="AQ1563" s="3"/>
      <c r="AR1563" s="3"/>
      <c r="AS1563" s="3"/>
    </row>
    <row r="1564" spans="1:45" ht="15">
      <c r="A1564"/>
      <c r="J1564"/>
      <c r="AA1564"/>
      <c r="AB1564"/>
      <c r="AC1564"/>
      <c r="AD1564"/>
      <c r="AE1564"/>
      <c r="AF1564"/>
      <c r="AG1564"/>
      <c r="AH1564"/>
      <c r="AO1564" s="2"/>
      <c r="AP1564" s="3"/>
      <c r="AQ1564" s="3"/>
      <c r="AR1564" s="3"/>
      <c r="AS1564" s="3"/>
    </row>
    <row r="1565" spans="1:45" ht="15">
      <c r="A1565"/>
      <c r="J1565"/>
      <c r="AA1565"/>
      <c r="AB1565"/>
      <c r="AC1565"/>
      <c r="AD1565"/>
      <c r="AE1565"/>
      <c r="AF1565"/>
      <c r="AG1565"/>
      <c r="AH1565"/>
      <c r="AO1565" s="2"/>
      <c r="AP1565" s="3"/>
      <c r="AQ1565" s="3"/>
      <c r="AR1565" s="3"/>
      <c r="AS1565" s="3"/>
    </row>
    <row r="1566" spans="1:45" ht="15">
      <c r="A1566"/>
      <c r="J1566"/>
      <c r="AA1566"/>
      <c r="AB1566"/>
      <c r="AC1566"/>
      <c r="AD1566"/>
      <c r="AE1566"/>
      <c r="AF1566"/>
      <c r="AG1566"/>
      <c r="AH1566"/>
      <c r="AO1566" s="2"/>
      <c r="AP1566" s="3"/>
      <c r="AQ1566" s="3"/>
      <c r="AR1566" s="3"/>
      <c r="AS1566" s="3"/>
    </row>
    <row r="1567" spans="1:45" ht="15">
      <c r="A1567"/>
      <c r="J1567"/>
      <c r="AA1567"/>
      <c r="AB1567"/>
      <c r="AC1567"/>
      <c r="AD1567"/>
      <c r="AE1567"/>
      <c r="AF1567"/>
      <c r="AG1567"/>
      <c r="AH1567"/>
      <c r="AO1567" s="2"/>
      <c r="AP1567" s="3"/>
      <c r="AQ1567" s="3"/>
      <c r="AR1567" s="3"/>
      <c r="AS1567" s="3"/>
    </row>
    <row r="1568" spans="1:45" ht="15">
      <c r="A1568"/>
      <c r="J1568"/>
      <c r="AA1568"/>
      <c r="AB1568"/>
      <c r="AC1568"/>
      <c r="AD1568"/>
      <c r="AE1568"/>
      <c r="AF1568"/>
      <c r="AG1568"/>
      <c r="AH1568"/>
      <c r="AO1568" s="2"/>
      <c r="AP1568" s="3"/>
      <c r="AQ1568" s="3"/>
      <c r="AR1568" s="3"/>
      <c r="AS1568" s="3"/>
    </row>
    <row r="1569" spans="1:45" ht="15">
      <c r="A1569"/>
      <c r="J1569"/>
      <c r="AA1569"/>
      <c r="AB1569"/>
      <c r="AC1569"/>
      <c r="AD1569"/>
      <c r="AE1569"/>
      <c r="AF1569"/>
      <c r="AG1569"/>
      <c r="AH1569"/>
      <c r="AO1569" s="2"/>
      <c r="AP1569" s="3"/>
      <c r="AQ1569" s="3"/>
      <c r="AR1569" s="3"/>
      <c r="AS1569" s="3"/>
    </row>
    <row r="1570" spans="1:45" ht="15">
      <c r="A1570"/>
      <c r="J1570"/>
      <c r="AA1570"/>
      <c r="AB1570"/>
      <c r="AC1570"/>
      <c r="AD1570"/>
      <c r="AE1570"/>
      <c r="AF1570"/>
      <c r="AG1570"/>
      <c r="AH1570"/>
      <c r="AO1570" s="2"/>
      <c r="AP1570" s="3"/>
      <c r="AQ1570" s="3"/>
      <c r="AR1570" s="3"/>
      <c r="AS1570" s="3"/>
    </row>
    <row r="1571" spans="1:45" ht="15">
      <c r="A1571"/>
      <c r="J1571"/>
      <c r="AA1571"/>
      <c r="AB1571"/>
      <c r="AC1571"/>
      <c r="AD1571"/>
      <c r="AE1571"/>
      <c r="AF1571"/>
      <c r="AG1571"/>
      <c r="AH1571"/>
      <c r="AO1571" s="2"/>
      <c r="AP1571" s="3"/>
      <c r="AQ1571" s="3"/>
      <c r="AR1571" s="3"/>
      <c r="AS1571" s="3"/>
    </row>
    <row r="1572" spans="1:45" ht="15">
      <c r="A1572"/>
      <c r="J1572"/>
      <c r="AA1572"/>
      <c r="AB1572"/>
      <c r="AC1572"/>
      <c r="AD1572"/>
      <c r="AE1572"/>
      <c r="AF1572"/>
      <c r="AG1572"/>
      <c r="AH1572"/>
      <c r="AO1572" s="2"/>
      <c r="AP1572" s="3"/>
      <c r="AQ1572" s="3"/>
      <c r="AR1572" s="3"/>
      <c r="AS1572" s="3"/>
    </row>
    <row r="1573" spans="1:45" ht="15">
      <c r="A1573"/>
      <c r="J1573"/>
      <c r="AA1573"/>
      <c r="AB1573"/>
      <c r="AC1573"/>
      <c r="AD1573"/>
      <c r="AE1573"/>
      <c r="AF1573"/>
      <c r="AG1573"/>
      <c r="AH1573"/>
      <c r="AO1573" s="2"/>
      <c r="AP1573" s="3"/>
      <c r="AQ1573" s="3"/>
      <c r="AR1573" s="3"/>
      <c r="AS1573" s="3"/>
    </row>
    <row r="1574" spans="1:45" ht="15">
      <c r="A1574"/>
      <c r="J1574"/>
      <c r="AA1574"/>
      <c r="AB1574"/>
      <c r="AC1574"/>
      <c r="AD1574"/>
      <c r="AE1574"/>
      <c r="AF1574"/>
      <c r="AG1574"/>
      <c r="AH1574"/>
      <c r="AO1574" s="2"/>
      <c r="AP1574" s="3"/>
      <c r="AQ1574" s="3"/>
      <c r="AR1574" s="3"/>
      <c r="AS1574" s="3"/>
    </row>
    <row r="1575" spans="1:45" ht="15">
      <c r="A1575"/>
      <c r="J1575"/>
      <c r="AA1575"/>
      <c r="AB1575"/>
      <c r="AC1575"/>
      <c r="AD1575"/>
      <c r="AE1575"/>
      <c r="AF1575"/>
      <c r="AG1575"/>
      <c r="AH1575"/>
      <c r="AO1575" s="2"/>
      <c r="AP1575" s="3"/>
      <c r="AQ1575" s="3"/>
      <c r="AR1575" s="3"/>
      <c r="AS1575" s="3"/>
    </row>
    <row r="1576" spans="1:45" ht="15">
      <c r="A1576"/>
      <c r="J1576"/>
      <c r="AA1576"/>
      <c r="AB1576"/>
      <c r="AC1576"/>
      <c r="AD1576"/>
      <c r="AE1576"/>
      <c r="AF1576"/>
      <c r="AG1576"/>
      <c r="AH1576"/>
      <c r="AO1576" s="2"/>
      <c r="AP1576" s="3"/>
      <c r="AQ1576" s="3"/>
      <c r="AR1576" s="3"/>
      <c r="AS1576" s="3"/>
    </row>
    <row r="1577" spans="1:45" ht="15">
      <c r="A1577"/>
      <c r="J1577"/>
      <c r="AA1577"/>
      <c r="AB1577"/>
      <c r="AC1577"/>
      <c r="AD1577"/>
      <c r="AE1577"/>
      <c r="AF1577"/>
      <c r="AG1577"/>
      <c r="AH1577"/>
      <c r="AO1577" s="2"/>
      <c r="AP1577" s="3"/>
      <c r="AQ1577" s="3"/>
      <c r="AR1577" s="3"/>
      <c r="AS1577" s="3"/>
    </row>
    <row r="1578" spans="1:45" ht="15">
      <c r="A1578"/>
      <c r="J1578"/>
      <c r="AA1578"/>
      <c r="AB1578"/>
      <c r="AC1578"/>
      <c r="AD1578"/>
      <c r="AE1578"/>
      <c r="AF1578"/>
      <c r="AG1578"/>
      <c r="AH1578"/>
      <c r="AO1578" s="2"/>
      <c r="AP1578" s="3"/>
      <c r="AQ1578" s="3"/>
      <c r="AR1578" s="3"/>
      <c r="AS1578" s="3"/>
    </row>
    <row r="1579" spans="1:45" ht="15">
      <c r="A1579"/>
      <c r="J1579"/>
      <c r="AA1579"/>
      <c r="AB1579"/>
      <c r="AC1579"/>
      <c r="AD1579"/>
      <c r="AE1579"/>
      <c r="AF1579"/>
      <c r="AG1579"/>
      <c r="AH1579"/>
      <c r="AO1579" s="2"/>
      <c r="AP1579" s="3"/>
      <c r="AQ1579" s="3"/>
      <c r="AR1579" s="3"/>
      <c r="AS1579" s="3"/>
    </row>
    <row r="1580" spans="1:45" ht="15">
      <c r="A1580"/>
      <c r="J1580"/>
      <c r="AA1580"/>
      <c r="AB1580"/>
      <c r="AC1580"/>
      <c r="AD1580"/>
      <c r="AE1580"/>
      <c r="AF1580"/>
      <c r="AG1580"/>
      <c r="AH1580"/>
      <c r="AO1580" s="2"/>
      <c r="AP1580" s="3"/>
      <c r="AQ1580" s="3"/>
      <c r="AR1580" s="3"/>
      <c r="AS1580" s="3"/>
    </row>
    <row r="1581" spans="1:45" ht="15">
      <c r="A1581"/>
      <c r="J1581"/>
      <c r="AA1581"/>
      <c r="AB1581"/>
      <c r="AC1581"/>
      <c r="AD1581"/>
      <c r="AE1581"/>
      <c r="AF1581"/>
      <c r="AG1581"/>
      <c r="AH1581"/>
      <c r="AO1581" s="2"/>
      <c r="AP1581" s="3"/>
      <c r="AQ1581" s="3"/>
      <c r="AR1581" s="3"/>
      <c r="AS1581" s="3"/>
    </row>
    <row r="1582" spans="1:45" ht="15">
      <c r="A1582"/>
      <c r="J1582"/>
      <c r="AA1582"/>
      <c r="AB1582"/>
      <c r="AC1582"/>
      <c r="AD1582"/>
      <c r="AE1582"/>
      <c r="AF1582"/>
      <c r="AG1582"/>
      <c r="AH1582"/>
      <c r="AO1582" s="2"/>
      <c r="AP1582" s="3"/>
      <c r="AQ1582" s="3"/>
      <c r="AR1582" s="3"/>
      <c r="AS1582" s="3"/>
    </row>
    <row r="1583" spans="1:45" ht="15">
      <c r="A1583"/>
      <c r="J1583"/>
      <c r="AA1583"/>
      <c r="AB1583"/>
      <c r="AC1583"/>
      <c r="AD1583"/>
      <c r="AE1583"/>
      <c r="AF1583"/>
      <c r="AG1583"/>
      <c r="AH1583"/>
      <c r="AO1583" s="2"/>
      <c r="AP1583" s="3"/>
      <c r="AQ1583" s="3"/>
      <c r="AR1583" s="3"/>
      <c r="AS1583" s="3"/>
    </row>
    <row r="1584" spans="1:45" ht="15">
      <c r="A1584"/>
      <c r="J1584"/>
      <c r="AA1584"/>
      <c r="AB1584"/>
      <c r="AC1584"/>
      <c r="AD1584"/>
      <c r="AE1584"/>
      <c r="AF1584"/>
      <c r="AG1584"/>
      <c r="AH1584"/>
      <c r="AO1584" s="2"/>
      <c r="AP1584" s="3"/>
      <c r="AQ1584" s="3"/>
      <c r="AR1584" s="3"/>
      <c r="AS1584" s="3"/>
    </row>
    <row r="1585" spans="1:45" ht="15">
      <c r="A1585"/>
      <c r="J1585"/>
      <c r="AA1585"/>
      <c r="AB1585"/>
      <c r="AC1585"/>
      <c r="AD1585"/>
      <c r="AE1585"/>
      <c r="AF1585"/>
      <c r="AG1585"/>
      <c r="AH1585"/>
      <c r="AO1585" s="2"/>
      <c r="AP1585" s="3"/>
      <c r="AQ1585" s="3"/>
      <c r="AR1585" s="3"/>
      <c r="AS1585" s="3"/>
    </row>
    <row r="1586" spans="1:45" ht="15">
      <c r="A1586"/>
      <c r="J1586"/>
      <c r="AA1586"/>
      <c r="AB1586"/>
      <c r="AC1586"/>
      <c r="AD1586"/>
      <c r="AE1586"/>
      <c r="AF1586"/>
      <c r="AG1586"/>
      <c r="AH1586"/>
      <c r="AO1586" s="2"/>
      <c r="AP1586" s="3"/>
      <c r="AQ1586" s="3"/>
      <c r="AR1586" s="3"/>
      <c r="AS1586" s="3"/>
    </row>
    <row r="1587" spans="1:45" ht="15">
      <c r="A1587"/>
      <c r="J1587"/>
      <c r="AA1587"/>
      <c r="AB1587"/>
      <c r="AC1587"/>
      <c r="AD1587"/>
      <c r="AE1587"/>
      <c r="AF1587"/>
      <c r="AG1587"/>
      <c r="AH1587"/>
      <c r="AO1587" s="2"/>
      <c r="AP1587" s="3"/>
      <c r="AQ1587" s="3"/>
      <c r="AR1587" s="3"/>
      <c r="AS1587" s="3"/>
    </row>
    <row r="1588" spans="1:45" ht="15">
      <c r="A1588"/>
      <c r="J1588"/>
      <c r="AA1588"/>
      <c r="AB1588"/>
      <c r="AC1588"/>
      <c r="AD1588"/>
      <c r="AE1588"/>
      <c r="AF1588"/>
      <c r="AG1588"/>
      <c r="AH1588"/>
      <c r="AO1588" s="2"/>
      <c r="AP1588" s="3"/>
      <c r="AQ1588" s="3"/>
      <c r="AR1588" s="3"/>
      <c r="AS1588" s="3"/>
    </row>
    <row r="1589" spans="1:45" ht="15">
      <c r="A1589"/>
      <c r="J1589"/>
      <c r="AA1589"/>
      <c r="AB1589"/>
      <c r="AC1589"/>
      <c r="AD1589"/>
      <c r="AE1589"/>
      <c r="AF1589"/>
      <c r="AG1589"/>
      <c r="AH1589"/>
      <c r="AO1589" s="2"/>
      <c r="AP1589" s="3"/>
      <c r="AQ1589" s="3"/>
      <c r="AR1589" s="3"/>
      <c r="AS1589" s="3"/>
    </row>
    <row r="1590" spans="1:45" ht="15">
      <c r="A1590"/>
      <c r="J1590"/>
      <c r="AA1590"/>
      <c r="AB1590"/>
      <c r="AC1590"/>
      <c r="AD1590"/>
      <c r="AE1590"/>
      <c r="AF1590"/>
      <c r="AG1590"/>
      <c r="AH1590"/>
      <c r="AO1590" s="2"/>
      <c r="AP1590" s="3"/>
      <c r="AQ1590" s="3"/>
      <c r="AR1590" s="3"/>
      <c r="AS1590" s="3"/>
    </row>
    <row r="1591" spans="1:45" ht="15">
      <c r="A1591"/>
      <c r="J1591"/>
      <c r="AA1591"/>
      <c r="AB1591"/>
      <c r="AC1591"/>
      <c r="AD1591"/>
      <c r="AE1591"/>
      <c r="AF1591"/>
      <c r="AG1591"/>
      <c r="AH1591"/>
      <c r="AO1591" s="2"/>
      <c r="AP1591" s="3"/>
      <c r="AQ1591" s="3"/>
      <c r="AR1591" s="3"/>
      <c r="AS1591" s="3"/>
    </row>
    <row r="1592" spans="1:45" ht="15">
      <c r="A1592"/>
      <c r="J1592"/>
      <c r="AA1592"/>
      <c r="AB1592"/>
      <c r="AC1592"/>
      <c r="AD1592"/>
      <c r="AE1592"/>
      <c r="AF1592"/>
      <c r="AG1592"/>
      <c r="AH1592"/>
      <c r="AO1592" s="2"/>
      <c r="AP1592" s="3"/>
      <c r="AQ1592" s="3"/>
      <c r="AR1592" s="3"/>
      <c r="AS1592" s="3"/>
    </row>
    <row r="1593" spans="1:45" ht="15">
      <c r="A1593"/>
      <c r="J1593"/>
      <c r="AA1593"/>
      <c r="AB1593"/>
      <c r="AC1593"/>
      <c r="AD1593"/>
      <c r="AE1593"/>
      <c r="AF1593"/>
      <c r="AG1593"/>
      <c r="AH1593"/>
      <c r="AO1593" s="2"/>
      <c r="AP1593" s="3"/>
      <c r="AQ1593" s="3"/>
      <c r="AR1593" s="3"/>
      <c r="AS1593" s="3"/>
    </row>
    <row r="1594" spans="1:45" ht="15">
      <c r="A1594"/>
      <c r="J1594"/>
      <c r="AA1594"/>
      <c r="AB1594"/>
      <c r="AC1594"/>
      <c r="AD1594"/>
      <c r="AE1594"/>
      <c r="AF1594"/>
      <c r="AG1594"/>
      <c r="AH1594"/>
      <c r="AO1594" s="2"/>
      <c r="AP1594" s="3"/>
      <c r="AQ1594" s="3"/>
      <c r="AR1594" s="3"/>
      <c r="AS1594" s="3"/>
    </row>
    <row r="1595" spans="1:45" ht="15">
      <c r="A1595"/>
      <c r="J1595"/>
      <c r="AA1595"/>
      <c r="AB1595"/>
      <c r="AC1595"/>
      <c r="AD1595"/>
      <c r="AE1595"/>
      <c r="AF1595"/>
      <c r="AG1595"/>
      <c r="AH1595"/>
      <c r="AO1595" s="2"/>
      <c r="AP1595" s="3"/>
      <c r="AQ1595" s="3"/>
      <c r="AR1595" s="3"/>
      <c r="AS1595" s="3"/>
    </row>
    <row r="1596" spans="1:45" ht="15">
      <c r="A1596"/>
      <c r="J1596"/>
      <c r="AA1596"/>
      <c r="AB1596"/>
      <c r="AC1596"/>
      <c r="AD1596"/>
      <c r="AE1596"/>
      <c r="AF1596"/>
      <c r="AG1596"/>
      <c r="AH1596"/>
      <c r="AO1596" s="2"/>
      <c r="AP1596" s="3"/>
      <c r="AQ1596" s="3"/>
      <c r="AR1596" s="3"/>
      <c r="AS1596" s="3"/>
    </row>
    <row r="1597" spans="1:45" ht="15">
      <c r="A1597"/>
      <c r="J1597"/>
      <c r="AA1597"/>
      <c r="AB1597"/>
      <c r="AC1597"/>
      <c r="AD1597"/>
      <c r="AE1597"/>
      <c r="AF1597"/>
      <c r="AG1597"/>
      <c r="AH1597"/>
      <c r="AO1597" s="2"/>
      <c r="AP1597" s="3"/>
      <c r="AQ1597" s="3"/>
      <c r="AR1597" s="3"/>
      <c r="AS1597" s="3"/>
    </row>
    <row r="1598" spans="1:45" ht="15">
      <c r="A1598"/>
      <c r="J1598"/>
      <c r="AA1598"/>
      <c r="AB1598"/>
      <c r="AC1598"/>
      <c r="AD1598"/>
      <c r="AE1598"/>
      <c r="AF1598"/>
      <c r="AG1598"/>
      <c r="AH1598"/>
      <c r="AO1598" s="2"/>
      <c r="AP1598" s="3"/>
      <c r="AQ1598" s="3"/>
      <c r="AR1598" s="3"/>
      <c r="AS1598" s="3"/>
    </row>
    <row r="1599" spans="1:45" ht="15">
      <c r="A1599"/>
      <c r="J1599"/>
      <c r="AA1599"/>
      <c r="AB1599"/>
      <c r="AC1599"/>
      <c r="AD1599"/>
      <c r="AE1599"/>
      <c r="AF1599"/>
      <c r="AG1599"/>
      <c r="AH1599"/>
      <c r="AO1599" s="2"/>
      <c r="AP1599" s="3"/>
      <c r="AQ1599" s="3"/>
      <c r="AR1599" s="3"/>
      <c r="AS1599" s="3"/>
    </row>
    <row r="1600" spans="1:45" ht="15">
      <c r="A1600"/>
      <c r="J1600"/>
      <c r="AA1600"/>
      <c r="AB1600"/>
      <c r="AC1600"/>
      <c r="AD1600"/>
      <c r="AE1600"/>
      <c r="AF1600"/>
      <c r="AG1600"/>
      <c r="AH1600"/>
      <c r="AO1600" s="2"/>
      <c r="AP1600" s="3"/>
      <c r="AQ1600" s="3"/>
      <c r="AR1600" s="3"/>
      <c r="AS1600" s="3"/>
    </row>
    <row r="1601" spans="1:45" ht="15">
      <c r="A1601"/>
      <c r="J1601"/>
      <c r="AA1601"/>
      <c r="AB1601"/>
      <c r="AC1601"/>
      <c r="AD1601"/>
      <c r="AE1601"/>
      <c r="AF1601"/>
      <c r="AG1601"/>
      <c r="AH1601"/>
      <c r="AO1601" s="2"/>
      <c r="AP1601" s="3"/>
      <c r="AQ1601" s="3"/>
      <c r="AR1601" s="3"/>
      <c r="AS1601" s="3"/>
    </row>
    <row r="1602" spans="1:45" ht="15">
      <c r="A1602"/>
      <c r="J1602"/>
      <c r="AA1602"/>
      <c r="AB1602"/>
      <c r="AC1602"/>
      <c r="AD1602"/>
      <c r="AE1602"/>
      <c r="AF1602"/>
      <c r="AG1602"/>
      <c r="AH1602"/>
      <c r="AO1602" s="2"/>
      <c r="AP1602" s="3"/>
      <c r="AQ1602" s="3"/>
      <c r="AR1602" s="3"/>
      <c r="AS1602" s="3"/>
    </row>
    <row r="1603" spans="1:45" ht="15">
      <c r="A1603"/>
      <c r="J1603"/>
      <c r="AA1603"/>
      <c r="AB1603"/>
      <c r="AC1603"/>
      <c r="AD1603"/>
      <c r="AE1603"/>
      <c r="AF1603"/>
      <c r="AG1603"/>
      <c r="AH1603"/>
      <c r="AO1603" s="2"/>
      <c r="AP1603" s="3"/>
      <c r="AQ1603" s="3"/>
      <c r="AR1603" s="3"/>
      <c r="AS1603" s="3"/>
    </row>
    <row r="1604" spans="1:45" ht="15">
      <c r="A1604"/>
      <c r="J1604"/>
      <c r="AA1604"/>
      <c r="AB1604"/>
      <c r="AC1604"/>
      <c r="AD1604"/>
      <c r="AE1604"/>
      <c r="AF1604"/>
      <c r="AG1604"/>
      <c r="AH1604"/>
      <c r="AO1604" s="2"/>
      <c r="AP1604" s="3"/>
      <c r="AQ1604" s="3"/>
      <c r="AR1604" s="3"/>
      <c r="AS1604" s="3"/>
    </row>
    <row r="1605" spans="1:45" ht="15">
      <c r="A1605"/>
      <c r="J1605"/>
      <c r="AA1605"/>
      <c r="AB1605"/>
      <c r="AC1605"/>
      <c r="AD1605"/>
      <c r="AE1605"/>
      <c r="AF1605"/>
      <c r="AG1605"/>
      <c r="AH1605"/>
      <c r="AO1605" s="2"/>
      <c r="AP1605" s="3"/>
      <c r="AQ1605" s="3"/>
      <c r="AR1605" s="3"/>
      <c r="AS1605" s="3"/>
    </row>
    <row r="1606" spans="1:45" ht="15">
      <c r="A1606"/>
      <c r="J1606"/>
      <c r="AA1606"/>
      <c r="AB1606"/>
      <c r="AC1606"/>
      <c r="AD1606"/>
      <c r="AE1606"/>
      <c r="AF1606"/>
      <c r="AG1606"/>
      <c r="AH1606"/>
      <c r="AO1606" s="2"/>
      <c r="AP1606" s="3"/>
      <c r="AQ1606" s="3"/>
      <c r="AR1606" s="3"/>
      <c r="AS1606" s="3"/>
    </row>
    <row r="1607" spans="1:45" ht="15">
      <c r="A1607"/>
      <c r="J1607"/>
      <c r="AA1607"/>
      <c r="AB1607"/>
      <c r="AC1607"/>
      <c r="AD1607"/>
      <c r="AE1607"/>
      <c r="AF1607"/>
      <c r="AG1607"/>
      <c r="AH1607"/>
      <c r="AO1607" s="2"/>
      <c r="AP1607" s="3"/>
      <c r="AQ1607" s="3"/>
      <c r="AR1607" s="3"/>
      <c r="AS1607" s="3"/>
    </row>
    <row r="1608" spans="1:45" ht="15">
      <c r="A1608"/>
      <c r="J1608"/>
      <c r="AA1608"/>
      <c r="AB1608"/>
      <c r="AC1608"/>
      <c r="AD1608"/>
      <c r="AE1608"/>
      <c r="AF1608"/>
      <c r="AG1608"/>
      <c r="AH1608"/>
      <c r="AO1608" s="2"/>
      <c r="AP1608" s="3"/>
      <c r="AQ1608" s="3"/>
      <c r="AR1608" s="3"/>
      <c r="AS1608" s="3"/>
    </row>
    <row r="1609" spans="1:45" ht="15">
      <c r="A1609"/>
      <c r="J1609"/>
      <c r="AA1609"/>
      <c r="AB1609"/>
      <c r="AC1609"/>
      <c r="AD1609"/>
      <c r="AE1609"/>
      <c r="AF1609"/>
      <c r="AG1609"/>
      <c r="AH1609"/>
      <c r="AO1609" s="2"/>
      <c r="AP1609" s="3"/>
      <c r="AQ1609" s="3"/>
      <c r="AR1609" s="3"/>
      <c r="AS1609" s="3"/>
    </row>
    <row r="1610" spans="1:45" ht="15">
      <c r="A1610"/>
      <c r="J1610"/>
      <c r="AA1610"/>
      <c r="AB1610"/>
      <c r="AC1610"/>
      <c r="AD1610"/>
      <c r="AE1610"/>
      <c r="AF1610"/>
      <c r="AG1610"/>
      <c r="AH1610"/>
      <c r="AO1610" s="2"/>
      <c r="AP1610" s="3"/>
      <c r="AQ1610" s="3"/>
      <c r="AR1610" s="3"/>
      <c r="AS1610" s="3"/>
    </row>
    <row r="1611" spans="1:45" ht="15">
      <c r="A1611"/>
      <c r="J1611"/>
      <c r="AA1611"/>
      <c r="AB1611"/>
      <c r="AC1611"/>
      <c r="AD1611"/>
      <c r="AE1611"/>
      <c r="AF1611"/>
      <c r="AG1611"/>
      <c r="AH1611"/>
      <c r="AO1611" s="2"/>
      <c r="AP1611" s="3"/>
      <c r="AQ1611" s="3"/>
      <c r="AR1611" s="3"/>
      <c r="AS1611" s="3"/>
    </row>
    <row r="1612" spans="1:45" ht="15">
      <c r="A1612"/>
      <c r="J1612"/>
      <c r="AA1612"/>
      <c r="AB1612"/>
      <c r="AC1612"/>
      <c r="AD1612"/>
      <c r="AE1612"/>
      <c r="AF1612"/>
      <c r="AG1612"/>
      <c r="AH1612"/>
      <c r="AO1612" s="2"/>
      <c r="AP1612" s="3"/>
      <c r="AQ1612" s="3"/>
      <c r="AR1612" s="3"/>
      <c r="AS1612" s="3"/>
    </row>
    <row r="1613" spans="1:45" ht="15">
      <c r="A1613"/>
      <c r="J1613"/>
      <c r="AA1613"/>
      <c r="AB1613"/>
      <c r="AC1613"/>
      <c r="AD1613"/>
      <c r="AE1613"/>
      <c r="AF1613"/>
      <c r="AG1613"/>
      <c r="AH1613"/>
      <c r="AO1613" s="2"/>
      <c r="AP1613" s="3"/>
      <c r="AQ1613" s="3"/>
      <c r="AR1613" s="3"/>
      <c r="AS1613" s="3"/>
    </row>
    <row r="1614" spans="1:45" ht="15">
      <c r="A1614"/>
      <c r="J1614"/>
      <c r="AA1614"/>
      <c r="AB1614"/>
      <c r="AC1614"/>
      <c r="AD1614"/>
      <c r="AE1614"/>
      <c r="AF1614"/>
      <c r="AG1614"/>
      <c r="AH1614"/>
      <c r="AO1614" s="2"/>
      <c r="AP1614" s="3"/>
      <c r="AQ1614" s="3"/>
      <c r="AR1614" s="3"/>
      <c r="AS1614" s="3"/>
    </row>
    <row r="1615" spans="1:45" ht="15">
      <c r="A1615"/>
      <c r="J1615"/>
      <c r="AA1615"/>
      <c r="AB1615"/>
      <c r="AC1615"/>
      <c r="AD1615"/>
      <c r="AE1615"/>
      <c r="AF1615"/>
      <c r="AG1615"/>
      <c r="AH1615"/>
      <c r="AO1615" s="2"/>
      <c r="AP1615" s="3"/>
      <c r="AQ1615" s="3"/>
      <c r="AR1615" s="3"/>
      <c r="AS1615" s="3"/>
    </row>
    <row r="1616" spans="1:45" ht="15">
      <c r="A1616"/>
      <c r="J1616"/>
      <c r="AA1616"/>
      <c r="AB1616"/>
      <c r="AC1616"/>
      <c r="AD1616"/>
      <c r="AE1616"/>
      <c r="AF1616"/>
      <c r="AG1616"/>
      <c r="AH1616"/>
      <c r="AO1616" s="2"/>
      <c r="AP1616" s="3"/>
      <c r="AQ1616" s="3"/>
      <c r="AR1616" s="3"/>
      <c r="AS1616" s="3"/>
    </row>
    <row r="1617" spans="1:45" ht="15">
      <c r="A1617"/>
      <c r="J1617"/>
      <c r="AA1617"/>
      <c r="AB1617"/>
      <c r="AC1617"/>
      <c r="AD1617"/>
      <c r="AE1617"/>
      <c r="AF1617"/>
      <c r="AG1617"/>
      <c r="AH1617"/>
      <c r="AO1617" s="2"/>
      <c r="AP1617" s="3"/>
      <c r="AQ1617" s="3"/>
      <c r="AR1617" s="3"/>
      <c r="AS1617" s="3"/>
    </row>
    <row r="1618" spans="1:45" ht="15">
      <c r="A1618"/>
      <c r="J1618"/>
      <c r="AA1618"/>
      <c r="AB1618"/>
      <c r="AC1618"/>
      <c r="AD1618"/>
      <c r="AE1618"/>
      <c r="AF1618"/>
      <c r="AG1618"/>
      <c r="AH1618"/>
      <c r="AO1618" s="2"/>
      <c r="AP1618" s="3"/>
      <c r="AQ1618" s="3"/>
      <c r="AR1618" s="3"/>
      <c r="AS1618" s="3"/>
    </row>
    <row r="1619" spans="1:45" ht="15">
      <c r="A1619"/>
      <c r="J1619"/>
      <c r="AA1619"/>
      <c r="AB1619"/>
      <c r="AC1619"/>
      <c r="AD1619"/>
      <c r="AE1619"/>
      <c r="AF1619"/>
      <c r="AG1619"/>
      <c r="AH1619"/>
      <c r="AO1619" s="2"/>
      <c r="AP1619" s="3"/>
      <c r="AQ1619" s="3"/>
      <c r="AR1619" s="3"/>
      <c r="AS1619" s="3"/>
    </row>
    <row r="1620" spans="1:45" ht="15">
      <c r="A1620"/>
      <c r="J1620"/>
      <c r="AA1620"/>
      <c r="AB1620"/>
      <c r="AC1620"/>
      <c r="AD1620"/>
      <c r="AE1620"/>
      <c r="AF1620"/>
      <c r="AG1620"/>
      <c r="AH1620"/>
      <c r="AO1620" s="2"/>
      <c r="AP1620" s="3"/>
      <c r="AQ1620" s="3"/>
      <c r="AR1620" s="3"/>
      <c r="AS1620" s="3"/>
    </row>
    <row r="1621" spans="1:45" ht="15">
      <c r="A1621"/>
      <c r="J1621"/>
      <c r="AA1621"/>
      <c r="AB1621"/>
      <c r="AC1621"/>
      <c r="AD1621"/>
      <c r="AE1621"/>
      <c r="AF1621"/>
      <c r="AG1621"/>
      <c r="AH1621"/>
      <c r="AO1621" s="2"/>
      <c r="AP1621" s="3"/>
      <c r="AQ1621" s="3"/>
      <c r="AR1621" s="3"/>
      <c r="AS1621" s="3"/>
    </row>
    <row r="1622" spans="1:45" ht="15">
      <c r="A1622"/>
      <c r="J1622"/>
      <c r="AA1622"/>
      <c r="AB1622"/>
      <c r="AC1622"/>
      <c r="AD1622"/>
      <c r="AE1622"/>
      <c r="AF1622"/>
      <c r="AG1622"/>
      <c r="AH1622"/>
      <c r="AO1622" s="2"/>
      <c r="AP1622" s="3"/>
      <c r="AQ1622" s="3"/>
      <c r="AR1622" s="3"/>
      <c r="AS1622" s="3"/>
    </row>
    <row r="1623" spans="1:45" ht="15">
      <c r="A1623"/>
      <c r="J1623"/>
      <c r="AA1623"/>
      <c r="AB1623"/>
      <c r="AC1623"/>
      <c r="AD1623"/>
      <c r="AE1623"/>
      <c r="AF1623"/>
      <c r="AG1623"/>
      <c r="AH1623"/>
      <c r="AO1623" s="2"/>
      <c r="AP1623" s="3"/>
      <c r="AQ1623" s="3"/>
      <c r="AR1623" s="3"/>
      <c r="AS1623" s="3"/>
    </row>
    <row r="1624" spans="1:45" ht="15">
      <c r="A1624"/>
      <c r="J1624"/>
      <c r="AA1624"/>
      <c r="AB1624"/>
      <c r="AC1624"/>
      <c r="AD1624"/>
      <c r="AE1624"/>
      <c r="AF1624"/>
      <c r="AG1624"/>
      <c r="AH1624"/>
      <c r="AO1624" s="2"/>
      <c r="AP1624" s="3"/>
      <c r="AQ1624" s="3"/>
      <c r="AR1624" s="3"/>
      <c r="AS1624" s="3"/>
    </row>
    <row r="1625" spans="1:45" ht="15">
      <c r="A1625"/>
      <c r="J1625"/>
      <c r="AA1625"/>
      <c r="AB1625"/>
      <c r="AC1625"/>
      <c r="AD1625"/>
      <c r="AE1625"/>
      <c r="AF1625"/>
      <c r="AG1625"/>
      <c r="AH1625"/>
      <c r="AO1625" s="2"/>
      <c r="AP1625" s="3"/>
      <c r="AQ1625" s="3"/>
      <c r="AR1625" s="3"/>
      <c r="AS1625" s="3"/>
    </row>
    <row r="1626" spans="1:45" ht="15">
      <c r="A1626"/>
      <c r="J1626"/>
      <c r="AA1626"/>
      <c r="AB1626"/>
      <c r="AC1626"/>
      <c r="AD1626"/>
      <c r="AE1626"/>
      <c r="AF1626"/>
      <c r="AG1626"/>
      <c r="AH1626"/>
      <c r="AO1626" s="2"/>
      <c r="AP1626" s="3"/>
      <c r="AQ1626" s="3"/>
      <c r="AR1626" s="3"/>
      <c r="AS1626" s="3"/>
    </row>
    <row r="1627" spans="1:45" ht="15">
      <c r="A1627"/>
      <c r="J1627"/>
      <c r="AA1627"/>
      <c r="AB1627"/>
      <c r="AC1627"/>
      <c r="AD1627"/>
      <c r="AE1627"/>
      <c r="AF1627"/>
      <c r="AG1627"/>
      <c r="AH1627"/>
      <c r="AO1627" s="2"/>
      <c r="AP1627" s="3"/>
      <c r="AQ1627" s="3"/>
      <c r="AR1627" s="3"/>
      <c r="AS1627" s="3"/>
    </row>
    <row r="1628" spans="1:45" ht="15">
      <c r="A1628"/>
      <c r="J1628"/>
      <c r="AA1628"/>
      <c r="AB1628"/>
      <c r="AC1628"/>
      <c r="AD1628"/>
      <c r="AE1628"/>
      <c r="AF1628"/>
      <c r="AG1628"/>
      <c r="AH1628"/>
      <c r="AO1628" s="2"/>
      <c r="AP1628" s="3"/>
      <c r="AQ1628" s="3"/>
      <c r="AR1628" s="3"/>
      <c r="AS1628" s="3"/>
    </row>
    <row r="1629" spans="1:45" ht="15">
      <c r="A1629"/>
      <c r="J1629"/>
      <c r="AA1629"/>
      <c r="AB1629"/>
      <c r="AC1629"/>
      <c r="AD1629"/>
      <c r="AE1629"/>
      <c r="AF1629"/>
      <c r="AG1629"/>
      <c r="AH1629"/>
      <c r="AO1629" s="2"/>
      <c r="AP1629" s="3"/>
      <c r="AQ1629" s="3"/>
      <c r="AR1629" s="3"/>
      <c r="AS1629" s="3"/>
    </row>
    <row r="1630" spans="1:45" ht="15">
      <c r="A1630"/>
      <c r="J1630"/>
      <c r="AA1630"/>
      <c r="AB1630"/>
      <c r="AC1630"/>
      <c r="AD1630"/>
      <c r="AE1630"/>
      <c r="AF1630"/>
      <c r="AG1630"/>
      <c r="AH1630"/>
      <c r="AO1630" s="2"/>
      <c r="AP1630" s="3"/>
      <c r="AQ1630" s="3"/>
      <c r="AR1630" s="3"/>
      <c r="AS1630" s="3"/>
    </row>
    <row r="1631" spans="1:45" ht="15">
      <c r="A1631"/>
      <c r="J1631"/>
      <c r="AA1631"/>
      <c r="AB1631"/>
      <c r="AC1631"/>
      <c r="AD1631"/>
      <c r="AE1631"/>
      <c r="AF1631"/>
      <c r="AG1631"/>
      <c r="AH1631"/>
      <c r="AO1631" s="2"/>
      <c r="AP1631" s="3"/>
      <c r="AQ1631" s="3"/>
      <c r="AR1631" s="3"/>
      <c r="AS1631" s="3"/>
    </row>
    <row r="1632" spans="1:45" ht="15">
      <c r="A1632"/>
      <c r="J1632"/>
      <c r="AA1632"/>
      <c r="AB1632"/>
      <c r="AC1632"/>
      <c r="AD1632"/>
      <c r="AE1632"/>
      <c r="AF1632"/>
      <c r="AG1632"/>
      <c r="AH1632"/>
      <c r="AO1632" s="2"/>
      <c r="AP1632" s="3"/>
      <c r="AQ1632" s="3"/>
      <c r="AR1632" s="3"/>
      <c r="AS1632" s="3"/>
    </row>
    <row r="1633" spans="1:45" ht="15">
      <c r="A1633"/>
      <c r="J1633"/>
      <c r="AA1633"/>
      <c r="AB1633"/>
      <c r="AC1633"/>
      <c r="AD1633"/>
      <c r="AE1633"/>
      <c r="AF1633"/>
      <c r="AG1633"/>
      <c r="AH1633"/>
      <c r="AO1633" s="2"/>
      <c r="AP1633" s="3"/>
      <c r="AQ1633" s="3"/>
      <c r="AR1633" s="3"/>
      <c r="AS1633" s="3"/>
    </row>
    <row r="1634" spans="1:45" ht="15">
      <c r="A1634"/>
      <c r="J1634"/>
      <c r="AA1634"/>
      <c r="AB1634"/>
      <c r="AC1634"/>
      <c r="AD1634"/>
      <c r="AE1634"/>
      <c r="AF1634"/>
      <c r="AG1634"/>
      <c r="AH1634"/>
      <c r="AO1634" s="2"/>
      <c r="AP1634" s="3"/>
      <c r="AQ1634" s="3"/>
      <c r="AR1634" s="3"/>
      <c r="AS1634" s="3"/>
    </row>
    <row r="1635" spans="1:45" ht="15">
      <c r="A1635"/>
      <c r="J1635"/>
      <c r="AA1635"/>
      <c r="AB1635"/>
      <c r="AC1635"/>
      <c r="AD1635"/>
      <c r="AE1635"/>
      <c r="AF1635"/>
      <c r="AG1635"/>
      <c r="AH1635"/>
      <c r="AO1635" s="2"/>
      <c r="AP1635" s="3"/>
      <c r="AQ1635" s="3"/>
      <c r="AR1635" s="3"/>
      <c r="AS1635" s="3"/>
    </row>
    <row r="1636" spans="1:45" ht="15">
      <c r="A1636"/>
      <c r="J1636"/>
      <c r="AA1636"/>
      <c r="AB1636"/>
      <c r="AC1636"/>
      <c r="AD1636"/>
      <c r="AE1636"/>
      <c r="AF1636"/>
      <c r="AG1636"/>
      <c r="AH1636"/>
      <c r="AO1636" s="2"/>
      <c r="AP1636" s="3"/>
      <c r="AQ1636" s="3"/>
      <c r="AR1636" s="3"/>
      <c r="AS1636" s="3"/>
    </row>
    <row r="1637" spans="1:45" ht="15">
      <c r="A1637"/>
      <c r="J1637"/>
      <c r="AA1637"/>
      <c r="AB1637"/>
      <c r="AC1637"/>
      <c r="AD1637"/>
      <c r="AE1637"/>
      <c r="AF1637"/>
      <c r="AG1637"/>
      <c r="AH1637"/>
      <c r="AO1637" s="2"/>
      <c r="AP1637" s="3"/>
      <c r="AQ1637" s="3"/>
      <c r="AR1637" s="3"/>
      <c r="AS1637" s="3"/>
    </row>
    <row r="1638" spans="1:45" ht="15">
      <c r="A1638"/>
      <c r="J1638"/>
      <c r="AA1638"/>
      <c r="AB1638"/>
      <c r="AC1638"/>
      <c r="AD1638"/>
      <c r="AE1638"/>
      <c r="AF1638"/>
      <c r="AG1638"/>
      <c r="AH1638"/>
      <c r="AO1638" s="2"/>
      <c r="AP1638" s="3"/>
      <c r="AQ1638" s="3"/>
      <c r="AR1638" s="3"/>
      <c r="AS1638" s="3"/>
    </row>
    <row r="1639" spans="1:45" ht="15">
      <c r="A1639"/>
      <c r="J1639"/>
      <c r="AA1639"/>
      <c r="AB1639"/>
      <c r="AC1639"/>
      <c r="AD1639"/>
      <c r="AE1639"/>
      <c r="AF1639"/>
      <c r="AG1639"/>
      <c r="AH1639"/>
      <c r="AO1639" s="2"/>
      <c r="AP1639" s="3"/>
      <c r="AQ1639" s="3"/>
      <c r="AR1639" s="3"/>
      <c r="AS1639" s="3"/>
    </row>
    <row r="1640" spans="1:45" ht="15">
      <c r="A1640"/>
      <c r="J1640"/>
      <c r="AA1640"/>
      <c r="AB1640"/>
      <c r="AC1640"/>
      <c r="AD1640"/>
      <c r="AE1640"/>
      <c r="AF1640"/>
      <c r="AG1640"/>
      <c r="AH1640"/>
      <c r="AO1640" s="2"/>
      <c r="AP1640" s="3"/>
      <c r="AQ1640" s="3"/>
      <c r="AR1640" s="3"/>
      <c r="AS1640" s="3"/>
    </row>
    <row r="1641" spans="1:45" ht="15">
      <c r="A1641"/>
      <c r="J1641"/>
      <c r="AA1641"/>
      <c r="AB1641"/>
      <c r="AC1641"/>
      <c r="AD1641"/>
      <c r="AE1641"/>
      <c r="AF1641"/>
      <c r="AG1641"/>
      <c r="AH1641"/>
      <c r="AO1641" s="2"/>
      <c r="AP1641" s="3"/>
      <c r="AQ1641" s="3"/>
      <c r="AR1641" s="3"/>
      <c r="AS1641" s="3"/>
    </row>
    <row r="1642" spans="1:45" ht="15">
      <c r="A1642"/>
      <c r="J1642"/>
      <c r="AA1642"/>
      <c r="AB1642"/>
      <c r="AC1642"/>
      <c r="AD1642"/>
      <c r="AE1642"/>
      <c r="AF1642"/>
      <c r="AG1642"/>
      <c r="AH1642"/>
      <c r="AO1642" s="2"/>
      <c r="AP1642" s="3"/>
      <c r="AQ1642" s="3"/>
      <c r="AR1642" s="3"/>
      <c r="AS1642" s="3"/>
    </row>
    <row r="1643" spans="1:45" ht="15">
      <c r="A1643"/>
      <c r="J1643"/>
      <c r="AA1643"/>
      <c r="AB1643"/>
      <c r="AC1643"/>
      <c r="AD1643"/>
      <c r="AE1643"/>
      <c r="AF1643"/>
      <c r="AG1643"/>
      <c r="AH1643"/>
      <c r="AO1643" s="2"/>
      <c r="AP1643" s="3"/>
      <c r="AQ1643" s="3"/>
      <c r="AR1643" s="3"/>
      <c r="AS1643" s="3"/>
    </row>
    <row r="1644" spans="1:45" ht="15">
      <c r="A1644"/>
      <c r="J1644"/>
      <c r="AA1644"/>
      <c r="AB1644"/>
      <c r="AC1644"/>
      <c r="AD1644"/>
      <c r="AE1644"/>
      <c r="AF1644"/>
      <c r="AG1644"/>
      <c r="AH1644"/>
      <c r="AO1644" s="2"/>
      <c r="AP1644" s="3"/>
      <c r="AQ1644" s="3"/>
      <c r="AR1644" s="3"/>
      <c r="AS1644" s="3"/>
    </row>
    <row r="1645" spans="1:45" ht="15">
      <c r="A1645"/>
      <c r="J1645"/>
      <c r="AA1645"/>
      <c r="AB1645"/>
      <c r="AC1645"/>
      <c r="AD1645"/>
      <c r="AE1645"/>
      <c r="AF1645"/>
      <c r="AG1645"/>
      <c r="AH1645"/>
      <c r="AO1645" s="2"/>
      <c r="AP1645" s="3"/>
      <c r="AQ1645" s="3"/>
      <c r="AR1645" s="3"/>
      <c r="AS1645" s="3"/>
    </row>
    <row r="1646" spans="1:45" ht="15">
      <c r="A1646"/>
      <c r="J1646"/>
      <c r="AA1646"/>
      <c r="AB1646"/>
      <c r="AC1646"/>
      <c r="AD1646"/>
      <c r="AE1646"/>
      <c r="AF1646"/>
      <c r="AG1646"/>
      <c r="AH1646"/>
      <c r="AO1646" s="2"/>
      <c r="AP1646" s="3"/>
      <c r="AQ1646" s="3"/>
      <c r="AR1646" s="3"/>
      <c r="AS1646" s="3"/>
    </row>
    <row r="1647" spans="1:45" ht="15">
      <c r="A1647"/>
      <c r="J1647"/>
      <c r="AA1647"/>
      <c r="AB1647"/>
      <c r="AC1647"/>
      <c r="AD1647"/>
      <c r="AE1647"/>
      <c r="AF1647"/>
      <c r="AG1647"/>
      <c r="AH1647"/>
      <c r="AO1647" s="2"/>
      <c r="AP1647" s="3"/>
      <c r="AQ1647" s="3"/>
      <c r="AR1647" s="3"/>
      <c r="AS1647" s="3"/>
    </row>
    <row r="1648" spans="1:45" ht="15">
      <c r="A1648"/>
      <c r="J1648"/>
      <c r="AA1648"/>
      <c r="AB1648"/>
      <c r="AC1648"/>
      <c r="AD1648"/>
      <c r="AE1648"/>
      <c r="AF1648"/>
      <c r="AG1648"/>
      <c r="AH1648"/>
      <c r="AO1648" s="2"/>
      <c r="AP1648" s="3"/>
      <c r="AQ1648" s="3"/>
      <c r="AR1648" s="3"/>
      <c r="AS1648" s="3"/>
    </row>
    <row r="1649" spans="1:45" ht="15">
      <c r="A1649"/>
      <c r="J1649"/>
      <c r="AA1649"/>
      <c r="AB1649"/>
      <c r="AC1649"/>
      <c r="AD1649"/>
      <c r="AE1649"/>
      <c r="AF1649"/>
      <c r="AG1649"/>
      <c r="AH1649"/>
      <c r="AO1649" s="2"/>
      <c r="AP1649" s="3"/>
      <c r="AQ1649" s="3"/>
      <c r="AR1649" s="3"/>
      <c r="AS1649" s="3"/>
    </row>
    <row r="1650" spans="1:45" ht="15">
      <c r="A1650"/>
      <c r="J1650"/>
      <c r="AA1650"/>
      <c r="AB1650"/>
      <c r="AC1650"/>
      <c r="AD1650"/>
      <c r="AE1650"/>
      <c r="AF1650"/>
      <c r="AG1650"/>
      <c r="AH1650"/>
      <c r="AO1650" s="2"/>
      <c r="AP1650" s="3"/>
      <c r="AQ1650" s="3"/>
      <c r="AR1650" s="3"/>
      <c r="AS1650" s="3"/>
    </row>
    <row r="1651" spans="1:45" ht="15">
      <c r="A1651"/>
      <c r="J1651"/>
      <c r="AA1651"/>
      <c r="AB1651"/>
      <c r="AC1651"/>
      <c r="AD1651"/>
      <c r="AE1651"/>
      <c r="AF1651"/>
      <c r="AG1651"/>
      <c r="AH1651"/>
      <c r="AO1651" s="2"/>
      <c r="AP1651" s="3"/>
      <c r="AQ1651" s="3"/>
      <c r="AR1651" s="3"/>
      <c r="AS1651" s="3"/>
    </row>
    <row r="1652" spans="1:45" ht="15">
      <c r="A1652"/>
      <c r="J1652"/>
      <c r="AA1652"/>
      <c r="AB1652"/>
      <c r="AC1652"/>
      <c r="AD1652"/>
      <c r="AE1652"/>
      <c r="AF1652"/>
      <c r="AG1652"/>
      <c r="AH1652"/>
      <c r="AO1652" s="2"/>
      <c r="AP1652" s="3"/>
      <c r="AQ1652" s="3"/>
      <c r="AR1652" s="3"/>
      <c r="AS1652" s="3"/>
    </row>
    <row r="1653" spans="1:45" ht="15">
      <c r="A1653"/>
      <c r="J1653"/>
      <c r="AA1653"/>
      <c r="AB1653"/>
      <c r="AC1653"/>
      <c r="AD1653"/>
      <c r="AE1653"/>
      <c r="AF1653"/>
      <c r="AG1653"/>
      <c r="AH1653"/>
      <c r="AO1653" s="2"/>
      <c r="AP1653" s="3"/>
      <c r="AQ1653" s="3"/>
      <c r="AR1653" s="3"/>
      <c r="AS1653" s="3"/>
    </row>
    <row r="1654" spans="1:45" ht="15">
      <c r="A1654"/>
      <c r="J1654"/>
      <c r="AA1654"/>
      <c r="AB1654"/>
      <c r="AC1654"/>
      <c r="AD1654"/>
      <c r="AE1654"/>
      <c r="AF1654"/>
      <c r="AG1654"/>
      <c r="AH1654"/>
      <c r="AO1654" s="2"/>
      <c r="AP1654" s="3"/>
      <c r="AQ1654" s="3"/>
      <c r="AR1654" s="3"/>
      <c r="AS1654" s="3"/>
    </row>
    <row r="1655" spans="1:45" ht="15">
      <c r="A1655"/>
      <c r="J1655"/>
      <c r="AA1655"/>
      <c r="AB1655"/>
      <c r="AC1655"/>
      <c r="AD1655"/>
      <c r="AE1655"/>
      <c r="AF1655"/>
      <c r="AG1655"/>
      <c r="AH1655"/>
      <c r="AO1655" s="2"/>
      <c r="AP1655" s="3"/>
      <c r="AQ1655" s="3"/>
      <c r="AR1655" s="3"/>
      <c r="AS1655" s="3"/>
    </row>
    <row r="1656" spans="1:45" ht="15">
      <c r="A1656"/>
      <c r="J1656"/>
      <c r="AA1656"/>
      <c r="AB1656"/>
      <c r="AC1656"/>
      <c r="AD1656"/>
      <c r="AE1656"/>
      <c r="AF1656"/>
      <c r="AG1656"/>
      <c r="AH1656"/>
      <c r="AO1656" s="2"/>
      <c r="AP1656" s="3"/>
      <c r="AQ1656" s="3"/>
      <c r="AR1656" s="3"/>
      <c r="AS1656" s="3"/>
    </row>
    <row r="1657" spans="1:45" ht="15">
      <c r="A1657"/>
      <c r="J1657"/>
      <c r="AA1657"/>
      <c r="AB1657"/>
      <c r="AC1657"/>
      <c r="AD1657"/>
      <c r="AE1657"/>
      <c r="AF1657"/>
      <c r="AG1657"/>
      <c r="AH1657"/>
      <c r="AO1657" s="2"/>
      <c r="AP1657" s="3"/>
      <c r="AQ1657" s="3"/>
      <c r="AR1657" s="3"/>
      <c r="AS1657" s="3"/>
    </row>
    <row r="1658" spans="1:45" ht="15">
      <c r="A1658"/>
      <c r="J1658"/>
      <c r="AA1658"/>
      <c r="AB1658"/>
      <c r="AC1658"/>
      <c r="AD1658"/>
      <c r="AE1658"/>
      <c r="AF1658"/>
      <c r="AG1658"/>
      <c r="AH1658"/>
      <c r="AO1658" s="2"/>
      <c r="AP1658" s="3"/>
      <c r="AQ1658" s="3"/>
      <c r="AR1658" s="3"/>
      <c r="AS1658" s="3"/>
    </row>
    <row r="1659" spans="1:45" ht="15">
      <c r="A1659"/>
      <c r="J1659"/>
      <c r="AA1659"/>
      <c r="AB1659"/>
      <c r="AC1659"/>
      <c r="AD1659"/>
      <c r="AE1659"/>
      <c r="AF1659"/>
      <c r="AG1659"/>
      <c r="AH1659"/>
      <c r="AO1659" s="2"/>
      <c r="AP1659" s="3"/>
      <c r="AQ1659" s="3"/>
      <c r="AR1659" s="3"/>
      <c r="AS1659" s="3"/>
    </row>
    <row r="1660" spans="1:45" ht="15">
      <c r="A1660"/>
      <c r="J1660"/>
      <c r="AA1660"/>
      <c r="AB1660"/>
      <c r="AC1660"/>
      <c r="AD1660"/>
      <c r="AE1660"/>
      <c r="AF1660"/>
      <c r="AG1660"/>
      <c r="AH1660"/>
      <c r="AO1660" s="2"/>
      <c r="AP1660" s="3"/>
      <c r="AQ1660" s="3"/>
      <c r="AR1660" s="3"/>
      <c r="AS1660" s="3"/>
    </row>
    <row r="1661" spans="1:45" ht="15">
      <c r="A1661"/>
      <c r="J1661"/>
      <c r="AA1661"/>
      <c r="AB1661"/>
      <c r="AC1661"/>
      <c r="AD1661"/>
      <c r="AE1661"/>
      <c r="AF1661"/>
      <c r="AG1661"/>
      <c r="AH1661"/>
      <c r="AO1661" s="2"/>
      <c r="AP1661" s="3"/>
      <c r="AQ1661" s="3"/>
      <c r="AR1661" s="3"/>
      <c r="AS1661" s="3"/>
    </row>
    <row r="1662" spans="1:45" ht="15">
      <c r="A1662"/>
      <c r="J1662"/>
      <c r="AA1662"/>
      <c r="AB1662"/>
      <c r="AC1662"/>
      <c r="AD1662"/>
      <c r="AE1662"/>
      <c r="AF1662"/>
      <c r="AG1662"/>
      <c r="AH1662"/>
      <c r="AO1662" s="2"/>
      <c r="AP1662" s="3"/>
      <c r="AQ1662" s="3"/>
      <c r="AR1662" s="3"/>
      <c r="AS1662" s="3"/>
    </row>
    <row r="1663" spans="1:45" ht="15">
      <c r="A1663"/>
      <c r="J1663"/>
      <c r="AA1663"/>
      <c r="AB1663"/>
      <c r="AC1663"/>
      <c r="AD1663"/>
      <c r="AE1663"/>
      <c r="AF1663"/>
      <c r="AG1663"/>
      <c r="AH1663"/>
      <c r="AO1663" s="2"/>
      <c r="AP1663" s="3"/>
      <c r="AQ1663" s="3"/>
      <c r="AR1663" s="3"/>
      <c r="AS1663" s="3"/>
    </row>
    <row r="1664" spans="1:45" ht="15">
      <c r="A1664"/>
      <c r="J1664"/>
      <c r="AA1664"/>
      <c r="AB1664"/>
      <c r="AC1664"/>
      <c r="AD1664"/>
      <c r="AE1664"/>
      <c r="AF1664"/>
      <c r="AG1664"/>
      <c r="AH1664"/>
      <c r="AO1664" s="2"/>
      <c r="AP1664" s="3"/>
      <c r="AQ1664" s="3"/>
      <c r="AR1664" s="3"/>
      <c r="AS1664" s="3"/>
    </row>
    <row r="1665" spans="1:45" ht="15">
      <c r="A1665"/>
      <c r="J1665"/>
      <c r="AA1665"/>
      <c r="AB1665"/>
      <c r="AC1665"/>
      <c r="AD1665"/>
      <c r="AE1665"/>
      <c r="AF1665"/>
      <c r="AG1665"/>
      <c r="AH1665"/>
      <c r="AO1665" s="2"/>
      <c r="AP1665" s="3"/>
      <c r="AQ1665" s="3"/>
      <c r="AR1665" s="3"/>
      <c r="AS1665" s="3"/>
    </row>
    <row r="1666" spans="1:45" ht="15">
      <c r="A1666"/>
      <c r="J1666"/>
      <c r="AA1666"/>
      <c r="AB1666"/>
      <c r="AC1666"/>
      <c r="AD1666"/>
      <c r="AE1666"/>
      <c r="AF1666"/>
      <c r="AG1666"/>
      <c r="AH1666"/>
      <c r="AO1666" s="2"/>
      <c r="AP1666" s="3"/>
      <c r="AQ1666" s="3"/>
      <c r="AR1666" s="3"/>
      <c r="AS1666" s="3"/>
    </row>
    <row r="1667" spans="1:45" ht="15">
      <c r="A1667"/>
      <c r="J1667"/>
      <c r="AA1667"/>
      <c r="AB1667"/>
      <c r="AC1667"/>
      <c r="AD1667"/>
      <c r="AE1667"/>
      <c r="AF1667"/>
      <c r="AG1667"/>
      <c r="AH1667"/>
      <c r="AO1667" s="2"/>
      <c r="AP1667" s="3"/>
      <c r="AQ1667" s="3"/>
      <c r="AR1667" s="3"/>
      <c r="AS1667" s="3"/>
    </row>
    <row r="1668" spans="1:45" ht="15">
      <c r="A1668"/>
      <c r="J1668"/>
      <c r="AA1668"/>
      <c r="AB1668"/>
      <c r="AC1668"/>
      <c r="AD1668"/>
      <c r="AE1668"/>
      <c r="AF1668"/>
      <c r="AG1668"/>
      <c r="AH1668"/>
      <c r="AO1668" s="2"/>
      <c r="AP1668" s="3"/>
      <c r="AQ1668" s="3"/>
      <c r="AR1668" s="3"/>
      <c r="AS1668" s="3"/>
    </row>
    <row r="1669" spans="1:45" ht="15">
      <c r="A1669"/>
      <c r="J1669"/>
      <c r="AA1669"/>
      <c r="AB1669"/>
      <c r="AC1669"/>
      <c r="AD1669"/>
      <c r="AE1669"/>
      <c r="AF1669"/>
      <c r="AG1669"/>
      <c r="AH1669"/>
      <c r="AO1669" s="2"/>
      <c r="AP1669" s="3"/>
      <c r="AQ1669" s="3"/>
      <c r="AR1669" s="3"/>
      <c r="AS1669" s="3"/>
    </row>
    <row r="1670" spans="1:45" ht="15">
      <c r="A1670"/>
      <c r="J1670"/>
      <c r="AA1670"/>
      <c r="AB1670"/>
      <c r="AC1670"/>
      <c r="AD1670"/>
      <c r="AE1670"/>
      <c r="AF1670"/>
      <c r="AG1670"/>
      <c r="AH1670"/>
      <c r="AO1670" s="2"/>
      <c r="AP1670" s="3"/>
      <c r="AQ1670" s="3"/>
      <c r="AR1670" s="3"/>
      <c r="AS1670" s="3"/>
    </row>
    <row r="1671" spans="1:45" ht="15">
      <c r="A1671"/>
      <c r="J1671"/>
      <c r="AA1671"/>
      <c r="AB1671"/>
      <c r="AC1671"/>
      <c r="AD1671"/>
      <c r="AE1671"/>
      <c r="AF1671"/>
      <c r="AG1671"/>
      <c r="AH1671"/>
      <c r="AO1671" s="2"/>
      <c r="AP1671" s="3"/>
      <c r="AQ1671" s="3"/>
      <c r="AR1671" s="3"/>
      <c r="AS1671" s="3"/>
    </row>
    <row r="1672" spans="1:45" ht="15">
      <c r="A1672"/>
      <c r="J1672"/>
      <c r="AA1672"/>
      <c r="AB1672"/>
      <c r="AC1672"/>
      <c r="AD1672"/>
      <c r="AE1672"/>
      <c r="AF1672"/>
      <c r="AG1672"/>
      <c r="AH1672"/>
      <c r="AO1672" s="2"/>
      <c r="AP1672" s="3"/>
      <c r="AQ1672" s="3"/>
      <c r="AR1672" s="3"/>
      <c r="AS1672" s="3"/>
    </row>
    <row r="1673" spans="1:45" ht="15">
      <c r="A1673"/>
      <c r="J1673"/>
      <c r="AA1673"/>
      <c r="AB1673"/>
      <c r="AC1673"/>
      <c r="AD1673"/>
      <c r="AE1673"/>
      <c r="AF1673"/>
      <c r="AG1673"/>
      <c r="AH1673"/>
      <c r="AO1673" s="2"/>
      <c r="AP1673" s="3"/>
      <c r="AQ1673" s="3"/>
      <c r="AR1673" s="3"/>
      <c r="AS1673" s="3"/>
    </row>
    <row r="1674" spans="1:45" ht="15">
      <c r="A1674"/>
      <c r="J1674"/>
      <c r="AA1674"/>
      <c r="AB1674"/>
      <c r="AC1674"/>
      <c r="AD1674"/>
      <c r="AE1674"/>
      <c r="AF1674"/>
      <c r="AG1674"/>
      <c r="AH1674"/>
      <c r="AO1674" s="2"/>
      <c r="AP1674" s="3"/>
      <c r="AQ1674" s="3"/>
      <c r="AR1674" s="3"/>
      <c r="AS1674" s="3"/>
    </row>
    <row r="1675" spans="1:45" ht="15">
      <c r="A1675"/>
      <c r="J1675"/>
      <c r="AA1675"/>
      <c r="AB1675"/>
      <c r="AC1675"/>
      <c r="AD1675"/>
      <c r="AE1675"/>
      <c r="AF1675"/>
      <c r="AG1675"/>
      <c r="AH1675"/>
      <c r="AO1675" s="2"/>
      <c r="AP1675" s="3"/>
      <c r="AQ1675" s="3"/>
      <c r="AR1675" s="3"/>
      <c r="AS1675" s="3"/>
    </row>
    <row r="1676" spans="1:45" ht="15">
      <c r="A1676"/>
      <c r="J1676"/>
      <c r="AA1676"/>
      <c r="AB1676"/>
      <c r="AC1676"/>
      <c r="AD1676"/>
      <c r="AE1676"/>
      <c r="AF1676"/>
      <c r="AG1676"/>
      <c r="AH1676"/>
      <c r="AO1676" s="2"/>
      <c r="AP1676" s="3"/>
      <c r="AQ1676" s="3"/>
      <c r="AR1676" s="3"/>
      <c r="AS1676" s="3"/>
    </row>
    <row r="1677" spans="1:45" ht="15">
      <c r="A1677"/>
      <c r="J1677"/>
      <c r="AA1677"/>
      <c r="AB1677"/>
      <c r="AC1677"/>
      <c r="AD1677"/>
      <c r="AE1677"/>
      <c r="AF1677"/>
      <c r="AG1677"/>
      <c r="AH1677"/>
      <c r="AO1677" s="2"/>
      <c r="AP1677" s="3"/>
      <c r="AQ1677" s="3"/>
      <c r="AR1677" s="3"/>
      <c r="AS1677" s="3"/>
    </row>
    <row r="1678" spans="1:45" ht="15">
      <c r="A1678"/>
      <c r="J1678"/>
      <c r="AA1678"/>
      <c r="AB1678"/>
      <c r="AC1678"/>
      <c r="AD1678"/>
      <c r="AE1678"/>
      <c r="AF1678"/>
      <c r="AG1678"/>
      <c r="AH1678"/>
      <c r="AO1678" s="2"/>
      <c r="AP1678" s="3"/>
      <c r="AQ1678" s="3"/>
      <c r="AR1678" s="3"/>
      <c r="AS1678" s="3"/>
    </row>
    <row r="1679" spans="1:45" ht="15">
      <c r="A1679"/>
      <c r="J1679"/>
      <c r="AA1679"/>
      <c r="AB1679"/>
      <c r="AC1679"/>
      <c r="AD1679"/>
      <c r="AE1679"/>
      <c r="AF1679"/>
      <c r="AG1679"/>
      <c r="AH1679"/>
      <c r="AO1679" s="2"/>
      <c r="AP1679" s="3"/>
      <c r="AQ1679" s="3"/>
      <c r="AR1679" s="3"/>
      <c r="AS1679" s="3"/>
    </row>
    <row r="1680" spans="1:45" ht="15">
      <c r="A1680"/>
      <c r="J1680"/>
      <c r="AA1680"/>
      <c r="AB1680"/>
      <c r="AC1680"/>
      <c r="AD1680"/>
      <c r="AE1680"/>
      <c r="AF1680"/>
      <c r="AG1680"/>
      <c r="AH1680"/>
      <c r="AO1680" s="2"/>
      <c r="AP1680" s="3"/>
      <c r="AQ1680" s="3"/>
      <c r="AR1680" s="3"/>
      <c r="AS1680" s="3"/>
    </row>
    <row r="1681" spans="1:45" ht="15">
      <c r="A1681"/>
      <c r="J1681"/>
      <c r="AA1681"/>
      <c r="AB1681"/>
      <c r="AC1681"/>
      <c r="AD1681"/>
      <c r="AE1681"/>
      <c r="AF1681"/>
      <c r="AG1681"/>
      <c r="AH1681"/>
      <c r="AO1681" s="2"/>
      <c r="AP1681" s="3"/>
      <c r="AQ1681" s="3"/>
      <c r="AR1681" s="3"/>
      <c r="AS1681" s="3"/>
    </row>
    <row r="1682" spans="1:45" ht="15">
      <c r="A1682"/>
      <c r="J1682"/>
      <c r="AA1682"/>
      <c r="AB1682"/>
      <c r="AC1682"/>
      <c r="AD1682"/>
      <c r="AE1682"/>
      <c r="AF1682"/>
      <c r="AG1682"/>
      <c r="AH1682"/>
      <c r="AO1682" s="2"/>
      <c r="AP1682" s="3"/>
      <c r="AQ1682" s="3"/>
      <c r="AR1682" s="3"/>
      <c r="AS1682" s="3"/>
    </row>
    <row r="1683" spans="1:45" ht="15">
      <c r="A1683"/>
      <c r="J1683"/>
      <c r="AA1683"/>
      <c r="AB1683"/>
      <c r="AC1683"/>
      <c r="AD1683"/>
      <c r="AE1683"/>
      <c r="AF1683"/>
      <c r="AG1683"/>
      <c r="AH1683"/>
      <c r="AO1683" s="2"/>
      <c r="AP1683" s="3"/>
      <c r="AQ1683" s="3"/>
      <c r="AR1683" s="3"/>
      <c r="AS1683" s="3"/>
    </row>
    <row r="1684" spans="1:45" ht="15">
      <c r="A1684"/>
      <c r="J1684"/>
      <c r="AA1684"/>
      <c r="AB1684"/>
      <c r="AC1684"/>
      <c r="AD1684"/>
      <c r="AE1684"/>
      <c r="AF1684"/>
      <c r="AG1684"/>
      <c r="AH1684"/>
      <c r="AO1684" s="2"/>
      <c r="AP1684" s="3"/>
      <c r="AQ1684" s="3"/>
      <c r="AR1684" s="3"/>
      <c r="AS1684" s="3"/>
    </row>
    <row r="1685" spans="1:45" ht="15">
      <c r="A1685"/>
      <c r="J1685"/>
      <c r="AA1685"/>
      <c r="AB1685"/>
      <c r="AC1685"/>
      <c r="AD1685"/>
      <c r="AE1685"/>
      <c r="AF1685"/>
      <c r="AG1685"/>
      <c r="AH1685"/>
      <c r="AO1685" s="2"/>
      <c r="AP1685" s="3"/>
      <c r="AQ1685" s="3"/>
      <c r="AR1685" s="3"/>
      <c r="AS1685" s="3"/>
    </row>
    <row r="1686" spans="1:45" ht="15">
      <c r="A1686"/>
      <c r="J1686"/>
      <c r="AA1686"/>
      <c r="AB1686"/>
      <c r="AC1686"/>
      <c r="AD1686"/>
      <c r="AE1686"/>
      <c r="AF1686"/>
      <c r="AG1686"/>
      <c r="AH1686"/>
      <c r="AO1686" s="2"/>
      <c r="AP1686" s="3"/>
      <c r="AQ1686" s="3"/>
      <c r="AR1686" s="3"/>
      <c r="AS1686" s="3"/>
    </row>
    <row r="1687" spans="1:45" ht="15">
      <c r="A1687"/>
      <c r="J1687"/>
      <c r="AA1687"/>
      <c r="AB1687"/>
      <c r="AC1687"/>
      <c r="AD1687"/>
      <c r="AE1687"/>
      <c r="AF1687"/>
      <c r="AG1687"/>
      <c r="AH1687"/>
      <c r="AO1687" s="2"/>
      <c r="AP1687" s="3"/>
      <c r="AQ1687" s="3"/>
      <c r="AR1687" s="3"/>
      <c r="AS1687" s="3"/>
    </row>
    <row r="1688" spans="1:45" ht="15">
      <c r="A1688"/>
      <c r="J1688"/>
      <c r="AA1688"/>
      <c r="AB1688"/>
      <c r="AC1688"/>
      <c r="AD1688"/>
      <c r="AE1688"/>
      <c r="AF1688"/>
      <c r="AG1688"/>
      <c r="AH1688"/>
      <c r="AO1688" s="2"/>
      <c r="AP1688" s="3"/>
      <c r="AQ1688" s="3"/>
      <c r="AR1688" s="3"/>
      <c r="AS1688" s="3"/>
    </row>
    <row r="1689" spans="1:45" ht="15">
      <c r="A1689"/>
      <c r="J1689"/>
      <c r="AA1689"/>
      <c r="AB1689"/>
      <c r="AC1689"/>
      <c r="AD1689"/>
      <c r="AE1689"/>
      <c r="AF1689"/>
      <c r="AG1689"/>
      <c r="AH1689"/>
      <c r="AO1689" s="2"/>
      <c r="AP1689" s="3"/>
      <c r="AQ1689" s="3"/>
      <c r="AR1689" s="3"/>
      <c r="AS1689" s="3"/>
    </row>
    <row r="1690" spans="1:45" ht="15">
      <c r="A1690"/>
      <c r="J1690"/>
      <c r="AA1690"/>
      <c r="AB1690"/>
      <c r="AC1690"/>
      <c r="AD1690"/>
      <c r="AE1690"/>
      <c r="AF1690"/>
      <c r="AG1690"/>
      <c r="AH1690"/>
      <c r="AO1690" s="2"/>
      <c r="AP1690" s="3"/>
      <c r="AQ1690" s="3"/>
      <c r="AR1690" s="3"/>
      <c r="AS1690" s="3"/>
    </row>
    <row r="1691" spans="1:45" ht="15">
      <c r="A1691"/>
      <c r="J1691"/>
      <c r="AA1691"/>
      <c r="AB1691"/>
      <c r="AC1691"/>
      <c r="AD1691"/>
      <c r="AE1691"/>
      <c r="AF1691"/>
      <c r="AG1691"/>
      <c r="AH1691"/>
      <c r="AO1691" s="2"/>
      <c r="AP1691" s="3"/>
      <c r="AQ1691" s="3"/>
      <c r="AR1691" s="3"/>
      <c r="AS1691" s="3"/>
    </row>
    <row r="1692" spans="1:45" ht="15">
      <c r="A1692"/>
      <c r="J1692"/>
      <c r="AA1692"/>
      <c r="AB1692"/>
      <c r="AC1692"/>
      <c r="AD1692"/>
      <c r="AE1692"/>
      <c r="AF1692"/>
      <c r="AG1692"/>
      <c r="AH1692"/>
      <c r="AO1692" s="2"/>
      <c r="AP1692" s="3"/>
      <c r="AQ1692" s="3"/>
      <c r="AR1692" s="3"/>
      <c r="AS1692" s="3"/>
    </row>
    <row r="1693" spans="1:45" ht="15">
      <c r="A1693"/>
      <c r="J1693"/>
      <c r="AA1693"/>
      <c r="AB1693"/>
      <c r="AC1693"/>
      <c r="AD1693"/>
      <c r="AE1693"/>
      <c r="AF1693"/>
      <c r="AG1693"/>
      <c r="AH1693"/>
      <c r="AO1693" s="2"/>
      <c r="AP1693" s="3"/>
      <c r="AQ1693" s="3"/>
      <c r="AR1693" s="3"/>
      <c r="AS1693" s="3"/>
    </row>
    <row r="1694" spans="1:45" ht="15">
      <c r="A1694"/>
      <c r="J1694"/>
      <c r="AA1694"/>
      <c r="AB1694"/>
      <c r="AC1694"/>
      <c r="AD1694"/>
      <c r="AE1694"/>
      <c r="AF1694"/>
      <c r="AG1694"/>
      <c r="AH1694"/>
      <c r="AO1694" s="2"/>
      <c r="AP1694" s="3"/>
      <c r="AQ1694" s="3"/>
      <c r="AR1694" s="3"/>
      <c r="AS1694" s="3"/>
    </row>
    <row r="1695" spans="1:45" ht="15">
      <c r="A1695"/>
      <c r="J1695"/>
      <c r="AA1695"/>
      <c r="AB1695"/>
      <c r="AC1695"/>
      <c r="AD1695"/>
      <c r="AE1695"/>
      <c r="AF1695"/>
      <c r="AG1695"/>
      <c r="AH1695"/>
      <c r="AO1695" s="2"/>
      <c r="AP1695" s="3"/>
      <c r="AQ1695" s="3"/>
      <c r="AR1695" s="3"/>
      <c r="AS1695" s="3"/>
    </row>
    <row r="1696" spans="1:45" ht="15">
      <c r="A1696"/>
      <c r="J1696"/>
      <c r="AA1696"/>
      <c r="AB1696"/>
      <c r="AC1696"/>
      <c r="AD1696"/>
      <c r="AE1696"/>
      <c r="AF1696"/>
      <c r="AG1696"/>
      <c r="AH1696"/>
      <c r="AO1696" s="2"/>
      <c r="AP1696" s="3"/>
      <c r="AQ1696" s="3"/>
      <c r="AR1696" s="3"/>
      <c r="AS1696" s="3"/>
    </row>
    <row r="1697" spans="1:45" ht="15">
      <c r="A1697"/>
      <c r="J1697"/>
      <c r="AA1697"/>
      <c r="AB1697"/>
      <c r="AC1697"/>
      <c r="AD1697"/>
      <c r="AE1697"/>
      <c r="AF1697"/>
      <c r="AG1697"/>
      <c r="AH1697"/>
      <c r="AO1697" s="2"/>
      <c r="AP1697" s="3"/>
      <c r="AQ1697" s="3"/>
      <c r="AR1697" s="3"/>
      <c r="AS1697" s="3"/>
    </row>
    <row r="1698" spans="1:45" ht="15">
      <c r="A1698"/>
      <c r="J1698"/>
      <c r="AA1698"/>
      <c r="AB1698"/>
      <c r="AC1698"/>
      <c r="AD1698"/>
      <c r="AE1698"/>
      <c r="AF1698"/>
      <c r="AG1698"/>
      <c r="AH1698"/>
      <c r="AO1698" s="2"/>
      <c r="AP1698" s="3"/>
      <c r="AQ1698" s="3"/>
      <c r="AR1698" s="3"/>
      <c r="AS1698" s="3"/>
    </row>
    <row r="1699" spans="1:45" ht="15">
      <c r="A1699"/>
      <c r="J1699"/>
      <c r="AA1699"/>
      <c r="AB1699"/>
      <c r="AC1699"/>
      <c r="AD1699"/>
      <c r="AE1699"/>
      <c r="AF1699"/>
      <c r="AG1699"/>
      <c r="AH1699"/>
      <c r="AO1699" s="2"/>
      <c r="AP1699" s="3"/>
      <c r="AQ1699" s="3"/>
      <c r="AR1699" s="3"/>
      <c r="AS1699" s="3"/>
    </row>
    <row r="1700" spans="1:45" ht="15">
      <c r="A1700"/>
      <c r="J1700"/>
      <c r="AA1700"/>
      <c r="AB1700"/>
      <c r="AC1700"/>
      <c r="AD1700"/>
      <c r="AE1700"/>
      <c r="AF1700"/>
      <c r="AG1700"/>
      <c r="AH1700"/>
      <c r="AO1700" s="2"/>
      <c r="AP1700" s="3"/>
      <c r="AQ1700" s="3"/>
      <c r="AR1700" s="3"/>
      <c r="AS1700" s="3"/>
    </row>
    <row r="1701" spans="1:45" ht="15">
      <c r="A1701"/>
      <c r="J1701"/>
      <c r="AA1701"/>
      <c r="AB1701"/>
      <c r="AC1701"/>
      <c r="AD1701"/>
      <c r="AE1701"/>
      <c r="AF1701"/>
      <c r="AG1701"/>
      <c r="AH1701"/>
      <c r="AO1701" s="2"/>
      <c r="AP1701" s="3"/>
      <c r="AQ1701" s="3"/>
      <c r="AR1701" s="3"/>
      <c r="AS1701" s="3"/>
    </row>
    <row r="1702" spans="1:45" ht="15">
      <c r="A1702"/>
      <c r="J1702"/>
      <c r="AA1702"/>
      <c r="AB1702"/>
      <c r="AC1702"/>
      <c r="AD1702"/>
      <c r="AE1702"/>
      <c r="AF1702"/>
      <c r="AG1702"/>
      <c r="AH1702"/>
      <c r="AO1702" s="2"/>
      <c r="AP1702" s="3"/>
      <c r="AQ1702" s="3"/>
      <c r="AR1702" s="3"/>
      <c r="AS1702" s="3"/>
    </row>
    <row r="1703" spans="1:45" ht="15">
      <c r="A1703"/>
      <c r="J1703"/>
      <c r="AA1703"/>
      <c r="AB1703"/>
      <c r="AC1703"/>
      <c r="AD1703"/>
      <c r="AE1703"/>
      <c r="AF1703"/>
      <c r="AG1703"/>
      <c r="AH1703"/>
      <c r="AO1703" s="2"/>
      <c r="AP1703" s="3"/>
      <c r="AQ1703" s="3"/>
      <c r="AR1703" s="3"/>
      <c r="AS1703" s="3"/>
    </row>
    <row r="1704" spans="1:45" ht="15">
      <c r="A1704"/>
      <c r="J1704"/>
      <c r="AA1704"/>
      <c r="AB1704"/>
      <c r="AC1704"/>
      <c r="AD1704"/>
      <c r="AE1704"/>
      <c r="AF1704"/>
      <c r="AG1704"/>
      <c r="AH1704"/>
      <c r="AO1704" s="2"/>
      <c r="AP1704" s="3"/>
      <c r="AQ1704" s="3"/>
      <c r="AR1704" s="3"/>
      <c r="AS1704" s="3"/>
    </row>
    <row r="1705" spans="1:45" ht="15">
      <c r="A1705"/>
      <c r="J1705"/>
      <c r="AA1705"/>
      <c r="AB1705"/>
      <c r="AC1705"/>
      <c r="AD1705"/>
      <c r="AE1705"/>
      <c r="AF1705"/>
      <c r="AG1705"/>
      <c r="AH1705"/>
      <c r="AO1705" s="2"/>
      <c r="AP1705" s="3"/>
      <c r="AQ1705" s="3"/>
      <c r="AR1705" s="3"/>
      <c r="AS1705" s="3"/>
    </row>
    <row r="1706" spans="1:45" ht="15">
      <c r="A1706"/>
      <c r="J1706"/>
      <c r="AA1706"/>
      <c r="AB1706"/>
      <c r="AC1706"/>
      <c r="AD1706"/>
      <c r="AE1706"/>
      <c r="AF1706"/>
      <c r="AG1706"/>
      <c r="AH1706"/>
      <c r="AO1706" s="2"/>
      <c r="AP1706" s="3"/>
      <c r="AQ1706" s="3"/>
      <c r="AR1706" s="3"/>
      <c r="AS1706" s="3"/>
    </row>
    <row r="1707" spans="1:45" ht="15">
      <c r="A1707"/>
      <c r="J1707"/>
      <c r="AA1707"/>
      <c r="AB1707"/>
      <c r="AC1707"/>
      <c r="AD1707"/>
      <c r="AE1707"/>
      <c r="AF1707"/>
      <c r="AG1707"/>
      <c r="AH1707"/>
      <c r="AO1707" s="2"/>
      <c r="AP1707" s="3"/>
      <c r="AQ1707" s="3"/>
      <c r="AR1707" s="3"/>
      <c r="AS1707" s="3"/>
    </row>
    <row r="1708" spans="1:45" ht="15">
      <c r="A1708"/>
      <c r="J1708"/>
      <c r="AA1708"/>
      <c r="AB1708"/>
      <c r="AC1708"/>
      <c r="AD1708"/>
      <c r="AE1708"/>
      <c r="AF1708"/>
      <c r="AG1708"/>
      <c r="AH1708"/>
      <c r="AO1708" s="2"/>
      <c r="AP1708" s="3"/>
      <c r="AQ1708" s="3"/>
      <c r="AR1708" s="3"/>
      <c r="AS1708" s="3"/>
    </row>
    <row r="1709" spans="1:45" ht="15">
      <c r="A1709"/>
      <c r="J1709"/>
      <c r="AA1709"/>
      <c r="AB1709"/>
      <c r="AC1709"/>
      <c r="AD1709"/>
      <c r="AE1709"/>
      <c r="AF1709"/>
      <c r="AG1709"/>
      <c r="AH1709"/>
      <c r="AO1709" s="2"/>
      <c r="AP1709" s="3"/>
      <c r="AQ1709" s="3"/>
      <c r="AR1709" s="3"/>
      <c r="AS1709" s="3"/>
    </row>
    <row r="1710" spans="1:45" ht="15">
      <c r="A1710"/>
      <c r="J1710"/>
      <c r="AA1710"/>
      <c r="AB1710"/>
      <c r="AC1710"/>
      <c r="AD1710"/>
      <c r="AE1710"/>
      <c r="AF1710"/>
      <c r="AG1710"/>
      <c r="AH1710"/>
      <c r="AO1710" s="2"/>
      <c r="AP1710" s="3"/>
      <c r="AQ1710" s="3"/>
      <c r="AR1710" s="3"/>
      <c r="AS1710" s="3"/>
    </row>
    <row r="1711" spans="1:45" ht="15">
      <c r="A1711"/>
      <c r="J1711"/>
      <c r="AA1711"/>
      <c r="AB1711"/>
      <c r="AC1711"/>
      <c r="AD1711"/>
      <c r="AE1711"/>
      <c r="AF1711"/>
      <c r="AG1711"/>
      <c r="AH1711"/>
      <c r="AO1711" s="2"/>
      <c r="AP1711" s="3"/>
      <c r="AQ1711" s="3"/>
      <c r="AR1711" s="3"/>
      <c r="AS1711" s="3"/>
    </row>
    <row r="1712" spans="1:45" ht="15">
      <c r="A1712"/>
      <c r="J1712"/>
      <c r="AA1712"/>
      <c r="AB1712"/>
      <c r="AC1712"/>
      <c r="AD1712"/>
      <c r="AE1712"/>
      <c r="AF1712"/>
      <c r="AG1712"/>
      <c r="AH1712"/>
      <c r="AO1712" s="2"/>
      <c r="AP1712" s="3"/>
      <c r="AQ1712" s="3"/>
      <c r="AR1712" s="3"/>
      <c r="AS1712" s="3"/>
    </row>
    <row r="1713" spans="1:45" ht="15">
      <c r="A1713"/>
      <c r="J1713"/>
      <c r="AA1713"/>
      <c r="AB1713"/>
      <c r="AC1713"/>
      <c r="AD1713"/>
      <c r="AE1713"/>
      <c r="AF1713"/>
      <c r="AG1713"/>
      <c r="AH1713"/>
      <c r="AO1713" s="2"/>
      <c r="AP1713" s="3"/>
      <c r="AQ1713" s="3"/>
      <c r="AR1713" s="3"/>
      <c r="AS1713" s="3"/>
    </row>
    <row r="1714" spans="1:45" ht="15">
      <c r="A1714"/>
      <c r="J1714"/>
      <c r="AA1714"/>
      <c r="AB1714"/>
      <c r="AC1714"/>
      <c r="AD1714"/>
      <c r="AE1714"/>
      <c r="AF1714"/>
      <c r="AG1714"/>
      <c r="AH1714"/>
      <c r="AO1714" s="2"/>
      <c r="AP1714" s="3"/>
      <c r="AQ1714" s="3"/>
      <c r="AR1714" s="3"/>
      <c r="AS1714" s="3"/>
    </row>
    <row r="1715" spans="1:45" ht="15">
      <c r="A1715"/>
      <c r="J1715"/>
      <c r="AA1715"/>
      <c r="AB1715"/>
      <c r="AC1715"/>
      <c r="AD1715"/>
      <c r="AE1715"/>
      <c r="AF1715"/>
      <c r="AG1715"/>
      <c r="AH1715"/>
      <c r="AO1715" s="2"/>
      <c r="AP1715" s="3"/>
      <c r="AQ1715" s="3"/>
      <c r="AR1715" s="3"/>
      <c r="AS1715" s="3"/>
    </row>
    <row r="1716" spans="1:45" ht="15">
      <c r="A1716"/>
      <c r="J1716"/>
      <c r="AA1716"/>
      <c r="AB1716"/>
      <c r="AC1716"/>
      <c r="AD1716"/>
      <c r="AE1716"/>
      <c r="AF1716"/>
      <c r="AG1716"/>
      <c r="AH1716"/>
      <c r="AO1716" s="2"/>
      <c r="AP1716" s="3"/>
      <c r="AQ1716" s="3"/>
      <c r="AR1716" s="3"/>
      <c r="AS1716" s="3"/>
    </row>
    <row r="1717" spans="1:45" ht="15">
      <c r="A1717"/>
      <c r="J1717"/>
      <c r="AA1717"/>
      <c r="AB1717"/>
      <c r="AC1717"/>
      <c r="AD1717"/>
      <c r="AE1717"/>
      <c r="AF1717"/>
      <c r="AG1717"/>
      <c r="AH1717"/>
      <c r="AO1717" s="2"/>
      <c r="AP1717" s="3"/>
      <c r="AQ1717" s="3"/>
      <c r="AR1717" s="3"/>
      <c r="AS1717" s="3"/>
    </row>
    <row r="1718" spans="1:45" ht="15">
      <c r="A1718"/>
      <c r="J1718"/>
      <c r="AA1718"/>
      <c r="AB1718"/>
      <c r="AC1718"/>
      <c r="AD1718"/>
      <c r="AE1718"/>
      <c r="AF1718"/>
      <c r="AG1718"/>
      <c r="AH1718"/>
      <c r="AO1718" s="2"/>
      <c r="AP1718" s="3"/>
      <c r="AQ1718" s="3"/>
      <c r="AR1718" s="3"/>
      <c r="AS1718" s="3"/>
    </row>
    <row r="1719" spans="1:45" ht="15">
      <c r="A1719"/>
      <c r="J1719"/>
      <c r="AA1719"/>
      <c r="AB1719"/>
      <c r="AC1719"/>
      <c r="AD1719"/>
      <c r="AE1719"/>
      <c r="AF1719"/>
      <c r="AG1719"/>
      <c r="AH1719"/>
      <c r="AO1719" s="2"/>
      <c r="AP1719" s="3"/>
      <c r="AQ1719" s="3"/>
      <c r="AR1719" s="3"/>
      <c r="AS1719" s="3"/>
    </row>
    <row r="1720" spans="1:45" ht="15">
      <c r="A1720"/>
      <c r="J1720"/>
      <c r="AA1720"/>
      <c r="AB1720"/>
      <c r="AC1720"/>
      <c r="AD1720"/>
      <c r="AE1720"/>
      <c r="AF1720"/>
      <c r="AG1720"/>
      <c r="AH1720"/>
      <c r="AO1720" s="2"/>
      <c r="AP1720" s="3"/>
      <c r="AQ1720" s="3"/>
      <c r="AR1720" s="3"/>
      <c r="AS1720" s="3"/>
    </row>
    <row r="1721" spans="1:45" ht="15">
      <c r="A1721"/>
      <c r="J1721"/>
      <c r="AA1721"/>
      <c r="AB1721"/>
      <c r="AC1721"/>
      <c r="AD1721"/>
      <c r="AE1721"/>
      <c r="AF1721"/>
      <c r="AG1721"/>
      <c r="AH1721"/>
      <c r="AO1721" s="2"/>
      <c r="AP1721" s="3"/>
      <c r="AQ1721" s="3"/>
      <c r="AR1721" s="3"/>
      <c r="AS1721" s="3"/>
    </row>
    <row r="1722" spans="1:45" ht="15">
      <c r="A1722"/>
      <c r="J1722"/>
      <c r="AA1722"/>
      <c r="AB1722"/>
      <c r="AC1722"/>
      <c r="AD1722"/>
      <c r="AE1722"/>
      <c r="AF1722"/>
      <c r="AG1722"/>
      <c r="AH1722"/>
      <c r="AO1722" s="2"/>
      <c r="AP1722" s="3"/>
      <c r="AQ1722" s="3"/>
      <c r="AR1722" s="3"/>
      <c r="AS1722" s="3"/>
    </row>
    <row r="1723" spans="1:45" ht="15">
      <c r="A1723"/>
      <c r="J1723"/>
      <c r="AA1723"/>
      <c r="AB1723"/>
      <c r="AC1723"/>
      <c r="AD1723"/>
      <c r="AE1723"/>
      <c r="AF1723"/>
      <c r="AG1723"/>
      <c r="AH1723"/>
      <c r="AO1723" s="2"/>
      <c r="AP1723" s="3"/>
      <c r="AQ1723" s="3"/>
      <c r="AR1723" s="3"/>
      <c r="AS1723" s="3"/>
    </row>
    <row r="1724" spans="1:45" ht="15">
      <c r="A1724"/>
      <c r="J1724"/>
      <c r="AA1724"/>
      <c r="AB1724"/>
      <c r="AC1724"/>
      <c r="AD1724"/>
      <c r="AE1724"/>
      <c r="AF1724"/>
      <c r="AG1724"/>
      <c r="AH1724"/>
      <c r="AO1724" s="2"/>
      <c r="AP1724" s="3"/>
      <c r="AQ1724" s="3"/>
      <c r="AR1724" s="3"/>
      <c r="AS1724" s="3"/>
    </row>
    <row r="1725" spans="1:45" ht="15">
      <c r="A1725"/>
      <c r="J1725"/>
      <c r="AA1725"/>
      <c r="AB1725"/>
      <c r="AC1725"/>
      <c r="AD1725"/>
      <c r="AE1725"/>
      <c r="AF1725"/>
      <c r="AG1725"/>
      <c r="AH1725"/>
      <c r="AO1725" s="2"/>
      <c r="AP1725" s="3"/>
      <c r="AQ1725" s="3"/>
      <c r="AR1725" s="3"/>
      <c r="AS1725" s="3"/>
    </row>
    <row r="1726" spans="1:45" ht="15">
      <c r="A1726"/>
      <c r="J1726"/>
      <c r="AA1726"/>
      <c r="AB1726"/>
      <c r="AC1726"/>
      <c r="AD1726"/>
      <c r="AE1726"/>
      <c r="AF1726"/>
      <c r="AG1726"/>
      <c r="AH1726"/>
      <c r="AO1726" s="2"/>
      <c r="AP1726" s="3"/>
      <c r="AQ1726" s="3"/>
      <c r="AR1726" s="3"/>
      <c r="AS1726" s="3"/>
    </row>
    <row r="1727" spans="1:45" ht="15">
      <c r="A1727"/>
      <c r="J1727"/>
      <c r="AA1727"/>
      <c r="AB1727"/>
      <c r="AC1727"/>
      <c r="AD1727"/>
      <c r="AE1727"/>
      <c r="AF1727"/>
      <c r="AG1727"/>
      <c r="AH1727"/>
      <c r="AO1727" s="2"/>
      <c r="AP1727" s="3"/>
      <c r="AQ1727" s="3"/>
      <c r="AR1727" s="3"/>
      <c r="AS1727" s="3"/>
    </row>
    <row r="1728" spans="1:45" ht="15">
      <c r="A1728"/>
      <c r="J1728"/>
      <c r="AA1728"/>
      <c r="AB1728"/>
      <c r="AC1728"/>
      <c r="AD1728"/>
      <c r="AE1728"/>
      <c r="AF1728"/>
      <c r="AG1728"/>
      <c r="AH1728"/>
      <c r="AO1728" s="2"/>
      <c r="AP1728" s="3"/>
      <c r="AQ1728" s="3"/>
      <c r="AR1728" s="3"/>
      <c r="AS1728" s="3"/>
    </row>
    <row r="1729" spans="1:45" ht="15">
      <c r="A1729"/>
      <c r="J1729"/>
      <c r="AA1729"/>
      <c r="AB1729"/>
      <c r="AC1729"/>
      <c r="AD1729"/>
      <c r="AE1729"/>
      <c r="AF1729"/>
      <c r="AG1729"/>
      <c r="AH1729"/>
      <c r="AO1729" s="2"/>
      <c r="AP1729" s="3"/>
      <c r="AQ1729" s="3"/>
      <c r="AR1729" s="3"/>
      <c r="AS1729" s="3"/>
    </row>
    <row r="1730" spans="1:45" ht="15">
      <c r="A1730"/>
      <c r="J1730"/>
      <c r="AA1730"/>
      <c r="AB1730"/>
      <c r="AC1730"/>
      <c r="AD1730"/>
      <c r="AE1730"/>
      <c r="AF1730"/>
      <c r="AG1730"/>
      <c r="AH1730"/>
      <c r="AO1730" s="2"/>
      <c r="AP1730" s="3"/>
      <c r="AQ1730" s="3"/>
      <c r="AR1730" s="3"/>
      <c r="AS1730" s="3"/>
    </row>
    <row r="1731" spans="1:45" ht="15">
      <c r="A1731"/>
      <c r="J1731"/>
      <c r="AA1731"/>
      <c r="AB1731"/>
      <c r="AC1731"/>
      <c r="AD1731"/>
      <c r="AE1731"/>
      <c r="AF1731"/>
      <c r="AG1731"/>
      <c r="AH1731"/>
      <c r="AO1731" s="2"/>
      <c r="AP1731" s="3"/>
      <c r="AQ1731" s="3"/>
      <c r="AR1731" s="3"/>
      <c r="AS1731" s="3"/>
    </row>
    <row r="1732" spans="1:45" ht="15">
      <c r="A1732"/>
      <c r="J1732"/>
      <c r="AA1732"/>
      <c r="AB1732"/>
      <c r="AC1732"/>
      <c r="AD1732"/>
      <c r="AE1732"/>
      <c r="AF1732"/>
      <c r="AG1732"/>
      <c r="AH1732"/>
      <c r="AO1732" s="2"/>
      <c r="AP1732" s="3"/>
      <c r="AQ1732" s="3"/>
      <c r="AR1732" s="3"/>
      <c r="AS1732" s="3"/>
    </row>
    <row r="1733" spans="1:45" ht="15">
      <c r="A1733"/>
      <c r="J1733"/>
      <c r="AA1733"/>
      <c r="AB1733"/>
      <c r="AC1733"/>
      <c r="AD1733"/>
      <c r="AE1733"/>
      <c r="AF1733"/>
      <c r="AG1733"/>
      <c r="AH1733"/>
      <c r="AO1733" s="2"/>
      <c r="AP1733" s="3"/>
      <c r="AQ1733" s="3"/>
      <c r="AR1733" s="3"/>
      <c r="AS1733" s="3"/>
    </row>
    <row r="1734" spans="1:45" ht="15">
      <c r="A1734"/>
      <c r="J1734"/>
      <c r="AA1734"/>
      <c r="AB1734"/>
      <c r="AC1734"/>
      <c r="AD1734"/>
      <c r="AE1734"/>
      <c r="AF1734"/>
      <c r="AG1734"/>
      <c r="AH1734"/>
      <c r="AO1734" s="2"/>
      <c r="AP1734" s="3"/>
      <c r="AQ1734" s="3"/>
      <c r="AR1734" s="3"/>
      <c r="AS1734" s="3"/>
    </row>
    <row r="1735" spans="1:45" ht="15">
      <c r="A1735"/>
      <c r="J1735"/>
      <c r="AA1735"/>
      <c r="AB1735"/>
      <c r="AC1735"/>
      <c r="AD1735"/>
      <c r="AE1735"/>
      <c r="AF1735"/>
      <c r="AG1735"/>
      <c r="AH1735"/>
      <c r="AO1735" s="2"/>
      <c r="AP1735" s="3"/>
      <c r="AQ1735" s="3"/>
      <c r="AR1735" s="3"/>
      <c r="AS1735" s="3"/>
    </row>
    <row r="1736" spans="1:45" ht="15">
      <c r="A1736"/>
      <c r="J1736"/>
      <c r="AA1736"/>
      <c r="AB1736"/>
      <c r="AC1736"/>
      <c r="AD1736"/>
      <c r="AE1736"/>
      <c r="AF1736"/>
      <c r="AG1736"/>
      <c r="AH1736"/>
      <c r="AO1736" s="2"/>
      <c r="AP1736" s="3"/>
      <c r="AQ1736" s="3"/>
      <c r="AR1736" s="3"/>
      <c r="AS1736" s="3"/>
    </row>
    <row r="1737" spans="1:45" ht="15">
      <c r="A1737"/>
      <c r="J1737"/>
      <c r="AA1737"/>
      <c r="AB1737"/>
      <c r="AC1737"/>
      <c r="AD1737"/>
      <c r="AE1737"/>
      <c r="AF1737"/>
      <c r="AG1737"/>
      <c r="AH1737"/>
      <c r="AO1737" s="2"/>
      <c r="AP1737" s="3"/>
      <c r="AQ1737" s="3"/>
      <c r="AR1737" s="3"/>
      <c r="AS1737" s="3"/>
    </row>
    <row r="1738" spans="1:45" ht="15">
      <c r="A1738"/>
      <c r="J1738"/>
      <c r="AA1738"/>
      <c r="AB1738"/>
      <c r="AC1738"/>
      <c r="AD1738"/>
      <c r="AE1738"/>
      <c r="AF1738"/>
      <c r="AG1738"/>
      <c r="AH1738"/>
      <c r="AO1738" s="2"/>
      <c r="AP1738" s="3"/>
      <c r="AQ1738" s="3"/>
      <c r="AR1738" s="3"/>
      <c r="AS1738" s="3"/>
    </row>
    <row r="1739" spans="1:45" ht="15">
      <c r="A1739"/>
      <c r="J1739"/>
      <c r="AA1739"/>
      <c r="AB1739"/>
      <c r="AC1739"/>
      <c r="AD1739"/>
      <c r="AE1739"/>
      <c r="AF1739"/>
      <c r="AG1739"/>
      <c r="AH1739"/>
      <c r="AO1739" s="2"/>
      <c r="AP1739" s="3"/>
      <c r="AQ1739" s="3"/>
      <c r="AR1739" s="3"/>
      <c r="AS1739" s="3"/>
    </row>
    <row r="1740" spans="1:45" ht="15">
      <c r="A1740"/>
      <c r="J1740"/>
      <c r="AA1740"/>
      <c r="AB1740"/>
      <c r="AC1740"/>
      <c r="AD1740"/>
      <c r="AE1740"/>
      <c r="AF1740"/>
      <c r="AG1740"/>
      <c r="AH1740"/>
      <c r="AO1740" s="2"/>
      <c r="AP1740" s="3"/>
      <c r="AQ1740" s="3"/>
      <c r="AR1740" s="3"/>
      <c r="AS1740" s="3"/>
    </row>
    <row r="1741" spans="1:45" ht="15">
      <c r="A1741"/>
      <c r="J1741"/>
      <c r="AA1741"/>
      <c r="AB1741"/>
      <c r="AC1741"/>
      <c r="AD1741"/>
      <c r="AE1741"/>
      <c r="AF1741"/>
      <c r="AG1741"/>
      <c r="AH1741"/>
      <c r="AO1741" s="2"/>
      <c r="AP1741" s="3"/>
      <c r="AQ1741" s="3"/>
      <c r="AR1741" s="3"/>
      <c r="AS1741" s="3"/>
    </row>
    <row r="1742" spans="1:45" ht="15">
      <c r="A1742"/>
      <c r="J1742"/>
      <c r="AA1742"/>
      <c r="AB1742"/>
      <c r="AC1742"/>
      <c r="AD1742"/>
      <c r="AE1742"/>
      <c r="AF1742"/>
      <c r="AG1742"/>
      <c r="AH1742"/>
      <c r="AO1742" s="2"/>
      <c r="AP1742" s="3"/>
      <c r="AQ1742" s="3"/>
      <c r="AR1742" s="3"/>
      <c r="AS1742" s="3"/>
    </row>
    <row r="1743" spans="1:45" ht="15">
      <c r="A1743"/>
      <c r="J1743"/>
      <c r="AA1743"/>
      <c r="AB1743"/>
      <c r="AC1743"/>
      <c r="AD1743"/>
      <c r="AE1743"/>
      <c r="AF1743"/>
      <c r="AG1743"/>
      <c r="AH1743"/>
      <c r="AO1743" s="2"/>
      <c r="AP1743" s="3"/>
      <c r="AQ1743" s="3"/>
      <c r="AR1743" s="3"/>
      <c r="AS1743" s="3"/>
    </row>
    <row r="1744" spans="1:45" ht="15">
      <c r="A1744"/>
      <c r="J1744"/>
      <c r="AA1744"/>
      <c r="AB1744"/>
      <c r="AC1744"/>
      <c r="AD1744"/>
      <c r="AE1744"/>
      <c r="AF1744"/>
      <c r="AG1744"/>
      <c r="AH1744"/>
      <c r="AO1744" s="2"/>
      <c r="AP1744" s="3"/>
      <c r="AQ1744" s="3"/>
      <c r="AR1744" s="3"/>
      <c r="AS1744" s="3"/>
    </row>
    <row r="1745" spans="1:45" ht="15">
      <c r="A1745"/>
      <c r="J1745"/>
      <c r="AA1745"/>
      <c r="AB1745"/>
      <c r="AC1745"/>
      <c r="AD1745"/>
      <c r="AE1745"/>
      <c r="AF1745"/>
      <c r="AG1745"/>
      <c r="AH1745"/>
      <c r="AO1745" s="2"/>
      <c r="AP1745" s="3"/>
      <c r="AQ1745" s="3"/>
      <c r="AR1745" s="3"/>
      <c r="AS1745" s="3"/>
    </row>
    <row r="1746" spans="1:45" ht="15">
      <c r="A1746"/>
      <c r="J1746"/>
      <c r="AA1746"/>
      <c r="AB1746"/>
      <c r="AC1746"/>
      <c r="AD1746"/>
      <c r="AE1746"/>
      <c r="AF1746"/>
      <c r="AG1746"/>
      <c r="AH1746"/>
      <c r="AO1746" s="2"/>
      <c r="AP1746" s="3"/>
      <c r="AQ1746" s="3"/>
      <c r="AR1746" s="3"/>
      <c r="AS1746" s="3"/>
    </row>
    <row r="1747" spans="1:45" ht="15">
      <c r="A1747"/>
      <c r="J1747"/>
      <c r="AA1747"/>
      <c r="AB1747"/>
      <c r="AC1747"/>
      <c r="AD1747"/>
      <c r="AE1747"/>
      <c r="AF1747"/>
      <c r="AG1747"/>
      <c r="AH1747"/>
      <c r="AO1747" s="2"/>
      <c r="AP1747" s="3"/>
      <c r="AQ1747" s="3"/>
      <c r="AR1747" s="3"/>
      <c r="AS1747" s="3"/>
    </row>
    <row r="1748" spans="1:45" ht="15">
      <c r="A1748"/>
      <c r="J1748"/>
      <c r="AA1748"/>
      <c r="AB1748"/>
      <c r="AC1748"/>
      <c r="AD1748"/>
      <c r="AE1748"/>
      <c r="AF1748"/>
      <c r="AG1748"/>
      <c r="AH1748"/>
      <c r="AO1748" s="2"/>
      <c r="AP1748" s="3"/>
      <c r="AQ1748" s="3"/>
      <c r="AR1748" s="3"/>
      <c r="AS1748" s="3"/>
    </row>
    <row r="1749" spans="1:45" ht="15">
      <c r="A1749"/>
      <c r="J1749"/>
      <c r="AA1749"/>
      <c r="AB1749"/>
      <c r="AC1749"/>
      <c r="AD1749"/>
      <c r="AE1749"/>
      <c r="AF1749"/>
      <c r="AG1749"/>
      <c r="AH1749"/>
      <c r="AO1749" s="2"/>
      <c r="AP1749" s="3"/>
      <c r="AQ1749" s="3"/>
      <c r="AR1749" s="3"/>
      <c r="AS1749" s="3"/>
    </row>
    <row r="1750" spans="1:45" ht="15">
      <c r="A1750"/>
      <c r="J1750"/>
      <c r="AA1750"/>
      <c r="AB1750"/>
      <c r="AC1750"/>
      <c r="AD1750"/>
      <c r="AE1750"/>
      <c r="AF1750"/>
      <c r="AG1750"/>
      <c r="AH1750"/>
      <c r="AO1750" s="2"/>
      <c r="AP1750" s="3"/>
      <c r="AQ1750" s="3"/>
      <c r="AR1750" s="3"/>
      <c r="AS1750" s="3"/>
    </row>
    <row r="1751" spans="1:45" ht="15">
      <c r="A1751"/>
      <c r="J1751"/>
      <c r="AA1751"/>
      <c r="AB1751"/>
      <c r="AC1751"/>
      <c r="AD1751"/>
      <c r="AE1751"/>
      <c r="AF1751"/>
      <c r="AG1751"/>
      <c r="AH1751"/>
      <c r="AO1751" s="2"/>
      <c r="AP1751" s="3"/>
      <c r="AQ1751" s="3"/>
      <c r="AR1751" s="3"/>
      <c r="AS1751" s="3"/>
    </row>
    <row r="1752" spans="1:45" ht="15">
      <c r="A1752"/>
      <c r="J1752"/>
      <c r="AA1752"/>
      <c r="AB1752"/>
      <c r="AC1752"/>
      <c r="AD1752"/>
      <c r="AE1752"/>
      <c r="AF1752"/>
      <c r="AG1752"/>
      <c r="AH1752"/>
      <c r="AO1752" s="2"/>
      <c r="AP1752" s="3"/>
      <c r="AQ1752" s="3"/>
      <c r="AR1752" s="3"/>
      <c r="AS1752" s="3"/>
    </row>
    <row r="1753" spans="1:45" ht="15">
      <c r="A1753"/>
      <c r="J1753"/>
      <c r="AA1753"/>
      <c r="AB1753"/>
      <c r="AC1753"/>
      <c r="AD1753"/>
      <c r="AE1753"/>
      <c r="AF1753"/>
      <c r="AG1753"/>
      <c r="AH1753"/>
      <c r="AO1753" s="2"/>
      <c r="AP1753" s="3"/>
      <c r="AQ1753" s="3"/>
      <c r="AR1753" s="3"/>
      <c r="AS1753" s="3"/>
    </row>
    <row r="1754" spans="1:45" ht="15">
      <c r="A1754"/>
      <c r="J1754"/>
      <c r="AA1754"/>
      <c r="AB1754"/>
      <c r="AC1754"/>
      <c r="AD1754"/>
      <c r="AE1754"/>
      <c r="AF1754"/>
      <c r="AG1754"/>
      <c r="AH1754"/>
      <c r="AO1754" s="2"/>
      <c r="AP1754" s="3"/>
      <c r="AQ1754" s="3"/>
      <c r="AR1754" s="3"/>
      <c r="AS1754" s="3"/>
    </row>
    <row r="1755" spans="1:45" ht="15">
      <c r="A1755"/>
      <c r="J1755"/>
      <c r="AA1755"/>
      <c r="AB1755"/>
      <c r="AC1755"/>
      <c r="AD1755"/>
      <c r="AE1755"/>
      <c r="AF1755"/>
      <c r="AG1755"/>
      <c r="AH1755"/>
      <c r="AO1755" s="2"/>
      <c r="AP1755" s="3"/>
      <c r="AQ1755" s="3"/>
      <c r="AR1755" s="3"/>
      <c r="AS1755" s="3"/>
    </row>
    <row r="1756" spans="1:45" ht="15">
      <c r="A1756"/>
      <c r="J1756"/>
      <c r="AA1756"/>
      <c r="AB1756"/>
      <c r="AC1756"/>
      <c r="AD1756"/>
      <c r="AE1756"/>
      <c r="AF1756"/>
      <c r="AG1756"/>
      <c r="AH1756"/>
      <c r="AO1756" s="2"/>
      <c r="AP1756" s="3"/>
      <c r="AQ1756" s="3"/>
      <c r="AR1756" s="3"/>
      <c r="AS1756" s="3"/>
    </row>
    <row r="1757" spans="1:45" ht="15">
      <c r="A1757"/>
      <c r="J1757"/>
      <c r="AA1757"/>
      <c r="AB1757"/>
      <c r="AC1757"/>
      <c r="AD1757"/>
      <c r="AE1757"/>
      <c r="AF1757"/>
      <c r="AG1757"/>
      <c r="AH1757"/>
      <c r="AO1757" s="2"/>
      <c r="AP1757" s="3"/>
      <c r="AQ1757" s="3"/>
      <c r="AR1757" s="3"/>
      <c r="AS1757" s="3"/>
    </row>
    <row r="1758" spans="1:45" ht="15">
      <c r="A1758"/>
      <c r="J1758"/>
      <c r="AA1758"/>
      <c r="AB1758"/>
      <c r="AC1758"/>
      <c r="AD1758"/>
      <c r="AE1758"/>
      <c r="AF1758"/>
      <c r="AG1758"/>
      <c r="AH1758"/>
      <c r="AO1758" s="2"/>
      <c r="AP1758" s="3"/>
      <c r="AQ1758" s="3"/>
      <c r="AR1758" s="3"/>
      <c r="AS1758" s="3"/>
    </row>
    <row r="1759" spans="1:45" ht="15">
      <c r="A1759"/>
      <c r="J1759"/>
      <c r="AA1759"/>
      <c r="AB1759"/>
      <c r="AC1759"/>
      <c r="AD1759"/>
      <c r="AE1759"/>
      <c r="AF1759"/>
      <c r="AG1759"/>
      <c r="AH1759"/>
      <c r="AO1759" s="2"/>
      <c r="AP1759" s="3"/>
      <c r="AQ1759" s="3"/>
      <c r="AR1759" s="3"/>
      <c r="AS1759" s="3"/>
    </row>
    <row r="1760" spans="1:45" ht="15">
      <c r="A1760"/>
      <c r="J1760"/>
      <c r="AA1760"/>
      <c r="AB1760"/>
      <c r="AC1760"/>
      <c r="AD1760"/>
      <c r="AE1760"/>
      <c r="AF1760"/>
      <c r="AG1760"/>
      <c r="AH1760"/>
      <c r="AO1760" s="2"/>
      <c r="AP1760" s="3"/>
      <c r="AQ1760" s="3"/>
      <c r="AR1760" s="3"/>
      <c r="AS1760" s="3"/>
    </row>
    <row r="1761" spans="1:45" ht="15">
      <c r="A1761"/>
      <c r="J1761"/>
      <c r="AA1761"/>
      <c r="AB1761"/>
      <c r="AC1761"/>
      <c r="AD1761"/>
      <c r="AE1761"/>
      <c r="AF1761"/>
      <c r="AG1761"/>
      <c r="AH1761"/>
      <c r="AO1761" s="2"/>
      <c r="AP1761" s="3"/>
      <c r="AQ1761" s="3"/>
      <c r="AR1761" s="3"/>
      <c r="AS1761" s="3"/>
    </row>
    <row r="1762" spans="1:45" ht="15">
      <c r="A1762"/>
      <c r="J1762"/>
      <c r="AA1762"/>
      <c r="AB1762"/>
      <c r="AC1762"/>
      <c r="AD1762"/>
      <c r="AE1762"/>
      <c r="AF1762"/>
      <c r="AG1762"/>
      <c r="AH1762"/>
      <c r="AO1762" s="2"/>
      <c r="AP1762" s="3"/>
      <c r="AQ1762" s="3"/>
      <c r="AR1762" s="3"/>
      <c r="AS1762" s="3"/>
    </row>
    <row r="1763" spans="1:45" ht="15">
      <c r="A1763"/>
      <c r="J1763"/>
      <c r="AA1763"/>
      <c r="AB1763"/>
      <c r="AC1763"/>
      <c r="AD1763"/>
      <c r="AE1763"/>
      <c r="AF1763"/>
      <c r="AG1763"/>
      <c r="AH1763"/>
      <c r="AO1763" s="2"/>
      <c r="AP1763" s="3"/>
      <c r="AQ1763" s="3"/>
      <c r="AR1763" s="3"/>
      <c r="AS1763" s="3"/>
    </row>
    <row r="1764" spans="1:45" ht="15">
      <c r="A1764"/>
      <c r="J1764"/>
      <c r="AA1764"/>
      <c r="AB1764"/>
      <c r="AC1764"/>
      <c r="AD1764"/>
      <c r="AE1764"/>
      <c r="AF1764"/>
      <c r="AG1764"/>
      <c r="AH1764"/>
      <c r="AO1764" s="2"/>
      <c r="AP1764" s="3"/>
      <c r="AQ1764" s="3"/>
      <c r="AR1764" s="3"/>
      <c r="AS1764" s="3"/>
    </row>
    <row r="1765" spans="1:45" ht="15">
      <c r="A1765"/>
      <c r="J1765"/>
      <c r="AA1765"/>
      <c r="AB1765"/>
      <c r="AC1765"/>
      <c r="AD1765"/>
      <c r="AE1765"/>
      <c r="AF1765"/>
      <c r="AG1765"/>
      <c r="AH1765"/>
      <c r="AO1765" s="2"/>
      <c r="AP1765" s="3"/>
      <c r="AQ1765" s="3"/>
      <c r="AR1765" s="3"/>
      <c r="AS1765" s="3"/>
    </row>
    <row r="1766" spans="1:45" ht="15">
      <c r="A1766"/>
      <c r="J1766"/>
      <c r="AA1766"/>
      <c r="AB1766"/>
      <c r="AC1766"/>
      <c r="AD1766"/>
      <c r="AE1766"/>
      <c r="AF1766"/>
      <c r="AG1766"/>
      <c r="AH1766"/>
      <c r="AO1766" s="2"/>
      <c r="AP1766" s="3"/>
      <c r="AQ1766" s="3"/>
      <c r="AR1766" s="3"/>
      <c r="AS1766" s="3"/>
    </row>
    <row r="1767" spans="1:45" ht="15">
      <c r="A1767"/>
      <c r="J1767"/>
      <c r="AA1767"/>
      <c r="AB1767"/>
      <c r="AC1767"/>
      <c r="AD1767"/>
      <c r="AE1767"/>
      <c r="AF1767"/>
      <c r="AG1767"/>
      <c r="AH1767"/>
      <c r="AO1767" s="2"/>
      <c r="AP1767" s="3"/>
      <c r="AQ1767" s="3"/>
      <c r="AR1767" s="3"/>
      <c r="AS1767" s="3"/>
    </row>
    <row r="1768" spans="1:45" ht="15">
      <c r="A1768"/>
      <c r="J1768"/>
      <c r="AA1768"/>
      <c r="AB1768"/>
      <c r="AC1768"/>
      <c r="AD1768"/>
      <c r="AE1768"/>
      <c r="AF1768"/>
      <c r="AG1768"/>
      <c r="AH1768"/>
      <c r="AO1768" s="2"/>
      <c r="AP1768" s="3"/>
      <c r="AQ1768" s="3"/>
      <c r="AR1768" s="3"/>
      <c r="AS1768" s="3"/>
    </row>
    <row r="1769" spans="1:45" ht="15">
      <c r="A1769"/>
      <c r="J1769"/>
      <c r="AA1769"/>
      <c r="AB1769"/>
      <c r="AC1769"/>
      <c r="AD1769"/>
      <c r="AE1769"/>
      <c r="AF1769"/>
      <c r="AG1769"/>
      <c r="AH1769"/>
      <c r="AO1769" s="2"/>
      <c r="AP1769" s="3"/>
      <c r="AQ1769" s="3"/>
      <c r="AR1769" s="3"/>
      <c r="AS1769" s="3"/>
    </row>
    <row r="1770" spans="1:45" ht="15">
      <c r="A1770"/>
      <c r="J1770"/>
      <c r="AA1770"/>
      <c r="AB1770"/>
      <c r="AC1770"/>
      <c r="AD1770"/>
      <c r="AE1770"/>
      <c r="AF1770"/>
      <c r="AG1770"/>
      <c r="AH1770"/>
      <c r="AO1770" s="2"/>
      <c r="AP1770" s="3"/>
      <c r="AQ1770" s="3"/>
      <c r="AR1770" s="3"/>
      <c r="AS1770" s="3"/>
    </row>
    <row r="1771" spans="1:45" ht="15">
      <c r="A1771"/>
      <c r="J1771"/>
      <c r="AA1771"/>
      <c r="AB1771"/>
      <c r="AC1771"/>
      <c r="AD1771"/>
      <c r="AE1771"/>
      <c r="AF1771"/>
      <c r="AG1771"/>
      <c r="AH1771"/>
      <c r="AO1771" s="2"/>
      <c r="AP1771" s="3"/>
      <c r="AQ1771" s="3"/>
      <c r="AR1771" s="3"/>
      <c r="AS1771" s="3"/>
    </row>
    <row r="1772" spans="1:45" ht="15">
      <c r="A1772"/>
      <c r="J1772"/>
      <c r="AA1772"/>
      <c r="AB1772"/>
      <c r="AC1772"/>
      <c r="AD1772"/>
      <c r="AE1772"/>
      <c r="AF1772"/>
      <c r="AG1772"/>
      <c r="AH1772"/>
      <c r="AO1772" s="2"/>
      <c r="AP1772" s="3"/>
      <c r="AQ1772" s="3"/>
      <c r="AR1772" s="3"/>
      <c r="AS1772" s="3"/>
    </row>
    <row r="1773" spans="1:45" ht="15">
      <c r="A1773"/>
      <c r="J1773"/>
      <c r="AA1773"/>
      <c r="AB1773"/>
      <c r="AC1773"/>
      <c r="AD1773"/>
      <c r="AE1773"/>
      <c r="AF1773"/>
      <c r="AG1773"/>
      <c r="AH1773"/>
      <c r="AO1773" s="2"/>
      <c r="AP1773" s="3"/>
      <c r="AQ1773" s="3"/>
      <c r="AR1773" s="3"/>
      <c r="AS1773" s="3"/>
    </row>
    <row r="1774" spans="1:45" ht="15">
      <c r="A1774"/>
      <c r="J1774"/>
      <c r="AA1774"/>
      <c r="AB1774"/>
      <c r="AC1774"/>
      <c r="AD1774"/>
      <c r="AE1774"/>
      <c r="AF1774"/>
      <c r="AG1774"/>
      <c r="AH1774"/>
      <c r="AO1774" s="2"/>
      <c r="AP1774" s="3"/>
      <c r="AQ1774" s="3"/>
      <c r="AR1774" s="3"/>
      <c r="AS1774" s="3"/>
    </row>
    <row r="1775" spans="1:45" ht="15">
      <c r="A1775"/>
      <c r="J1775"/>
      <c r="AA1775"/>
      <c r="AB1775"/>
      <c r="AC1775"/>
      <c r="AD1775"/>
      <c r="AE1775"/>
      <c r="AF1775"/>
      <c r="AG1775"/>
      <c r="AH1775"/>
      <c r="AO1775" s="2"/>
      <c r="AP1775" s="3"/>
      <c r="AQ1775" s="3"/>
      <c r="AR1775" s="3"/>
      <c r="AS1775" s="3"/>
    </row>
    <row r="1776" spans="1:45" ht="15">
      <c r="A1776"/>
      <c r="J1776"/>
      <c r="AA1776"/>
      <c r="AB1776"/>
      <c r="AC1776"/>
      <c r="AD1776"/>
      <c r="AE1776"/>
      <c r="AF1776"/>
      <c r="AG1776"/>
      <c r="AH1776"/>
      <c r="AO1776" s="2"/>
      <c r="AP1776" s="3"/>
      <c r="AQ1776" s="3"/>
      <c r="AR1776" s="3"/>
      <c r="AS1776" s="3"/>
    </row>
    <row r="1777" spans="1:45" ht="15">
      <c r="A1777"/>
      <c r="J1777"/>
      <c r="AA1777"/>
      <c r="AB1777"/>
      <c r="AC1777"/>
      <c r="AD1777"/>
      <c r="AE1777"/>
      <c r="AF1777"/>
      <c r="AG1777"/>
      <c r="AH1777"/>
      <c r="AO1777" s="2"/>
      <c r="AP1777" s="3"/>
      <c r="AQ1777" s="3"/>
      <c r="AR1777" s="3"/>
      <c r="AS1777" s="3"/>
    </row>
    <row r="1778" spans="1:45" ht="15">
      <c r="A1778"/>
      <c r="J1778"/>
      <c r="AA1778"/>
      <c r="AB1778"/>
      <c r="AC1778"/>
      <c r="AD1778"/>
      <c r="AE1778"/>
      <c r="AF1778"/>
      <c r="AG1778"/>
      <c r="AH1778"/>
      <c r="AO1778" s="2"/>
      <c r="AP1778" s="3"/>
      <c r="AQ1778" s="3"/>
      <c r="AR1778" s="3"/>
      <c r="AS1778" s="3"/>
    </row>
    <row r="1779" spans="1:45" ht="15">
      <c r="A1779"/>
      <c r="J1779"/>
      <c r="AA1779"/>
      <c r="AB1779"/>
      <c r="AC1779"/>
      <c r="AD1779"/>
      <c r="AE1779"/>
      <c r="AF1779"/>
      <c r="AG1779"/>
      <c r="AH1779"/>
      <c r="AO1779" s="2"/>
      <c r="AP1779" s="3"/>
      <c r="AQ1779" s="3"/>
      <c r="AR1779" s="3"/>
      <c r="AS1779" s="3"/>
    </row>
    <row r="1780" spans="1:45" ht="15">
      <c r="A1780"/>
      <c r="J1780"/>
      <c r="AA1780"/>
      <c r="AB1780"/>
      <c r="AC1780"/>
      <c r="AD1780"/>
      <c r="AE1780"/>
      <c r="AF1780"/>
      <c r="AG1780"/>
      <c r="AH1780"/>
      <c r="AO1780" s="2"/>
      <c r="AP1780" s="3"/>
      <c r="AQ1780" s="3"/>
      <c r="AR1780" s="3"/>
      <c r="AS1780" s="3"/>
    </row>
    <row r="1781" spans="1:45" ht="15">
      <c r="A1781"/>
      <c r="J1781"/>
      <c r="AA1781"/>
      <c r="AB1781"/>
      <c r="AC1781"/>
      <c r="AD1781"/>
      <c r="AE1781"/>
      <c r="AF1781"/>
      <c r="AG1781"/>
      <c r="AH1781"/>
      <c r="AO1781" s="2"/>
      <c r="AP1781" s="3"/>
      <c r="AQ1781" s="3"/>
      <c r="AR1781" s="3"/>
      <c r="AS1781" s="3"/>
    </row>
    <row r="1782" spans="1:45" ht="15">
      <c r="A1782"/>
      <c r="J1782"/>
      <c r="AA1782"/>
      <c r="AB1782"/>
      <c r="AC1782"/>
      <c r="AD1782"/>
      <c r="AE1782"/>
      <c r="AF1782"/>
      <c r="AG1782"/>
      <c r="AH1782"/>
      <c r="AO1782" s="2"/>
      <c r="AP1782" s="3"/>
      <c r="AQ1782" s="3"/>
      <c r="AR1782" s="3"/>
      <c r="AS1782" s="3"/>
    </row>
    <row r="1783" spans="1:45" ht="15">
      <c r="A1783"/>
      <c r="J1783"/>
      <c r="AA1783"/>
      <c r="AB1783"/>
      <c r="AC1783"/>
      <c r="AD1783"/>
      <c r="AE1783"/>
      <c r="AF1783"/>
      <c r="AG1783"/>
      <c r="AH1783"/>
      <c r="AO1783" s="2"/>
      <c r="AP1783" s="3"/>
      <c r="AQ1783" s="3"/>
      <c r="AR1783" s="3"/>
      <c r="AS1783" s="3"/>
    </row>
    <row r="1784" spans="1:45" ht="15">
      <c r="A1784"/>
      <c r="J1784"/>
      <c r="AA1784"/>
      <c r="AB1784"/>
      <c r="AC1784"/>
      <c r="AD1784"/>
      <c r="AE1784"/>
      <c r="AF1784"/>
      <c r="AG1784"/>
      <c r="AH1784"/>
      <c r="AO1784" s="2"/>
      <c r="AP1784" s="3"/>
      <c r="AQ1784" s="3"/>
      <c r="AR1784" s="3"/>
      <c r="AS1784" s="3"/>
    </row>
    <row r="1785" spans="1:45" ht="15">
      <c r="A1785"/>
      <c r="J1785"/>
      <c r="AA1785"/>
      <c r="AB1785"/>
      <c r="AC1785"/>
      <c r="AD1785"/>
      <c r="AE1785"/>
      <c r="AF1785"/>
      <c r="AG1785"/>
      <c r="AH1785"/>
      <c r="AO1785" s="2"/>
      <c r="AP1785" s="3"/>
      <c r="AQ1785" s="3"/>
      <c r="AR1785" s="3"/>
      <c r="AS1785" s="3"/>
    </row>
    <row r="1786" spans="1:45" ht="15">
      <c r="A1786"/>
      <c r="J1786"/>
      <c r="AA1786"/>
      <c r="AB1786"/>
      <c r="AC1786"/>
      <c r="AD1786"/>
      <c r="AE1786"/>
      <c r="AF1786"/>
      <c r="AG1786"/>
      <c r="AH1786"/>
      <c r="AO1786" s="2"/>
      <c r="AP1786" s="3"/>
      <c r="AQ1786" s="3"/>
      <c r="AR1786" s="3"/>
      <c r="AS1786" s="3"/>
    </row>
    <row r="1787" spans="1:45" ht="15">
      <c r="A1787"/>
      <c r="J1787"/>
      <c r="AA1787"/>
      <c r="AB1787"/>
      <c r="AC1787"/>
      <c r="AD1787"/>
      <c r="AE1787"/>
      <c r="AF1787"/>
      <c r="AG1787"/>
      <c r="AH1787"/>
      <c r="AO1787" s="2"/>
      <c r="AP1787" s="3"/>
      <c r="AQ1787" s="3"/>
      <c r="AR1787" s="3"/>
      <c r="AS1787" s="3"/>
    </row>
    <row r="1788" spans="1:45" ht="15">
      <c r="A1788"/>
      <c r="J1788"/>
      <c r="AA1788"/>
      <c r="AB1788"/>
      <c r="AC1788"/>
      <c r="AD1788"/>
      <c r="AE1788"/>
      <c r="AF1788"/>
      <c r="AG1788"/>
      <c r="AH1788"/>
      <c r="AO1788" s="2"/>
      <c r="AP1788" s="3"/>
      <c r="AQ1788" s="3"/>
      <c r="AR1788" s="3"/>
      <c r="AS1788" s="3"/>
    </row>
    <row r="1789" spans="1:45" ht="15">
      <c r="A1789"/>
      <c r="J1789"/>
      <c r="AA1789"/>
      <c r="AB1789"/>
      <c r="AC1789"/>
      <c r="AD1789"/>
      <c r="AE1789"/>
      <c r="AF1789"/>
      <c r="AG1789"/>
      <c r="AH1789"/>
      <c r="AO1789" s="2"/>
      <c r="AP1789" s="3"/>
      <c r="AQ1789" s="3"/>
      <c r="AR1789" s="3"/>
      <c r="AS1789" s="3"/>
    </row>
    <row r="1790" spans="1:45" ht="15">
      <c r="A1790"/>
      <c r="J1790"/>
      <c r="AA1790"/>
      <c r="AB1790"/>
      <c r="AC1790"/>
      <c r="AD1790"/>
      <c r="AE1790"/>
      <c r="AF1790"/>
      <c r="AG1790"/>
      <c r="AH1790"/>
      <c r="AO1790" s="2"/>
      <c r="AP1790" s="3"/>
      <c r="AQ1790" s="3"/>
      <c r="AR1790" s="3"/>
      <c r="AS1790" s="3"/>
    </row>
    <row r="1791" spans="1:45" ht="15">
      <c r="A1791"/>
      <c r="J1791"/>
      <c r="AA1791"/>
      <c r="AB1791"/>
      <c r="AC1791"/>
      <c r="AD1791"/>
      <c r="AE1791"/>
      <c r="AF1791"/>
      <c r="AG1791"/>
      <c r="AH1791"/>
      <c r="AO1791" s="2"/>
      <c r="AP1791" s="3"/>
      <c r="AQ1791" s="3"/>
      <c r="AR1791" s="3"/>
      <c r="AS1791" s="3"/>
    </row>
    <row r="1792" spans="1:45" ht="15">
      <c r="A1792"/>
      <c r="J1792"/>
      <c r="AA1792"/>
      <c r="AB1792"/>
      <c r="AC1792"/>
      <c r="AD1792"/>
      <c r="AE1792"/>
      <c r="AF1792"/>
      <c r="AG1792"/>
      <c r="AH1792"/>
      <c r="AO1792" s="2"/>
      <c r="AP1792" s="3"/>
      <c r="AQ1792" s="3"/>
      <c r="AR1792" s="3"/>
      <c r="AS1792" s="3"/>
    </row>
    <row r="1793" spans="1:45" ht="15">
      <c r="A1793"/>
      <c r="J1793"/>
      <c r="AA1793"/>
      <c r="AB1793"/>
      <c r="AC1793"/>
      <c r="AD1793"/>
      <c r="AE1793"/>
      <c r="AF1793"/>
      <c r="AG1793"/>
      <c r="AH1793"/>
      <c r="AO1793" s="2"/>
      <c r="AP1793" s="3"/>
      <c r="AQ1793" s="3"/>
      <c r="AR1793" s="3"/>
      <c r="AS1793" s="3"/>
    </row>
    <row r="1794" spans="1:45" ht="15">
      <c r="A1794"/>
      <c r="J1794"/>
      <c r="AA1794"/>
      <c r="AB1794"/>
      <c r="AC1794"/>
      <c r="AD1794"/>
      <c r="AE1794"/>
      <c r="AF1794"/>
      <c r="AG1794"/>
      <c r="AH1794"/>
      <c r="AO1794" s="2"/>
      <c r="AP1794" s="3"/>
      <c r="AQ1794" s="3"/>
      <c r="AR1794" s="3"/>
      <c r="AS1794" s="3"/>
    </row>
    <row r="1795" spans="1:45" ht="15">
      <c r="A1795"/>
      <c r="J1795"/>
      <c r="AA1795"/>
      <c r="AB1795"/>
      <c r="AC1795"/>
      <c r="AD1795"/>
      <c r="AE1795"/>
      <c r="AF1795"/>
      <c r="AG1795"/>
      <c r="AH1795"/>
      <c r="AO1795" s="2"/>
      <c r="AP1795" s="3"/>
      <c r="AQ1795" s="3"/>
      <c r="AR1795" s="3"/>
      <c r="AS1795" s="3"/>
    </row>
    <row r="1796" spans="1:45" ht="15">
      <c r="A1796"/>
      <c r="J1796"/>
      <c r="AA1796"/>
      <c r="AB1796"/>
      <c r="AC1796"/>
      <c r="AD1796"/>
      <c r="AE1796"/>
      <c r="AF1796"/>
      <c r="AG1796"/>
      <c r="AH1796"/>
      <c r="AO1796" s="2"/>
      <c r="AP1796" s="3"/>
      <c r="AQ1796" s="3"/>
      <c r="AR1796" s="3"/>
      <c r="AS1796" s="3"/>
    </row>
    <row r="1797" spans="1:45" ht="15">
      <c r="A1797"/>
      <c r="J1797"/>
      <c r="AA1797"/>
      <c r="AB1797"/>
      <c r="AC1797"/>
      <c r="AD1797"/>
      <c r="AE1797"/>
      <c r="AF1797"/>
      <c r="AG1797"/>
      <c r="AH1797"/>
      <c r="AO1797" s="2"/>
      <c r="AP1797" s="3"/>
      <c r="AQ1797" s="3"/>
      <c r="AR1797" s="3"/>
      <c r="AS1797" s="3"/>
    </row>
    <row r="1798" spans="1:45" ht="15">
      <c r="A1798"/>
      <c r="J1798"/>
      <c r="AA1798"/>
      <c r="AB1798"/>
      <c r="AC1798"/>
      <c r="AD1798"/>
      <c r="AE1798"/>
      <c r="AF1798"/>
      <c r="AG1798"/>
      <c r="AH1798"/>
      <c r="AO1798" s="2"/>
      <c r="AP1798" s="3"/>
      <c r="AQ1798" s="3"/>
      <c r="AR1798" s="3"/>
      <c r="AS1798" s="3"/>
    </row>
    <row r="1799" spans="1:45" ht="15">
      <c r="A1799"/>
      <c r="J1799"/>
      <c r="AA1799"/>
      <c r="AB1799"/>
      <c r="AC1799"/>
      <c r="AD1799"/>
      <c r="AE1799"/>
      <c r="AF1799"/>
      <c r="AG1799"/>
      <c r="AH1799"/>
      <c r="AO1799" s="2"/>
      <c r="AP1799" s="3"/>
      <c r="AQ1799" s="3"/>
      <c r="AR1799" s="3"/>
      <c r="AS1799" s="3"/>
    </row>
    <row r="1800" spans="1:45" ht="15">
      <c r="A1800"/>
      <c r="J1800"/>
      <c r="AA1800"/>
      <c r="AB1800"/>
      <c r="AC1800"/>
      <c r="AD1800"/>
      <c r="AE1800"/>
      <c r="AF1800"/>
      <c r="AG1800"/>
      <c r="AH1800"/>
      <c r="AO1800" s="2"/>
      <c r="AP1800" s="3"/>
      <c r="AQ1800" s="3"/>
      <c r="AR1800" s="3"/>
      <c r="AS1800" s="3"/>
    </row>
    <row r="1801" spans="1:45" ht="15">
      <c r="A1801"/>
      <c r="J1801"/>
      <c r="AA1801"/>
      <c r="AB1801"/>
      <c r="AC1801"/>
      <c r="AD1801"/>
      <c r="AE1801"/>
      <c r="AF1801"/>
      <c r="AG1801"/>
      <c r="AH1801"/>
      <c r="AO1801" s="2"/>
      <c r="AP1801" s="3"/>
      <c r="AQ1801" s="3"/>
      <c r="AR1801" s="3"/>
      <c r="AS1801" s="3"/>
    </row>
    <row r="1802" spans="1:45" ht="15">
      <c r="A1802"/>
      <c r="J1802"/>
      <c r="AA1802"/>
      <c r="AB1802"/>
      <c r="AC1802"/>
      <c r="AD1802"/>
      <c r="AE1802"/>
      <c r="AF1802"/>
      <c r="AG1802"/>
      <c r="AH1802"/>
      <c r="AO1802" s="2"/>
      <c r="AP1802" s="3"/>
      <c r="AQ1802" s="3"/>
      <c r="AR1802" s="3"/>
      <c r="AS1802" s="3"/>
    </row>
    <row r="1803" spans="1:45" ht="15">
      <c r="A1803"/>
      <c r="J1803"/>
      <c r="AA1803"/>
      <c r="AB1803"/>
      <c r="AC1803"/>
      <c r="AD1803"/>
      <c r="AE1803"/>
      <c r="AF1803"/>
      <c r="AG1803"/>
      <c r="AH1803"/>
      <c r="AO1803" s="2"/>
      <c r="AP1803" s="3"/>
      <c r="AQ1803" s="3"/>
      <c r="AR1803" s="3"/>
      <c r="AS1803" s="3"/>
    </row>
    <row r="1804" spans="1:45" ht="15">
      <c r="A1804"/>
      <c r="J1804"/>
      <c r="AA1804"/>
      <c r="AB1804"/>
      <c r="AC1804"/>
      <c r="AD1804"/>
      <c r="AE1804"/>
      <c r="AF1804"/>
      <c r="AG1804"/>
      <c r="AH1804"/>
      <c r="AO1804" s="2"/>
      <c r="AP1804" s="3"/>
      <c r="AQ1804" s="3"/>
      <c r="AR1804" s="3"/>
      <c r="AS1804" s="3"/>
    </row>
    <row r="1805" spans="1:45" ht="15">
      <c r="A1805"/>
      <c r="J1805"/>
      <c r="AA1805"/>
      <c r="AB1805"/>
      <c r="AC1805"/>
      <c r="AD1805"/>
      <c r="AE1805"/>
      <c r="AF1805"/>
      <c r="AG1805"/>
      <c r="AH1805"/>
      <c r="AO1805" s="2"/>
      <c r="AP1805" s="3"/>
      <c r="AQ1805" s="3"/>
      <c r="AR1805" s="3"/>
      <c r="AS1805" s="3"/>
    </row>
    <row r="1806" spans="1:45" ht="15">
      <c r="A1806"/>
      <c r="J1806"/>
      <c r="AA1806"/>
      <c r="AB1806"/>
      <c r="AC1806"/>
      <c r="AD1806"/>
      <c r="AE1806"/>
      <c r="AF1806"/>
      <c r="AG1806"/>
      <c r="AH1806"/>
      <c r="AO1806" s="2"/>
      <c r="AP1806" s="3"/>
      <c r="AQ1806" s="3"/>
      <c r="AR1806" s="3"/>
      <c r="AS1806" s="3"/>
    </row>
    <row r="1807" spans="1:45" ht="15">
      <c r="A1807"/>
      <c r="J1807"/>
      <c r="AA1807"/>
      <c r="AB1807"/>
      <c r="AC1807"/>
      <c r="AD1807"/>
      <c r="AE1807"/>
      <c r="AF1807"/>
      <c r="AG1807"/>
      <c r="AH1807"/>
      <c r="AO1807" s="2"/>
      <c r="AP1807" s="3"/>
      <c r="AQ1807" s="3"/>
      <c r="AR1807" s="3"/>
      <c r="AS1807" s="3"/>
    </row>
    <row r="1808" spans="1:45" ht="15">
      <c r="A1808"/>
      <c r="J1808"/>
      <c r="AA1808"/>
      <c r="AB1808"/>
      <c r="AC1808"/>
      <c r="AD1808"/>
      <c r="AE1808"/>
      <c r="AF1808"/>
      <c r="AG1808"/>
      <c r="AH1808"/>
      <c r="AO1808" s="2"/>
      <c r="AP1808" s="3"/>
      <c r="AQ1808" s="3"/>
      <c r="AR1808" s="3"/>
      <c r="AS1808" s="3"/>
    </row>
    <row r="1809" spans="1:45" ht="15">
      <c r="A1809"/>
      <c r="J1809"/>
      <c r="AA1809"/>
      <c r="AB1809"/>
      <c r="AC1809"/>
      <c r="AD1809"/>
      <c r="AE1809"/>
      <c r="AF1809"/>
      <c r="AG1809"/>
      <c r="AH1809"/>
      <c r="AO1809" s="2"/>
      <c r="AP1809" s="3"/>
      <c r="AQ1809" s="3"/>
      <c r="AR1809" s="3"/>
      <c r="AS1809" s="3"/>
    </row>
    <row r="1810" spans="1:45" ht="15">
      <c r="A1810"/>
      <c r="J1810"/>
      <c r="AA1810"/>
      <c r="AB1810"/>
      <c r="AC1810"/>
      <c r="AD1810"/>
      <c r="AE1810"/>
      <c r="AF1810"/>
      <c r="AG1810"/>
      <c r="AH1810"/>
      <c r="AO1810" s="2"/>
      <c r="AP1810" s="3"/>
      <c r="AQ1810" s="3"/>
      <c r="AR1810" s="3"/>
      <c r="AS1810" s="3"/>
    </row>
    <row r="1811" spans="1:45" ht="15">
      <c r="A1811"/>
      <c r="J1811"/>
      <c r="AA1811"/>
      <c r="AB1811"/>
      <c r="AC1811"/>
      <c r="AD1811"/>
      <c r="AE1811"/>
      <c r="AF1811"/>
      <c r="AG1811"/>
      <c r="AH1811"/>
      <c r="AO1811" s="2"/>
      <c r="AP1811" s="3"/>
      <c r="AQ1811" s="3"/>
      <c r="AR1811" s="3"/>
      <c r="AS1811" s="3"/>
    </row>
    <row r="1812" spans="1:45" ht="15">
      <c r="A1812"/>
      <c r="J1812"/>
      <c r="AA1812"/>
      <c r="AB1812"/>
      <c r="AC1812"/>
      <c r="AD1812"/>
      <c r="AE1812"/>
      <c r="AF1812"/>
      <c r="AG1812"/>
      <c r="AH1812"/>
      <c r="AO1812" s="2"/>
      <c r="AP1812" s="3"/>
      <c r="AQ1812" s="3"/>
      <c r="AR1812" s="3"/>
      <c r="AS1812" s="3"/>
    </row>
    <row r="1813" spans="1:45" ht="15">
      <c r="A1813"/>
      <c r="J1813"/>
      <c r="AA1813"/>
      <c r="AB1813"/>
      <c r="AC1813"/>
      <c r="AD1813"/>
      <c r="AE1813"/>
      <c r="AF1813"/>
      <c r="AG1813"/>
      <c r="AH1813"/>
      <c r="AO1813" s="2"/>
      <c r="AP1813" s="3"/>
      <c r="AQ1813" s="3"/>
      <c r="AR1813" s="3"/>
      <c r="AS1813" s="3"/>
    </row>
    <row r="1814" spans="1:45" ht="15">
      <c r="A1814"/>
      <c r="J1814"/>
      <c r="AA1814"/>
      <c r="AB1814"/>
      <c r="AC1814"/>
      <c r="AD1814"/>
      <c r="AE1814"/>
      <c r="AF1814"/>
      <c r="AG1814"/>
      <c r="AH1814"/>
      <c r="AO1814" s="2"/>
      <c r="AP1814" s="3"/>
      <c r="AQ1814" s="3"/>
      <c r="AR1814" s="3"/>
      <c r="AS1814" s="3"/>
    </row>
    <row r="1815" spans="1:45" ht="15">
      <c r="A1815"/>
      <c r="J1815"/>
      <c r="AA1815"/>
      <c r="AB1815"/>
      <c r="AC1815"/>
      <c r="AD1815"/>
      <c r="AE1815"/>
      <c r="AF1815"/>
      <c r="AG1815"/>
      <c r="AH1815"/>
      <c r="AO1815" s="2"/>
      <c r="AP1815" s="3"/>
      <c r="AQ1815" s="3"/>
      <c r="AR1815" s="3"/>
      <c r="AS1815" s="3"/>
    </row>
    <row r="1816" spans="1:45" ht="15">
      <c r="A1816"/>
      <c r="J1816"/>
      <c r="AA1816"/>
      <c r="AB1816"/>
      <c r="AC1816"/>
      <c r="AD1816"/>
      <c r="AE1816"/>
      <c r="AF1816"/>
      <c r="AG1816"/>
      <c r="AH1816"/>
      <c r="AO1816" s="2"/>
      <c r="AP1816" s="3"/>
      <c r="AQ1816" s="3"/>
      <c r="AR1816" s="3"/>
      <c r="AS1816" s="3"/>
    </row>
    <row r="1817" spans="1:45" ht="15">
      <c r="A1817"/>
      <c r="J1817"/>
      <c r="AA1817"/>
      <c r="AB1817"/>
      <c r="AC1817"/>
      <c r="AD1817"/>
      <c r="AE1817"/>
      <c r="AF1817"/>
      <c r="AG1817"/>
      <c r="AH1817"/>
      <c r="AO1817" s="2"/>
      <c r="AP1817" s="3"/>
      <c r="AQ1817" s="3"/>
      <c r="AR1817" s="3"/>
      <c r="AS1817" s="3"/>
    </row>
    <row r="1818" spans="1:45" ht="15">
      <c r="A1818"/>
      <c r="J1818"/>
      <c r="AA1818"/>
      <c r="AB1818"/>
      <c r="AC1818"/>
      <c r="AD1818"/>
      <c r="AE1818"/>
      <c r="AF1818"/>
      <c r="AG1818"/>
      <c r="AH1818"/>
      <c r="AO1818" s="2"/>
      <c r="AP1818" s="3"/>
      <c r="AQ1818" s="3"/>
      <c r="AR1818" s="3"/>
      <c r="AS1818" s="3"/>
    </row>
    <row r="1819" spans="1:45" ht="15">
      <c r="A1819"/>
      <c r="J1819"/>
      <c r="AA1819"/>
      <c r="AB1819"/>
      <c r="AC1819"/>
      <c r="AD1819"/>
      <c r="AE1819"/>
      <c r="AF1819"/>
      <c r="AG1819"/>
      <c r="AH1819"/>
      <c r="AO1819" s="2"/>
      <c r="AP1819" s="3"/>
      <c r="AQ1819" s="3"/>
      <c r="AR1819" s="3"/>
      <c r="AS1819" s="3"/>
    </row>
    <row r="1820" spans="1:45" ht="15">
      <c r="A1820"/>
      <c r="J1820"/>
      <c r="AA1820"/>
      <c r="AB1820"/>
      <c r="AC1820"/>
      <c r="AD1820"/>
      <c r="AE1820"/>
      <c r="AF1820"/>
      <c r="AG1820"/>
      <c r="AH1820"/>
      <c r="AO1820" s="2"/>
      <c r="AP1820" s="3"/>
      <c r="AQ1820" s="3"/>
      <c r="AR1820" s="3"/>
      <c r="AS1820" s="3"/>
    </row>
    <row r="1821" spans="1:45" ht="15">
      <c r="A1821"/>
      <c r="J1821"/>
      <c r="AA1821"/>
      <c r="AB1821"/>
      <c r="AC1821"/>
      <c r="AD1821"/>
      <c r="AE1821"/>
      <c r="AF1821"/>
      <c r="AG1821"/>
      <c r="AH1821"/>
      <c r="AO1821" s="2"/>
      <c r="AP1821" s="3"/>
      <c r="AQ1821" s="3"/>
      <c r="AR1821" s="3"/>
      <c r="AS1821" s="3"/>
    </row>
    <row r="1822" spans="1:45" ht="15">
      <c r="A1822"/>
      <c r="J1822"/>
      <c r="AA1822"/>
      <c r="AB1822"/>
      <c r="AC1822"/>
      <c r="AD1822"/>
      <c r="AE1822"/>
      <c r="AF1822"/>
      <c r="AG1822"/>
      <c r="AH1822"/>
      <c r="AO1822" s="2"/>
      <c r="AP1822" s="3"/>
      <c r="AQ1822" s="3"/>
      <c r="AR1822" s="3"/>
      <c r="AS1822" s="3"/>
    </row>
    <row r="1823" spans="1:45" ht="15">
      <c r="A1823"/>
      <c r="J1823"/>
      <c r="AA1823"/>
      <c r="AB1823"/>
      <c r="AC1823"/>
      <c r="AD1823"/>
      <c r="AE1823"/>
      <c r="AF1823"/>
      <c r="AG1823"/>
      <c r="AH1823"/>
      <c r="AO1823" s="2"/>
      <c r="AP1823" s="3"/>
      <c r="AQ1823" s="3"/>
      <c r="AR1823" s="3"/>
      <c r="AS1823" s="3"/>
    </row>
    <row r="1824" spans="1:45" ht="15">
      <c r="A1824"/>
      <c r="J1824"/>
      <c r="AA1824"/>
      <c r="AB1824"/>
      <c r="AC1824"/>
      <c r="AD1824"/>
      <c r="AE1824"/>
      <c r="AF1824"/>
      <c r="AG1824"/>
      <c r="AH1824"/>
      <c r="AO1824" s="2"/>
      <c r="AP1824" s="3"/>
      <c r="AQ1824" s="3"/>
      <c r="AR1824" s="3"/>
      <c r="AS1824" s="3"/>
    </row>
    <row r="1825" spans="1:45" ht="15">
      <c r="A1825"/>
      <c r="J1825"/>
      <c r="AA1825"/>
      <c r="AB1825"/>
      <c r="AC1825"/>
      <c r="AD1825"/>
      <c r="AE1825"/>
      <c r="AF1825"/>
      <c r="AG1825"/>
      <c r="AH1825"/>
      <c r="AO1825" s="2"/>
      <c r="AP1825" s="3"/>
      <c r="AQ1825" s="3"/>
      <c r="AR1825" s="3"/>
      <c r="AS1825" s="3"/>
    </row>
    <row r="1826" spans="1:45" ht="15">
      <c r="A1826"/>
      <c r="J1826"/>
      <c r="AA1826"/>
      <c r="AB1826"/>
      <c r="AC1826"/>
      <c r="AD1826"/>
      <c r="AE1826"/>
      <c r="AF1826"/>
      <c r="AG1826"/>
      <c r="AH1826"/>
      <c r="AO1826" s="2"/>
      <c r="AP1826" s="3"/>
      <c r="AQ1826" s="3"/>
      <c r="AR1826" s="3"/>
      <c r="AS1826" s="3"/>
    </row>
    <row r="1827" spans="1:45" ht="15">
      <c r="A1827"/>
      <c r="J1827"/>
      <c r="AA1827"/>
      <c r="AB1827"/>
      <c r="AC1827"/>
      <c r="AD1827"/>
      <c r="AE1827"/>
      <c r="AF1827"/>
      <c r="AG1827"/>
      <c r="AH1827"/>
      <c r="AO1827" s="2"/>
      <c r="AP1827" s="3"/>
      <c r="AQ1827" s="3"/>
      <c r="AR1827" s="3"/>
      <c r="AS1827" s="3"/>
    </row>
    <row r="1828" spans="1:45" ht="15">
      <c r="A1828"/>
      <c r="J1828"/>
      <c r="AA1828"/>
      <c r="AB1828"/>
      <c r="AC1828"/>
      <c r="AD1828"/>
      <c r="AE1828"/>
      <c r="AF1828"/>
      <c r="AG1828"/>
      <c r="AH1828"/>
      <c r="AO1828" s="2"/>
      <c r="AP1828" s="3"/>
      <c r="AQ1828" s="3"/>
      <c r="AR1828" s="3"/>
      <c r="AS1828" s="3"/>
    </row>
    <row r="1829" spans="1:45" ht="15">
      <c r="A1829"/>
      <c r="J1829"/>
      <c r="AA1829"/>
      <c r="AB1829"/>
      <c r="AC1829"/>
      <c r="AD1829"/>
      <c r="AE1829"/>
      <c r="AF1829"/>
      <c r="AG1829"/>
      <c r="AH1829"/>
      <c r="AO1829" s="2"/>
      <c r="AP1829" s="3"/>
      <c r="AQ1829" s="3"/>
      <c r="AR1829" s="3"/>
      <c r="AS1829" s="3"/>
    </row>
    <row r="1830" spans="1:45" ht="15">
      <c r="A1830"/>
      <c r="J1830"/>
      <c r="AA1830"/>
      <c r="AB1830"/>
      <c r="AC1830"/>
      <c r="AD1830"/>
      <c r="AE1830"/>
      <c r="AF1830"/>
      <c r="AG1830"/>
      <c r="AH1830"/>
      <c r="AO1830" s="2"/>
      <c r="AP1830" s="3"/>
      <c r="AQ1830" s="3"/>
      <c r="AR1830" s="3"/>
      <c r="AS1830" s="3"/>
    </row>
    <row r="1831" spans="1:45" ht="15">
      <c r="A1831"/>
      <c r="J1831"/>
      <c r="AA1831"/>
      <c r="AB1831"/>
      <c r="AC1831"/>
      <c r="AD1831"/>
      <c r="AE1831"/>
      <c r="AF1831"/>
      <c r="AG1831"/>
      <c r="AH1831"/>
      <c r="AO1831" s="2"/>
      <c r="AP1831" s="3"/>
      <c r="AQ1831" s="3"/>
      <c r="AR1831" s="3"/>
      <c r="AS1831" s="3"/>
    </row>
    <row r="1832" spans="1:45" ht="15">
      <c r="A1832"/>
      <c r="J1832"/>
      <c r="AA1832"/>
      <c r="AB1832"/>
      <c r="AC1832"/>
      <c r="AD1832"/>
      <c r="AE1832"/>
      <c r="AF1832"/>
      <c r="AG1832"/>
      <c r="AH1832"/>
      <c r="AO1832" s="2"/>
      <c r="AP1832" s="3"/>
      <c r="AQ1832" s="3"/>
      <c r="AR1832" s="3"/>
      <c r="AS1832" s="3"/>
    </row>
    <row r="1833" spans="1:45" ht="15">
      <c r="A1833"/>
      <c r="J1833"/>
      <c r="AA1833"/>
      <c r="AB1833"/>
      <c r="AC1833"/>
      <c r="AD1833"/>
      <c r="AE1833"/>
      <c r="AF1833"/>
      <c r="AG1833"/>
      <c r="AH1833"/>
      <c r="AO1833" s="2"/>
      <c r="AP1833" s="3"/>
      <c r="AQ1833" s="3"/>
      <c r="AR1833" s="3"/>
      <c r="AS1833" s="3"/>
    </row>
    <row r="1834" spans="1:45" ht="15">
      <c r="A1834"/>
      <c r="J1834"/>
      <c r="AA1834"/>
      <c r="AB1834"/>
      <c r="AC1834"/>
      <c r="AD1834"/>
      <c r="AE1834"/>
      <c r="AF1834"/>
      <c r="AG1834"/>
      <c r="AH1834"/>
      <c r="AO1834" s="2"/>
      <c r="AP1834" s="3"/>
      <c r="AQ1834" s="3"/>
      <c r="AR1834" s="3"/>
      <c r="AS1834" s="3"/>
    </row>
    <row r="1835" spans="1:45" ht="15">
      <c r="A1835"/>
      <c r="J1835"/>
      <c r="AA1835"/>
      <c r="AB1835"/>
      <c r="AC1835"/>
      <c r="AD1835"/>
      <c r="AE1835"/>
      <c r="AF1835"/>
      <c r="AG1835"/>
      <c r="AH1835"/>
      <c r="AO1835" s="2"/>
      <c r="AP1835" s="3"/>
      <c r="AQ1835" s="3"/>
      <c r="AR1835" s="3"/>
      <c r="AS1835" s="3"/>
    </row>
    <row r="1836" spans="1:45" ht="15">
      <c r="A1836"/>
      <c r="J1836"/>
      <c r="AA1836"/>
      <c r="AB1836"/>
      <c r="AC1836"/>
      <c r="AD1836"/>
      <c r="AE1836"/>
      <c r="AF1836"/>
      <c r="AG1836"/>
      <c r="AH1836"/>
      <c r="AO1836" s="2"/>
      <c r="AP1836" s="3"/>
      <c r="AQ1836" s="3"/>
      <c r="AR1836" s="3"/>
      <c r="AS1836" s="3"/>
    </row>
    <row r="1837" spans="1:45" ht="15">
      <c r="A1837"/>
      <c r="J1837"/>
      <c r="AA1837"/>
      <c r="AB1837"/>
      <c r="AC1837"/>
      <c r="AD1837"/>
      <c r="AE1837"/>
      <c r="AF1837"/>
      <c r="AG1837"/>
      <c r="AH1837"/>
      <c r="AO1837" s="2"/>
      <c r="AP1837" s="3"/>
      <c r="AQ1837" s="3"/>
      <c r="AR1837" s="3"/>
      <c r="AS1837" s="3"/>
    </row>
    <row r="1838" spans="1:45" ht="15">
      <c r="A1838"/>
      <c r="J1838"/>
      <c r="AA1838"/>
      <c r="AB1838"/>
      <c r="AC1838"/>
      <c r="AD1838"/>
      <c r="AE1838"/>
      <c r="AF1838"/>
      <c r="AG1838"/>
      <c r="AH1838"/>
      <c r="AO1838" s="2"/>
      <c r="AP1838" s="3"/>
      <c r="AQ1838" s="3"/>
      <c r="AR1838" s="3"/>
      <c r="AS1838" s="3"/>
    </row>
    <row r="1839" spans="1:45" ht="15">
      <c r="A1839"/>
      <c r="J1839"/>
      <c r="AA1839"/>
      <c r="AB1839"/>
      <c r="AC1839"/>
      <c r="AD1839"/>
      <c r="AE1839"/>
      <c r="AF1839"/>
      <c r="AG1839"/>
      <c r="AH1839"/>
      <c r="AO1839" s="2"/>
      <c r="AP1839" s="3"/>
      <c r="AQ1839" s="3"/>
      <c r="AR1839" s="3"/>
      <c r="AS1839" s="3"/>
    </row>
    <row r="1840" spans="1:45" ht="15">
      <c r="A1840"/>
      <c r="J1840"/>
      <c r="AA1840"/>
      <c r="AB1840"/>
      <c r="AC1840"/>
      <c r="AD1840"/>
      <c r="AE1840"/>
      <c r="AF1840"/>
      <c r="AG1840"/>
      <c r="AH1840"/>
      <c r="AO1840" s="2"/>
      <c r="AP1840" s="3"/>
      <c r="AQ1840" s="3"/>
      <c r="AR1840" s="3"/>
      <c r="AS1840" s="3"/>
    </row>
    <row r="1841" spans="1:45" ht="15">
      <c r="A1841"/>
      <c r="J1841"/>
      <c r="AA1841"/>
      <c r="AB1841"/>
      <c r="AC1841"/>
      <c r="AD1841"/>
      <c r="AE1841"/>
      <c r="AF1841"/>
      <c r="AG1841"/>
      <c r="AH1841"/>
      <c r="AO1841" s="2"/>
      <c r="AP1841" s="3"/>
      <c r="AQ1841" s="3"/>
      <c r="AR1841" s="3"/>
      <c r="AS1841" s="3"/>
    </row>
    <row r="1842" spans="1:45" ht="15">
      <c r="A1842"/>
      <c r="J1842"/>
      <c r="AA1842"/>
      <c r="AB1842"/>
      <c r="AC1842"/>
      <c r="AD1842"/>
      <c r="AE1842"/>
      <c r="AF1842"/>
      <c r="AG1842"/>
      <c r="AH1842"/>
      <c r="AO1842" s="2"/>
      <c r="AP1842" s="3"/>
      <c r="AQ1842" s="3"/>
      <c r="AR1842" s="3"/>
      <c r="AS1842" s="3"/>
    </row>
    <row r="1843" spans="1:45" ht="15">
      <c r="A1843"/>
      <c r="J1843"/>
      <c r="AA1843"/>
      <c r="AB1843"/>
      <c r="AC1843"/>
      <c r="AD1843"/>
      <c r="AE1843"/>
      <c r="AF1843"/>
      <c r="AG1843"/>
      <c r="AH1843"/>
      <c r="AO1843" s="2"/>
      <c r="AP1843" s="3"/>
      <c r="AQ1843" s="3"/>
      <c r="AR1843" s="3"/>
      <c r="AS1843" s="3"/>
    </row>
    <row r="1844" spans="1:45" ht="15">
      <c r="A1844"/>
      <c r="J1844"/>
      <c r="AA1844"/>
      <c r="AB1844"/>
      <c r="AC1844"/>
      <c r="AD1844"/>
      <c r="AE1844"/>
      <c r="AF1844"/>
      <c r="AG1844"/>
      <c r="AH1844"/>
      <c r="AO1844" s="2"/>
      <c r="AP1844" s="3"/>
      <c r="AQ1844" s="3"/>
      <c r="AR1844" s="3"/>
      <c r="AS1844" s="3"/>
    </row>
    <row r="1845" spans="1:45" ht="15">
      <c r="A1845"/>
      <c r="J1845"/>
      <c r="AA1845"/>
      <c r="AB1845"/>
      <c r="AC1845"/>
      <c r="AD1845"/>
      <c r="AE1845"/>
      <c r="AF1845"/>
      <c r="AG1845"/>
      <c r="AH1845"/>
      <c r="AO1845" s="2"/>
      <c r="AP1845" s="3"/>
      <c r="AQ1845" s="3"/>
      <c r="AR1845" s="3"/>
      <c r="AS1845" s="3"/>
    </row>
    <row r="1846" spans="1:45" ht="15">
      <c r="A1846"/>
      <c r="J1846"/>
      <c r="AA1846"/>
      <c r="AB1846"/>
      <c r="AC1846"/>
      <c r="AD1846"/>
      <c r="AE1846"/>
      <c r="AF1846"/>
      <c r="AG1846"/>
      <c r="AH1846"/>
      <c r="AO1846" s="2"/>
      <c r="AP1846" s="3"/>
      <c r="AQ1846" s="3"/>
      <c r="AR1846" s="3"/>
      <c r="AS1846" s="3"/>
    </row>
    <row r="1847" spans="1:45" ht="15">
      <c r="A1847"/>
      <c r="J1847"/>
      <c r="AA1847"/>
      <c r="AB1847"/>
      <c r="AC1847"/>
      <c r="AD1847"/>
      <c r="AE1847"/>
      <c r="AF1847"/>
      <c r="AG1847"/>
      <c r="AH1847"/>
      <c r="AO1847" s="2"/>
      <c r="AP1847" s="3"/>
      <c r="AQ1847" s="3"/>
      <c r="AR1847" s="3"/>
      <c r="AS1847" s="3"/>
    </row>
    <row r="1848" spans="1:45" ht="15">
      <c r="A1848"/>
      <c r="J1848"/>
      <c r="AA1848"/>
      <c r="AB1848"/>
      <c r="AC1848"/>
      <c r="AD1848"/>
      <c r="AE1848"/>
      <c r="AF1848"/>
      <c r="AG1848"/>
      <c r="AH1848"/>
      <c r="AO1848" s="2"/>
      <c r="AP1848" s="3"/>
      <c r="AQ1848" s="3"/>
      <c r="AR1848" s="3"/>
      <c r="AS1848" s="3"/>
    </row>
    <row r="1849" spans="1:45" ht="15">
      <c r="A1849"/>
      <c r="J1849"/>
      <c r="AA1849"/>
      <c r="AB1849"/>
      <c r="AC1849"/>
      <c r="AD1849"/>
      <c r="AE1849"/>
      <c r="AF1849"/>
      <c r="AG1849"/>
      <c r="AH1849"/>
      <c r="AO1849" s="2"/>
      <c r="AP1849" s="3"/>
      <c r="AQ1849" s="3"/>
      <c r="AR1849" s="3"/>
      <c r="AS1849" s="3"/>
    </row>
    <row r="1850" spans="1:45" ht="15">
      <c r="A1850"/>
      <c r="J1850"/>
      <c r="AA1850"/>
      <c r="AB1850"/>
      <c r="AC1850"/>
      <c r="AD1850"/>
      <c r="AE1850"/>
      <c r="AF1850"/>
      <c r="AG1850"/>
      <c r="AH1850"/>
      <c r="AO1850" s="2"/>
      <c r="AP1850" s="3"/>
      <c r="AQ1850" s="3"/>
      <c r="AR1850" s="3"/>
      <c r="AS1850" s="3"/>
    </row>
    <row r="1851" spans="1:45" ht="15">
      <c r="A1851"/>
      <c r="J1851"/>
      <c r="AA1851"/>
      <c r="AB1851"/>
      <c r="AC1851"/>
      <c r="AD1851"/>
      <c r="AE1851"/>
      <c r="AF1851"/>
      <c r="AG1851"/>
      <c r="AH1851"/>
      <c r="AO1851" s="2"/>
      <c r="AP1851" s="3"/>
      <c r="AQ1851" s="3"/>
      <c r="AR1851" s="3"/>
      <c r="AS1851" s="3"/>
    </row>
    <row r="1852" spans="1:45" ht="15">
      <c r="A1852"/>
      <c r="J1852"/>
      <c r="AA1852"/>
      <c r="AB1852"/>
      <c r="AC1852"/>
      <c r="AD1852"/>
      <c r="AE1852"/>
      <c r="AF1852"/>
      <c r="AG1852"/>
      <c r="AH1852"/>
      <c r="AO1852" s="2"/>
      <c r="AP1852" s="3"/>
      <c r="AQ1852" s="3"/>
      <c r="AR1852" s="3"/>
      <c r="AS1852" s="3"/>
    </row>
    <row r="1853" spans="1:45" ht="15">
      <c r="A1853"/>
      <c r="J1853"/>
      <c r="AA1853"/>
      <c r="AB1853"/>
      <c r="AC1853"/>
      <c r="AD1853"/>
      <c r="AE1853"/>
      <c r="AF1853"/>
      <c r="AG1853"/>
      <c r="AH1853"/>
      <c r="AO1853" s="2"/>
      <c r="AP1853" s="3"/>
      <c r="AQ1853" s="3"/>
      <c r="AR1853" s="3"/>
      <c r="AS1853" s="3"/>
    </row>
    <row r="1854" spans="1:45" ht="15">
      <c r="A1854"/>
      <c r="J1854"/>
      <c r="AA1854"/>
      <c r="AB1854"/>
      <c r="AC1854"/>
      <c r="AD1854"/>
      <c r="AE1854"/>
      <c r="AF1854"/>
      <c r="AG1854"/>
      <c r="AH1854"/>
      <c r="AO1854" s="2"/>
      <c r="AP1854" s="3"/>
      <c r="AQ1854" s="3"/>
      <c r="AR1854" s="3"/>
      <c r="AS1854" s="3"/>
    </row>
    <row r="1855" spans="1:45" ht="15">
      <c r="A1855"/>
      <c r="J1855"/>
      <c r="AA1855"/>
      <c r="AB1855"/>
      <c r="AC1855"/>
      <c r="AD1855"/>
      <c r="AE1855"/>
      <c r="AF1855"/>
      <c r="AG1855"/>
      <c r="AH1855"/>
      <c r="AO1855" s="2"/>
      <c r="AP1855" s="3"/>
      <c r="AQ1855" s="3"/>
      <c r="AR1855" s="3"/>
      <c r="AS1855" s="3"/>
    </row>
    <row r="1856" spans="1:45" ht="15">
      <c r="A1856"/>
      <c r="J1856"/>
      <c r="AA1856"/>
      <c r="AB1856"/>
      <c r="AC1856"/>
      <c r="AD1856"/>
      <c r="AE1856"/>
      <c r="AF1856"/>
      <c r="AG1856"/>
      <c r="AH1856"/>
      <c r="AO1856" s="2"/>
      <c r="AP1856" s="3"/>
      <c r="AQ1856" s="3"/>
      <c r="AR1856" s="3"/>
      <c r="AS1856" s="3"/>
    </row>
    <row r="1857" spans="1:45" ht="15">
      <c r="A1857"/>
      <c r="J1857"/>
      <c r="AA1857"/>
      <c r="AB1857"/>
      <c r="AC1857"/>
      <c r="AD1857"/>
      <c r="AE1857"/>
      <c r="AF1857"/>
      <c r="AG1857"/>
      <c r="AH1857"/>
      <c r="AO1857" s="2"/>
      <c r="AP1857" s="3"/>
      <c r="AQ1857" s="3"/>
      <c r="AR1857" s="3"/>
      <c r="AS1857" s="3"/>
    </row>
    <row r="1858" spans="1:45" ht="15">
      <c r="A1858"/>
      <c r="J1858"/>
      <c r="AA1858"/>
      <c r="AB1858"/>
      <c r="AC1858"/>
      <c r="AD1858"/>
      <c r="AE1858"/>
      <c r="AF1858"/>
      <c r="AG1858"/>
      <c r="AH1858"/>
      <c r="AO1858" s="2"/>
      <c r="AP1858" s="3"/>
      <c r="AQ1858" s="3"/>
      <c r="AR1858" s="3"/>
      <c r="AS1858" s="3"/>
    </row>
    <row r="1859" spans="1:45" ht="15">
      <c r="A1859"/>
      <c r="J1859"/>
      <c r="AA1859"/>
      <c r="AB1859"/>
      <c r="AC1859"/>
      <c r="AD1859"/>
      <c r="AE1859"/>
      <c r="AF1859"/>
      <c r="AG1859"/>
      <c r="AH1859"/>
      <c r="AO1859" s="2"/>
      <c r="AP1859" s="3"/>
      <c r="AQ1859" s="3"/>
      <c r="AR1859" s="3"/>
      <c r="AS1859" s="3"/>
    </row>
    <row r="1860" spans="1:45" ht="15">
      <c r="A1860"/>
      <c r="J1860"/>
      <c r="AA1860"/>
      <c r="AB1860"/>
      <c r="AC1860"/>
      <c r="AD1860"/>
      <c r="AE1860"/>
      <c r="AF1860"/>
      <c r="AG1860"/>
      <c r="AH1860"/>
      <c r="AO1860" s="2"/>
      <c r="AP1860" s="3"/>
      <c r="AQ1860" s="3"/>
      <c r="AR1860" s="3"/>
      <c r="AS1860" s="3"/>
    </row>
    <row r="1861" spans="1:45" ht="15">
      <c r="A1861"/>
      <c r="J1861"/>
      <c r="AA1861"/>
      <c r="AB1861"/>
      <c r="AC1861"/>
      <c r="AD1861"/>
      <c r="AE1861"/>
      <c r="AF1861"/>
      <c r="AG1861"/>
      <c r="AH1861"/>
      <c r="AO1861" s="2"/>
      <c r="AP1861" s="3"/>
      <c r="AQ1861" s="3"/>
      <c r="AR1861" s="3"/>
      <c r="AS1861" s="3"/>
    </row>
    <row r="1862" spans="1:45" ht="15">
      <c r="A1862"/>
      <c r="J1862"/>
      <c r="AA1862"/>
      <c r="AB1862"/>
      <c r="AC1862"/>
      <c r="AD1862"/>
      <c r="AE1862"/>
      <c r="AF1862"/>
      <c r="AG1862"/>
      <c r="AH1862"/>
      <c r="AO1862" s="2"/>
      <c r="AP1862" s="3"/>
      <c r="AQ1862" s="3"/>
      <c r="AR1862" s="3"/>
      <c r="AS1862" s="3"/>
    </row>
    <row r="1863" spans="1:45" ht="15">
      <c r="A1863"/>
      <c r="J1863"/>
      <c r="AA1863"/>
      <c r="AB1863"/>
      <c r="AC1863"/>
      <c r="AD1863"/>
      <c r="AE1863"/>
      <c r="AF1863"/>
      <c r="AG1863"/>
      <c r="AH1863"/>
      <c r="AO1863" s="2"/>
      <c r="AP1863" s="3"/>
      <c r="AQ1863" s="3"/>
      <c r="AR1863" s="3"/>
      <c r="AS1863" s="3"/>
    </row>
    <row r="1864" spans="1:45" ht="15">
      <c r="A1864"/>
      <c r="J1864"/>
      <c r="AA1864"/>
      <c r="AB1864"/>
      <c r="AC1864"/>
      <c r="AD1864"/>
      <c r="AE1864"/>
      <c r="AF1864"/>
      <c r="AG1864"/>
      <c r="AH1864"/>
      <c r="AO1864" s="2"/>
      <c r="AP1864" s="3"/>
      <c r="AQ1864" s="3"/>
      <c r="AR1864" s="3"/>
      <c r="AS1864" s="3"/>
    </row>
    <row r="1865" spans="1:45" ht="15">
      <c r="A1865"/>
      <c r="J1865"/>
      <c r="AA1865"/>
      <c r="AB1865"/>
      <c r="AC1865"/>
      <c r="AD1865"/>
      <c r="AE1865"/>
      <c r="AF1865"/>
      <c r="AG1865"/>
      <c r="AH1865"/>
      <c r="AO1865" s="2"/>
      <c r="AP1865" s="3"/>
      <c r="AQ1865" s="3"/>
      <c r="AR1865" s="3"/>
      <c r="AS1865" s="3"/>
    </row>
    <row r="1866" spans="1:45" ht="15">
      <c r="A1866"/>
      <c r="J1866"/>
      <c r="AA1866"/>
      <c r="AB1866"/>
      <c r="AC1866"/>
      <c r="AD1866"/>
      <c r="AE1866"/>
      <c r="AF1866"/>
      <c r="AG1866"/>
      <c r="AH1866"/>
      <c r="AO1866" s="2"/>
      <c r="AP1866" s="3"/>
      <c r="AQ1866" s="3"/>
      <c r="AR1866" s="3"/>
      <c r="AS1866" s="3"/>
    </row>
    <row r="1867" spans="1:45" ht="15">
      <c r="A1867"/>
      <c r="J1867"/>
      <c r="AA1867"/>
      <c r="AB1867"/>
      <c r="AC1867"/>
      <c r="AD1867"/>
      <c r="AE1867"/>
      <c r="AF1867"/>
      <c r="AG1867"/>
      <c r="AH1867"/>
      <c r="AO1867" s="2"/>
      <c r="AP1867" s="3"/>
      <c r="AQ1867" s="3"/>
      <c r="AR1867" s="3"/>
      <c r="AS1867" s="3"/>
    </row>
    <row r="1868" spans="1:45" ht="15">
      <c r="A1868"/>
      <c r="J1868"/>
      <c r="AA1868"/>
      <c r="AB1868"/>
      <c r="AC1868"/>
      <c r="AD1868"/>
      <c r="AE1868"/>
      <c r="AF1868"/>
      <c r="AG1868"/>
      <c r="AH1868"/>
      <c r="AO1868" s="2"/>
      <c r="AP1868" s="3"/>
      <c r="AQ1868" s="3"/>
      <c r="AR1868" s="3"/>
      <c r="AS1868" s="3"/>
    </row>
    <row r="1869" spans="1:45" ht="15">
      <c r="A1869"/>
      <c r="J1869"/>
      <c r="AA1869"/>
      <c r="AB1869"/>
      <c r="AC1869"/>
      <c r="AD1869"/>
      <c r="AE1869"/>
      <c r="AF1869"/>
      <c r="AG1869"/>
      <c r="AH1869"/>
      <c r="AO1869" s="2"/>
      <c r="AP1869" s="3"/>
      <c r="AQ1869" s="3"/>
      <c r="AR1869" s="3"/>
      <c r="AS1869" s="3"/>
    </row>
    <row r="1870" spans="1:45" ht="15">
      <c r="A1870"/>
      <c r="J1870"/>
      <c r="AA1870"/>
      <c r="AB1870"/>
      <c r="AC1870"/>
      <c r="AD1870"/>
      <c r="AE1870"/>
      <c r="AF1870"/>
      <c r="AG1870"/>
      <c r="AH1870"/>
      <c r="AO1870" s="2"/>
      <c r="AP1870" s="3"/>
      <c r="AQ1870" s="3"/>
      <c r="AR1870" s="3"/>
      <c r="AS1870" s="3"/>
    </row>
    <row r="1871" spans="1:45" ht="15">
      <c r="A1871"/>
      <c r="J1871"/>
      <c r="AA1871"/>
      <c r="AB1871"/>
      <c r="AC1871"/>
      <c r="AD1871"/>
      <c r="AE1871"/>
      <c r="AF1871"/>
      <c r="AG1871"/>
      <c r="AH1871"/>
      <c r="AO1871" s="2"/>
      <c r="AP1871" s="3"/>
      <c r="AQ1871" s="3"/>
      <c r="AR1871" s="3"/>
      <c r="AS1871" s="3"/>
    </row>
    <row r="1872" spans="1:45" ht="15">
      <c r="A1872"/>
      <c r="J1872"/>
      <c r="AA1872"/>
      <c r="AB1872"/>
      <c r="AC1872"/>
      <c r="AD1872"/>
      <c r="AE1872"/>
      <c r="AF1872"/>
      <c r="AG1872"/>
      <c r="AH1872"/>
      <c r="AO1872" s="2"/>
      <c r="AP1872" s="3"/>
      <c r="AQ1872" s="3"/>
      <c r="AR1872" s="3"/>
      <c r="AS1872" s="3"/>
    </row>
    <row r="1873" spans="1:45" ht="15">
      <c r="A1873"/>
      <c r="J1873"/>
      <c r="AA1873"/>
      <c r="AB1873"/>
      <c r="AC1873"/>
      <c r="AD1873"/>
      <c r="AE1873"/>
      <c r="AF1873"/>
      <c r="AG1873"/>
      <c r="AH1873"/>
      <c r="AO1873" s="2"/>
      <c r="AP1873" s="3"/>
      <c r="AQ1873" s="3"/>
      <c r="AR1873" s="3"/>
      <c r="AS1873" s="3"/>
    </row>
    <row r="1874" spans="1:45" ht="15">
      <c r="A1874"/>
      <c r="J1874"/>
      <c r="AA1874"/>
      <c r="AB1874"/>
      <c r="AC1874"/>
      <c r="AD1874"/>
      <c r="AE1874"/>
      <c r="AF1874"/>
      <c r="AG1874"/>
      <c r="AH1874"/>
      <c r="AO1874" s="2"/>
      <c r="AP1874" s="3"/>
      <c r="AQ1874" s="3"/>
      <c r="AR1874" s="3"/>
      <c r="AS1874" s="3"/>
    </row>
    <row r="1875" spans="1:45" ht="15">
      <c r="A1875"/>
      <c r="J1875"/>
      <c r="AA1875"/>
      <c r="AB1875"/>
      <c r="AC1875"/>
      <c r="AD1875"/>
      <c r="AE1875"/>
      <c r="AF1875"/>
      <c r="AG1875"/>
      <c r="AH1875"/>
      <c r="AO1875" s="2"/>
      <c r="AP1875" s="3"/>
      <c r="AQ1875" s="3"/>
      <c r="AR1875" s="3"/>
      <c r="AS1875" s="3"/>
    </row>
    <row r="1876" spans="1:45" ht="15">
      <c r="A1876"/>
      <c r="J1876"/>
      <c r="AA1876"/>
      <c r="AB1876"/>
      <c r="AC1876"/>
      <c r="AD1876"/>
      <c r="AE1876"/>
      <c r="AF1876"/>
      <c r="AG1876"/>
      <c r="AH1876"/>
      <c r="AO1876" s="2"/>
      <c r="AP1876" s="3"/>
      <c r="AQ1876" s="3"/>
      <c r="AR1876" s="3"/>
      <c r="AS1876" s="3"/>
    </row>
    <row r="1877" spans="1:45" ht="15">
      <c r="A1877"/>
      <c r="J1877"/>
      <c r="AA1877"/>
      <c r="AB1877"/>
      <c r="AC1877"/>
      <c r="AD1877"/>
      <c r="AE1877"/>
      <c r="AF1877"/>
      <c r="AG1877"/>
      <c r="AH1877"/>
      <c r="AO1877" s="2"/>
      <c r="AP1877" s="3"/>
      <c r="AQ1877" s="3"/>
      <c r="AR1877" s="3"/>
      <c r="AS1877" s="3"/>
    </row>
    <row r="1878" spans="1:45" ht="15">
      <c r="A1878"/>
      <c r="J1878"/>
      <c r="AA1878"/>
      <c r="AB1878"/>
      <c r="AC1878"/>
      <c r="AD1878"/>
      <c r="AE1878"/>
      <c r="AF1878"/>
      <c r="AG1878"/>
      <c r="AH1878"/>
      <c r="AO1878" s="2"/>
      <c r="AP1878" s="3"/>
      <c r="AQ1878" s="3"/>
      <c r="AR1878" s="3"/>
      <c r="AS1878" s="3"/>
    </row>
    <row r="1879" spans="1:45" ht="15">
      <c r="A1879"/>
      <c r="J1879"/>
      <c r="AA1879"/>
      <c r="AB1879"/>
      <c r="AC1879"/>
      <c r="AD1879"/>
      <c r="AE1879"/>
      <c r="AF1879"/>
      <c r="AG1879"/>
      <c r="AH1879"/>
      <c r="AO1879" s="2"/>
      <c r="AP1879" s="3"/>
      <c r="AQ1879" s="3"/>
      <c r="AR1879" s="3"/>
      <c r="AS1879" s="3"/>
    </row>
    <row r="1880" spans="1:45" ht="15">
      <c r="A1880"/>
      <c r="J1880"/>
      <c r="AA1880"/>
      <c r="AB1880"/>
      <c r="AC1880"/>
      <c r="AD1880"/>
      <c r="AE1880"/>
      <c r="AF1880"/>
      <c r="AG1880"/>
      <c r="AH1880"/>
      <c r="AO1880" s="2"/>
      <c r="AP1880" s="3"/>
      <c r="AQ1880" s="3"/>
      <c r="AR1880" s="3"/>
      <c r="AS1880" s="3"/>
    </row>
    <row r="1881" spans="1:45" ht="15">
      <c r="A1881"/>
      <c r="J1881"/>
      <c r="AA1881"/>
      <c r="AB1881"/>
      <c r="AC1881"/>
      <c r="AD1881"/>
      <c r="AE1881"/>
      <c r="AF1881"/>
      <c r="AG1881"/>
      <c r="AH1881"/>
      <c r="AO1881" s="2"/>
      <c r="AP1881" s="3"/>
      <c r="AQ1881" s="3"/>
      <c r="AR1881" s="3"/>
      <c r="AS1881" s="3"/>
    </row>
    <row r="1882" spans="1:45" ht="15">
      <c r="A1882"/>
      <c r="J1882"/>
      <c r="AA1882"/>
      <c r="AB1882"/>
      <c r="AC1882"/>
      <c r="AD1882"/>
      <c r="AE1882"/>
      <c r="AF1882"/>
      <c r="AG1882"/>
      <c r="AH1882"/>
      <c r="AO1882" s="2"/>
      <c r="AP1882" s="3"/>
      <c r="AQ1882" s="3"/>
      <c r="AR1882" s="3"/>
      <c r="AS1882" s="3"/>
    </row>
    <row r="1883" spans="1:45" ht="15">
      <c r="A1883"/>
      <c r="J1883"/>
      <c r="AA1883"/>
      <c r="AB1883"/>
      <c r="AC1883"/>
      <c r="AD1883"/>
      <c r="AE1883"/>
      <c r="AF1883"/>
      <c r="AG1883"/>
      <c r="AH1883"/>
      <c r="AO1883" s="2"/>
      <c r="AP1883" s="3"/>
      <c r="AQ1883" s="3"/>
      <c r="AR1883" s="3"/>
      <c r="AS1883" s="3"/>
    </row>
    <row r="1884" spans="1:45" ht="15">
      <c r="A1884"/>
      <c r="J1884"/>
      <c r="AA1884"/>
      <c r="AB1884"/>
      <c r="AC1884"/>
      <c r="AD1884"/>
      <c r="AE1884"/>
      <c r="AF1884"/>
      <c r="AG1884"/>
      <c r="AH1884"/>
      <c r="AO1884" s="2"/>
      <c r="AP1884" s="3"/>
      <c r="AQ1884" s="3"/>
      <c r="AR1884" s="3"/>
      <c r="AS1884" s="3"/>
    </row>
    <row r="1885" spans="1:45" ht="15">
      <c r="A1885"/>
      <c r="J1885"/>
      <c r="AA1885"/>
      <c r="AB1885"/>
      <c r="AC1885"/>
      <c r="AD1885"/>
      <c r="AE1885"/>
      <c r="AF1885"/>
      <c r="AG1885"/>
      <c r="AH1885"/>
      <c r="AO1885" s="2"/>
      <c r="AP1885" s="3"/>
      <c r="AQ1885" s="3"/>
      <c r="AR1885" s="3"/>
      <c r="AS1885" s="3"/>
    </row>
    <row r="1886" spans="1:45" ht="15">
      <c r="A1886"/>
      <c r="J1886"/>
      <c r="AA1886"/>
      <c r="AB1886"/>
      <c r="AC1886"/>
      <c r="AD1886"/>
      <c r="AE1886"/>
      <c r="AF1886"/>
      <c r="AG1886"/>
      <c r="AH1886"/>
      <c r="AO1886" s="2"/>
      <c r="AP1886" s="3"/>
      <c r="AQ1886" s="3"/>
      <c r="AR1886" s="3"/>
      <c r="AS1886" s="3"/>
    </row>
    <row r="1887" spans="1:45" ht="15">
      <c r="A1887"/>
      <c r="J1887"/>
      <c r="AA1887"/>
      <c r="AB1887"/>
      <c r="AC1887"/>
      <c r="AD1887"/>
      <c r="AE1887"/>
      <c r="AF1887"/>
      <c r="AG1887"/>
      <c r="AH1887"/>
      <c r="AO1887" s="2"/>
      <c r="AP1887" s="3"/>
      <c r="AQ1887" s="3"/>
      <c r="AR1887" s="3"/>
      <c r="AS1887" s="3"/>
    </row>
    <row r="1888" spans="1:45" ht="15">
      <c r="A1888"/>
      <c r="J1888"/>
      <c r="AA1888"/>
      <c r="AB1888"/>
      <c r="AC1888"/>
      <c r="AD1888"/>
      <c r="AE1888"/>
      <c r="AF1888"/>
      <c r="AG1888"/>
      <c r="AH1888"/>
      <c r="AO1888" s="2"/>
      <c r="AP1888" s="3"/>
      <c r="AQ1888" s="3"/>
      <c r="AR1888" s="3"/>
      <c r="AS1888" s="3"/>
    </row>
    <row r="1889" spans="1:45" ht="15">
      <c r="A1889"/>
      <c r="J1889"/>
      <c r="AA1889"/>
      <c r="AB1889"/>
      <c r="AC1889"/>
      <c r="AD1889"/>
      <c r="AE1889"/>
      <c r="AF1889"/>
      <c r="AG1889"/>
      <c r="AH1889"/>
      <c r="AO1889" s="2"/>
      <c r="AP1889" s="3"/>
      <c r="AQ1889" s="3"/>
      <c r="AR1889" s="3"/>
      <c r="AS1889" s="3"/>
    </row>
    <row r="1890" spans="1:45" ht="15">
      <c r="A1890"/>
      <c r="J1890"/>
      <c r="AA1890"/>
      <c r="AB1890"/>
      <c r="AC1890"/>
      <c r="AD1890"/>
      <c r="AE1890"/>
      <c r="AF1890"/>
      <c r="AG1890"/>
      <c r="AH1890"/>
      <c r="AO1890" s="2"/>
      <c r="AP1890" s="3"/>
      <c r="AQ1890" s="3"/>
      <c r="AR1890" s="3"/>
      <c r="AS1890" s="3"/>
    </row>
    <row r="1891" spans="1:45" ht="15">
      <c r="A1891"/>
      <c r="J1891"/>
      <c r="AA1891"/>
      <c r="AB1891"/>
      <c r="AC1891"/>
      <c r="AD1891"/>
      <c r="AE1891"/>
      <c r="AF1891"/>
      <c r="AG1891"/>
      <c r="AH1891"/>
      <c r="AO1891" s="2"/>
      <c r="AP1891" s="3"/>
      <c r="AQ1891" s="3"/>
      <c r="AR1891" s="3"/>
      <c r="AS1891" s="3"/>
    </row>
    <row r="1892" spans="1:45" ht="15">
      <c r="A1892"/>
      <c r="J1892"/>
      <c r="AA1892"/>
      <c r="AB1892"/>
      <c r="AC1892"/>
      <c r="AD1892"/>
      <c r="AE1892"/>
      <c r="AF1892"/>
      <c r="AG1892"/>
      <c r="AH1892"/>
      <c r="AO1892" s="2"/>
      <c r="AP1892" s="3"/>
      <c r="AQ1892" s="3"/>
      <c r="AR1892" s="3"/>
      <c r="AS1892" s="3"/>
    </row>
    <row r="1893" spans="1:45" ht="15">
      <c r="A1893"/>
      <c r="J1893"/>
      <c r="AA1893"/>
      <c r="AB1893"/>
      <c r="AC1893"/>
      <c r="AD1893"/>
      <c r="AE1893"/>
      <c r="AF1893"/>
      <c r="AG1893"/>
      <c r="AH1893"/>
      <c r="AO1893" s="2"/>
      <c r="AP1893" s="3"/>
      <c r="AQ1893" s="3"/>
      <c r="AR1893" s="3"/>
      <c r="AS1893" s="3"/>
    </row>
    <row r="1894" spans="1:45" ht="15">
      <c r="A1894"/>
      <c r="J1894"/>
      <c r="AA1894"/>
      <c r="AB1894"/>
      <c r="AC1894"/>
      <c r="AD1894"/>
      <c r="AE1894"/>
      <c r="AF1894"/>
      <c r="AG1894"/>
      <c r="AH1894"/>
      <c r="AO1894" s="2"/>
      <c r="AP1894" s="3"/>
      <c r="AQ1894" s="3"/>
      <c r="AR1894" s="3"/>
      <c r="AS1894" s="3"/>
    </row>
    <row r="1895" spans="1:45" ht="15">
      <c r="A1895"/>
      <c r="J1895"/>
      <c r="AA1895"/>
      <c r="AB1895"/>
      <c r="AC1895"/>
      <c r="AD1895"/>
      <c r="AE1895"/>
      <c r="AF1895"/>
      <c r="AG1895"/>
      <c r="AH1895"/>
      <c r="AO1895" s="2"/>
      <c r="AP1895" s="3"/>
      <c r="AQ1895" s="3"/>
      <c r="AR1895" s="3"/>
      <c r="AS1895" s="3"/>
    </row>
    <row r="1896" spans="1:45" ht="15">
      <c r="A1896"/>
      <c r="J1896"/>
      <c r="AA1896"/>
      <c r="AB1896"/>
      <c r="AC1896"/>
      <c r="AD1896"/>
      <c r="AE1896"/>
      <c r="AF1896"/>
      <c r="AG1896"/>
      <c r="AH1896"/>
      <c r="AO1896" s="2"/>
      <c r="AP1896" s="3"/>
      <c r="AQ1896" s="3"/>
      <c r="AR1896" s="3"/>
      <c r="AS1896" s="3"/>
    </row>
    <row r="1897" spans="1:45" ht="15">
      <c r="A1897"/>
      <c r="J1897"/>
      <c r="AA1897"/>
      <c r="AB1897"/>
      <c r="AC1897"/>
      <c r="AD1897"/>
      <c r="AE1897"/>
      <c r="AF1897"/>
      <c r="AG1897"/>
      <c r="AH1897"/>
      <c r="AO1897" s="2"/>
      <c r="AP1897" s="3"/>
      <c r="AQ1897" s="3"/>
      <c r="AR1897" s="3"/>
      <c r="AS1897" s="3"/>
    </row>
    <row r="1898" spans="1:45" ht="15">
      <c r="A1898"/>
      <c r="J1898"/>
      <c r="AA1898"/>
      <c r="AB1898"/>
      <c r="AC1898"/>
      <c r="AD1898"/>
      <c r="AE1898"/>
      <c r="AF1898"/>
      <c r="AG1898"/>
      <c r="AH1898"/>
      <c r="AO1898" s="2"/>
      <c r="AP1898" s="3"/>
      <c r="AQ1898" s="3"/>
      <c r="AR1898" s="3"/>
      <c r="AS1898" s="3"/>
    </row>
    <row r="1899" spans="1:45" ht="15">
      <c r="A1899"/>
      <c r="J1899"/>
      <c r="AA1899"/>
      <c r="AB1899"/>
      <c r="AC1899"/>
      <c r="AD1899"/>
      <c r="AE1899"/>
      <c r="AF1899"/>
      <c r="AG1899"/>
      <c r="AH1899"/>
      <c r="AO1899" s="2"/>
      <c r="AP1899" s="3"/>
      <c r="AQ1899" s="3"/>
      <c r="AR1899" s="3"/>
      <c r="AS1899" s="3"/>
    </row>
    <row r="1900" spans="1:45" ht="15">
      <c r="A1900"/>
      <c r="J1900"/>
      <c r="AA1900"/>
      <c r="AB1900"/>
      <c r="AC1900"/>
      <c r="AD1900"/>
      <c r="AE1900"/>
      <c r="AF1900"/>
      <c r="AG1900"/>
      <c r="AH1900"/>
      <c r="AO1900" s="2"/>
      <c r="AP1900" s="3"/>
      <c r="AQ1900" s="3"/>
      <c r="AR1900" s="3"/>
      <c r="AS1900" s="3"/>
    </row>
    <row r="1901" spans="1:45" ht="15">
      <c r="A1901"/>
      <c r="J1901"/>
      <c r="AA1901"/>
      <c r="AB1901"/>
      <c r="AC1901"/>
      <c r="AD1901"/>
      <c r="AE1901"/>
      <c r="AF1901"/>
      <c r="AG1901"/>
      <c r="AH1901"/>
      <c r="AO1901" s="2"/>
      <c r="AP1901" s="3"/>
      <c r="AQ1901" s="3"/>
      <c r="AR1901" s="3"/>
      <c r="AS1901" s="3"/>
    </row>
    <row r="1902" spans="1:45" ht="15">
      <c r="A1902"/>
      <c r="J1902"/>
      <c r="AA1902"/>
      <c r="AB1902"/>
      <c r="AC1902"/>
      <c r="AD1902"/>
      <c r="AE1902"/>
      <c r="AF1902"/>
      <c r="AG1902"/>
      <c r="AH1902"/>
      <c r="AO1902" s="2"/>
      <c r="AP1902" s="3"/>
      <c r="AQ1902" s="3"/>
      <c r="AR1902" s="3"/>
      <c r="AS1902" s="3"/>
    </row>
    <row r="1903" spans="1:45" ht="15">
      <c r="A1903"/>
      <c r="J1903"/>
      <c r="AA1903"/>
      <c r="AB1903"/>
      <c r="AC1903"/>
      <c r="AD1903"/>
      <c r="AE1903"/>
      <c r="AF1903"/>
      <c r="AG1903"/>
      <c r="AH1903"/>
      <c r="AO1903" s="2"/>
      <c r="AP1903" s="3"/>
      <c r="AQ1903" s="3"/>
      <c r="AR1903" s="3"/>
      <c r="AS1903" s="3"/>
    </row>
    <row r="1904" spans="1:45" ht="15">
      <c r="A1904"/>
      <c r="J1904"/>
      <c r="AA1904"/>
      <c r="AB1904"/>
      <c r="AC1904"/>
      <c r="AD1904"/>
      <c r="AE1904"/>
      <c r="AF1904"/>
      <c r="AG1904"/>
      <c r="AH1904"/>
      <c r="AO1904" s="2"/>
      <c r="AP1904" s="3"/>
      <c r="AQ1904" s="3"/>
      <c r="AR1904" s="3"/>
      <c r="AS1904" s="3"/>
    </row>
    <row r="1905" spans="1:45" ht="15">
      <c r="A1905"/>
      <c r="J1905"/>
      <c r="AA1905"/>
      <c r="AB1905"/>
      <c r="AC1905"/>
      <c r="AD1905"/>
      <c r="AE1905"/>
      <c r="AF1905"/>
      <c r="AG1905"/>
      <c r="AH1905"/>
      <c r="AO1905" s="2"/>
      <c r="AP1905" s="3"/>
      <c r="AQ1905" s="3"/>
      <c r="AR1905" s="3"/>
      <c r="AS1905" s="3"/>
    </row>
    <row r="1906" spans="1:45" ht="15">
      <c r="A1906"/>
      <c r="J1906"/>
      <c r="AA1906"/>
      <c r="AB1906"/>
      <c r="AC1906"/>
      <c r="AD1906"/>
      <c r="AE1906"/>
      <c r="AF1906"/>
      <c r="AG1906"/>
      <c r="AH1906"/>
      <c r="AO1906" s="2"/>
      <c r="AP1906" s="3"/>
      <c r="AQ1906" s="3"/>
      <c r="AR1906" s="3"/>
      <c r="AS1906" s="3"/>
    </row>
    <row r="1907" spans="1:45" ht="15">
      <c r="A1907"/>
      <c r="J1907"/>
      <c r="AA1907"/>
      <c r="AB1907"/>
      <c r="AC1907"/>
      <c r="AD1907"/>
      <c r="AE1907"/>
      <c r="AF1907"/>
      <c r="AG1907"/>
      <c r="AH1907"/>
      <c r="AO1907" s="2"/>
      <c r="AP1907" s="3"/>
      <c r="AQ1907" s="3"/>
      <c r="AR1907" s="3"/>
      <c r="AS1907" s="3"/>
    </row>
    <row r="1908" spans="1:45" ht="15">
      <c r="A1908"/>
      <c r="J1908"/>
      <c r="AA1908"/>
      <c r="AB1908"/>
      <c r="AC1908"/>
      <c r="AD1908"/>
      <c r="AE1908"/>
      <c r="AF1908"/>
      <c r="AG1908"/>
      <c r="AH1908"/>
      <c r="AO1908" s="2"/>
      <c r="AP1908" s="3"/>
      <c r="AQ1908" s="3"/>
      <c r="AR1908" s="3"/>
      <c r="AS1908" s="3"/>
    </row>
    <row r="1909" spans="1:45" ht="15">
      <c r="A1909"/>
      <c r="J1909"/>
      <c r="AA1909"/>
      <c r="AB1909"/>
      <c r="AC1909"/>
      <c r="AD1909"/>
      <c r="AE1909"/>
      <c r="AF1909"/>
      <c r="AG1909"/>
      <c r="AH1909"/>
      <c r="AO1909" s="2"/>
      <c r="AP1909" s="3"/>
      <c r="AQ1909" s="3"/>
      <c r="AR1909" s="3"/>
      <c r="AS1909" s="3"/>
    </row>
    <row r="1910" spans="1:45" ht="15">
      <c r="A1910"/>
      <c r="J1910"/>
      <c r="AA1910"/>
      <c r="AB1910"/>
      <c r="AC1910"/>
      <c r="AD1910"/>
      <c r="AE1910"/>
      <c r="AF1910"/>
      <c r="AG1910"/>
      <c r="AH1910"/>
      <c r="AO1910" s="2"/>
      <c r="AP1910" s="3"/>
      <c r="AQ1910" s="3"/>
      <c r="AR1910" s="3"/>
      <c r="AS1910" s="3"/>
    </row>
    <row r="1911" spans="1:45" ht="15">
      <c r="A1911"/>
      <c r="J1911"/>
      <c r="AA1911"/>
      <c r="AB1911"/>
      <c r="AC1911"/>
      <c r="AD1911"/>
      <c r="AE1911"/>
      <c r="AF1911"/>
      <c r="AG1911"/>
      <c r="AH1911"/>
      <c r="AO1911" s="2"/>
      <c r="AP1911" s="3"/>
      <c r="AQ1911" s="3"/>
      <c r="AR1911" s="3"/>
      <c r="AS1911" s="3"/>
    </row>
    <row r="1912" spans="1:45" ht="15">
      <c r="A1912"/>
      <c r="J1912"/>
      <c r="AA1912"/>
      <c r="AB1912"/>
      <c r="AC1912"/>
      <c r="AD1912"/>
      <c r="AE1912"/>
      <c r="AF1912"/>
      <c r="AG1912"/>
      <c r="AH1912"/>
      <c r="AO1912" s="2"/>
      <c r="AP1912" s="3"/>
      <c r="AQ1912" s="3"/>
      <c r="AR1912" s="3"/>
      <c r="AS1912" s="3"/>
    </row>
    <row r="1913" spans="1:45" ht="15">
      <c r="A1913"/>
      <c r="J1913"/>
      <c r="AA1913"/>
      <c r="AB1913"/>
      <c r="AC1913"/>
      <c r="AD1913"/>
      <c r="AE1913"/>
      <c r="AF1913"/>
      <c r="AG1913"/>
      <c r="AH1913"/>
      <c r="AO1913" s="2"/>
      <c r="AP1913" s="3"/>
      <c r="AQ1913" s="3"/>
      <c r="AR1913" s="3"/>
      <c r="AS1913" s="3"/>
    </row>
    <row r="1914" spans="1:45" ht="15">
      <c r="A1914"/>
      <c r="J1914"/>
      <c r="AA1914"/>
      <c r="AB1914"/>
      <c r="AC1914"/>
      <c r="AD1914"/>
      <c r="AE1914"/>
      <c r="AF1914"/>
      <c r="AG1914"/>
      <c r="AH1914"/>
      <c r="AO1914" s="2"/>
      <c r="AP1914" s="3"/>
      <c r="AQ1914" s="3"/>
      <c r="AR1914" s="3"/>
      <c r="AS1914" s="3"/>
    </row>
    <row r="1915" spans="1:45" ht="15">
      <c r="A1915"/>
      <c r="J1915"/>
      <c r="AA1915"/>
      <c r="AB1915"/>
      <c r="AC1915"/>
      <c r="AD1915"/>
      <c r="AE1915"/>
      <c r="AF1915"/>
      <c r="AG1915"/>
      <c r="AH1915"/>
      <c r="AO1915" s="2"/>
      <c r="AP1915" s="3"/>
      <c r="AQ1915" s="3"/>
      <c r="AR1915" s="3"/>
      <c r="AS1915" s="3"/>
    </row>
    <row r="1916" spans="1:45" ht="15">
      <c r="A1916"/>
      <c r="J1916"/>
      <c r="AA1916"/>
      <c r="AB1916"/>
      <c r="AC1916"/>
      <c r="AD1916"/>
      <c r="AE1916"/>
      <c r="AF1916"/>
      <c r="AG1916"/>
      <c r="AH1916"/>
      <c r="AO1916" s="2"/>
      <c r="AP1916" s="3"/>
      <c r="AQ1916" s="3"/>
      <c r="AR1916" s="3"/>
      <c r="AS1916" s="3"/>
    </row>
    <row r="1917" spans="1:45" ht="15">
      <c r="A1917"/>
      <c r="J1917"/>
      <c r="AA1917"/>
      <c r="AB1917"/>
      <c r="AC1917"/>
      <c r="AD1917"/>
      <c r="AE1917"/>
      <c r="AF1917"/>
      <c r="AG1917"/>
      <c r="AH1917"/>
      <c r="AO1917" s="2"/>
      <c r="AP1917" s="3"/>
      <c r="AQ1917" s="3"/>
      <c r="AR1917" s="3"/>
      <c r="AS1917" s="3"/>
    </row>
    <row r="1918" spans="1:45" ht="15">
      <c r="A1918"/>
      <c r="J1918"/>
      <c r="AA1918"/>
      <c r="AB1918"/>
      <c r="AC1918"/>
      <c r="AD1918"/>
      <c r="AE1918"/>
      <c r="AF1918"/>
      <c r="AG1918"/>
      <c r="AH1918"/>
      <c r="AO1918" s="2"/>
      <c r="AP1918" s="3"/>
      <c r="AQ1918" s="3"/>
      <c r="AR1918" s="3"/>
      <c r="AS1918" s="3"/>
    </row>
    <row r="1919" spans="1:45" ht="15">
      <c r="A1919"/>
      <c r="J1919"/>
      <c r="AA1919"/>
      <c r="AB1919"/>
      <c r="AC1919"/>
      <c r="AD1919"/>
      <c r="AE1919"/>
      <c r="AF1919"/>
      <c r="AG1919"/>
      <c r="AH1919"/>
      <c r="AO1919" s="2"/>
      <c r="AP1919" s="3"/>
      <c r="AQ1919" s="3"/>
      <c r="AR1919" s="3"/>
      <c r="AS1919" s="3"/>
    </row>
    <row r="1920" spans="1:45" ht="15">
      <c r="A1920"/>
      <c r="J1920"/>
      <c r="AA1920"/>
      <c r="AB1920"/>
      <c r="AC1920"/>
      <c r="AD1920"/>
      <c r="AE1920"/>
      <c r="AF1920"/>
      <c r="AG1920"/>
      <c r="AH1920"/>
      <c r="AO1920" s="2"/>
      <c r="AP1920" s="3"/>
      <c r="AQ1920" s="3"/>
      <c r="AR1920" s="3"/>
      <c r="AS1920" s="3"/>
    </row>
    <row r="1921" spans="1:45" ht="15">
      <c r="A1921"/>
      <c r="J1921"/>
      <c r="AA1921"/>
      <c r="AB1921"/>
      <c r="AC1921"/>
      <c r="AD1921"/>
      <c r="AE1921"/>
      <c r="AF1921"/>
      <c r="AG1921"/>
      <c r="AH1921"/>
      <c r="AO1921" s="2"/>
      <c r="AP1921" s="3"/>
      <c r="AQ1921" s="3"/>
      <c r="AR1921" s="3"/>
      <c r="AS1921" s="3"/>
    </row>
    <row r="1922" spans="1:45" ht="15">
      <c r="A1922"/>
      <c r="J1922"/>
      <c r="AA1922"/>
      <c r="AB1922"/>
      <c r="AC1922"/>
      <c r="AD1922"/>
      <c r="AE1922"/>
      <c r="AF1922"/>
      <c r="AG1922"/>
      <c r="AH1922"/>
      <c r="AO1922" s="2"/>
      <c r="AP1922" s="3"/>
      <c r="AQ1922" s="3"/>
      <c r="AR1922" s="3"/>
      <c r="AS1922" s="3"/>
    </row>
    <row r="1923" spans="1:45" ht="15">
      <c r="A1923"/>
      <c r="J1923"/>
      <c r="AA1923"/>
      <c r="AB1923"/>
      <c r="AC1923"/>
      <c r="AD1923"/>
      <c r="AE1923"/>
      <c r="AF1923"/>
      <c r="AG1923"/>
      <c r="AH1923"/>
      <c r="AO1923" s="2"/>
      <c r="AP1923" s="3"/>
      <c r="AQ1923" s="3"/>
      <c r="AR1923" s="3"/>
      <c r="AS1923" s="3"/>
    </row>
    <row r="1924" spans="1:45" ht="15">
      <c r="A1924"/>
      <c r="J1924"/>
      <c r="AA1924"/>
      <c r="AB1924"/>
      <c r="AC1924"/>
      <c r="AD1924"/>
      <c r="AE1924"/>
      <c r="AF1924"/>
      <c r="AG1924"/>
      <c r="AH1924"/>
      <c r="AO1924" s="2"/>
      <c r="AP1924" s="3"/>
      <c r="AQ1924" s="3"/>
      <c r="AR1924" s="3"/>
      <c r="AS1924" s="3"/>
    </row>
    <row r="1925" spans="1:45" ht="15">
      <c r="A1925"/>
      <c r="J1925"/>
      <c r="AA1925"/>
      <c r="AB1925"/>
      <c r="AC1925"/>
      <c r="AD1925"/>
      <c r="AE1925"/>
      <c r="AF1925"/>
      <c r="AG1925"/>
      <c r="AH1925"/>
      <c r="AO1925" s="2"/>
      <c r="AP1925" s="3"/>
      <c r="AQ1925" s="3"/>
      <c r="AR1925" s="3"/>
      <c r="AS1925" s="3"/>
    </row>
    <row r="1926" spans="1:45" ht="15">
      <c r="A1926"/>
      <c r="J1926"/>
      <c r="AA1926"/>
      <c r="AB1926"/>
      <c r="AC1926"/>
      <c r="AD1926"/>
      <c r="AE1926"/>
      <c r="AF1926"/>
      <c r="AG1926"/>
      <c r="AH1926"/>
      <c r="AO1926" s="2"/>
      <c r="AP1926" s="3"/>
      <c r="AQ1926" s="3"/>
      <c r="AR1926" s="3"/>
      <c r="AS1926" s="3"/>
    </row>
    <row r="1927" spans="1:45" ht="15">
      <c r="A1927"/>
      <c r="J1927"/>
      <c r="AA1927"/>
      <c r="AB1927"/>
      <c r="AC1927"/>
      <c r="AD1927"/>
      <c r="AE1927"/>
      <c r="AF1927"/>
      <c r="AG1927"/>
      <c r="AH1927"/>
      <c r="AO1927" s="2"/>
      <c r="AP1927" s="3"/>
      <c r="AQ1927" s="3"/>
      <c r="AR1927" s="3"/>
      <c r="AS1927" s="3"/>
    </row>
    <row r="1928" spans="1:45" ht="15">
      <c r="A1928"/>
      <c r="J1928"/>
      <c r="AA1928"/>
      <c r="AB1928"/>
      <c r="AC1928"/>
      <c r="AD1928"/>
      <c r="AE1928"/>
      <c r="AF1928"/>
      <c r="AG1928"/>
      <c r="AH1928"/>
      <c r="AO1928" s="2"/>
      <c r="AP1928" s="3"/>
      <c r="AQ1928" s="3"/>
      <c r="AR1928" s="3"/>
      <c r="AS1928" s="3"/>
    </row>
    <row r="1929" spans="1:45" ht="15">
      <c r="A1929"/>
      <c r="J1929"/>
      <c r="AA1929"/>
      <c r="AB1929"/>
      <c r="AC1929"/>
      <c r="AD1929"/>
      <c r="AE1929"/>
      <c r="AF1929"/>
      <c r="AG1929"/>
      <c r="AH1929"/>
      <c r="AO1929" s="2"/>
      <c r="AP1929" s="3"/>
      <c r="AQ1929" s="3"/>
      <c r="AR1929" s="3"/>
      <c r="AS1929" s="3"/>
    </row>
    <row r="1930" spans="1:45" ht="15">
      <c r="A1930"/>
      <c r="J1930"/>
      <c r="AA1930"/>
      <c r="AB1930"/>
      <c r="AC1930"/>
      <c r="AD1930"/>
      <c r="AE1930"/>
      <c r="AF1930"/>
      <c r="AG1930"/>
      <c r="AH1930"/>
      <c r="AO1930" s="2"/>
      <c r="AP1930" s="3"/>
      <c r="AQ1930" s="3"/>
      <c r="AR1930" s="3"/>
      <c r="AS1930" s="3"/>
    </row>
    <row r="1931" spans="1:45" ht="15">
      <c r="A1931"/>
      <c r="J1931"/>
      <c r="AA1931"/>
      <c r="AB1931"/>
      <c r="AC1931"/>
      <c r="AD1931"/>
      <c r="AE1931"/>
      <c r="AF1931"/>
      <c r="AG1931"/>
      <c r="AH1931"/>
      <c r="AO1931" s="2"/>
      <c r="AP1931" s="3"/>
      <c r="AQ1931" s="3"/>
      <c r="AR1931" s="3"/>
      <c r="AS1931" s="3"/>
    </row>
    <row r="1932" spans="1:45" ht="15">
      <c r="A1932"/>
      <c r="J1932"/>
      <c r="AA1932"/>
      <c r="AB1932"/>
      <c r="AC1932"/>
      <c r="AD1932"/>
      <c r="AE1932"/>
      <c r="AF1932"/>
      <c r="AG1932"/>
      <c r="AH1932"/>
      <c r="AO1932" s="2"/>
      <c r="AP1932" s="3"/>
      <c r="AQ1932" s="3"/>
      <c r="AR1932" s="3"/>
      <c r="AS1932" s="3"/>
    </row>
    <row r="1933" spans="1:45" ht="15">
      <c r="A1933"/>
      <c r="J1933"/>
      <c r="AA1933"/>
      <c r="AB1933"/>
      <c r="AC1933"/>
      <c r="AD1933"/>
      <c r="AE1933"/>
      <c r="AF1933"/>
      <c r="AG1933"/>
      <c r="AH1933"/>
      <c r="AO1933" s="2"/>
      <c r="AP1933" s="3"/>
      <c r="AQ1933" s="3"/>
      <c r="AR1933" s="3"/>
      <c r="AS1933" s="3"/>
    </row>
    <row r="1934" spans="1:45" ht="15">
      <c r="A1934"/>
      <c r="J1934"/>
      <c r="AA1934"/>
      <c r="AB1934"/>
      <c r="AC1934"/>
      <c r="AD1934"/>
      <c r="AE1934"/>
      <c r="AF1934"/>
      <c r="AG1934"/>
      <c r="AH1934"/>
      <c r="AO1934" s="2"/>
      <c r="AP1934" s="3"/>
      <c r="AQ1934" s="3"/>
      <c r="AR1934" s="3"/>
      <c r="AS1934" s="3"/>
    </row>
    <row r="1935" spans="1:45" ht="15">
      <c r="A1935"/>
      <c r="J1935"/>
      <c r="AA1935"/>
      <c r="AB1935"/>
      <c r="AC1935"/>
      <c r="AD1935"/>
      <c r="AE1935"/>
      <c r="AF1935"/>
      <c r="AG1935"/>
      <c r="AH1935"/>
      <c r="AO1935" s="2"/>
      <c r="AP1935" s="3"/>
      <c r="AQ1935" s="3"/>
      <c r="AR1935" s="3"/>
      <c r="AS1935" s="3"/>
    </row>
    <row r="1936" spans="1:45" ht="15">
      <c r="A1936"/>
      <c r="J1936"/>
      <c r="AA1936"/>
      <c r="AB1936"/>
      <c r="AC1936"/>
      <c r="AD1936"/>
      <c r="AE1936"/>
      <c r="AF1936"/>
      <c r="AG1936"/>
      <c r="AH1936"/>
      <c r="AO1936" s="2"/>
      <c r="AP1936" s="3"/>
      <c r="AQ1936" s="3"/>
      <c r="AR1936" s="3"/>
      <c r="AS1936" s="3"/>
    </row>
    <row r="1937" spans="1:45" ht="15">
      <c r="A1937"/>
      <c r="J1937"/>
      <c r="AA1937"/>
      <c r="AB1937"/>
      <c r="AC1937"/>
      <c r="AD1937"/>
      <c r="AE1937"/>
      <c r="AF1937"/>
      <c r="AG1937"/>
      <c r="AH1937"/>
      <c r="AO1937" s="2"/>
      <c r="AP1937" s="3"/>
      <c r="AQ1937" s="3"/>
      <c r="AR1937" s="3"/>
      <c r="AS1937" s="3"/>
    </row>
    <row r="1938" spans="1:45" ht="15">
      <c r="A1938"/>
      <c r="J1938"/>
      <c r="AA1938"/>
      <c r="AB1938"/>
      <c r="AC1938"/>
      <c r="AD1938"/>
      <c r="AE1938"/>
      <c r="AF1938"/>
      <c r="AG1938"/>
      <c r="AH1938"/>
      <c r="AO1938" s="2"/>
      <c r="AP1938" s="3"/>
      <c r="AQ1938" s="3"/>
      <c r="AR1938" s="3"/>
      <c r="AS1938" s="3"/>
    </row>
    <row r="1939" spans="1:45" ht="15">
      <c r="A1939"/>
      <c r="J1939"/>
      <c r="AA1939"/>
      <c r="AB1939"/>
      <c r="AC1939"/>
      <c r="AD1939"/>
      <c r="AE1939"/>
      <c r="AF1939"/>
      <c r="AG1939"/>
      <c r="AH1939"/>
      <c r="AO1939" s="2"/>
      <c r="AP1939" s="3"/>
      <c r="AQ1939" s="3"/>
      <c r="AR1939" s="3"/>
      <c r="AS1939" s="3"/>
    </row>
    <row r="1940" spans="1:45" ht="15">
      <c r="A1940"/>
      <c r="J1940"/>
      <c r="AA1940"/>
      <c r="AB1940"/>
      <c r="AC1940"/>
      <c r="AD1940"/>
      <c r="AE1940"/>
      <c r="AF1940"/>
      <c r="AG1940"/>
      <c r="AH1940"/>
      <c r="AO1940" s="2"/>
      <c r="AP1940" s="3"/>
      <c r="AQ1940" s="3"/>
      <c r="AR1940" s="3"/>
      <c r="AS1940" s="3"/>
    </row>
    <row r="1941" spans="1:45" ht="15">
      <c r="A1941"/>
      <c r="J1941"/>
      <c r="AA1941"/>
      <c r="AB1941"/>
      <c r="AC1941"/>
      <c r="AD1941"/>
      <c r="AE1941"/>
      <c r="AF1941"/>
      <c r="AG1941"/>
      <c r="AH1941"/>
      <c r="AO1941" s="2"/>
      <c r="AP1941" s="3"/>
      <c r="AQ1941" s="3"/>
      <c r="AR1941" s="3"/>
      <c r="AS1941" s="3"/>
    </row>
    <row r="1942" spans="1:45" ht="15">
      <c r="A1942"/>
      <c r="J1942"/>
      <c r="AA1942"/>
      <c r="AB1942"/>
      <c r="AC1942"/>
      <c r="AD1942"/>
      <c r="AE1942"/>
      <c r="AF1942"/>
      <c r="AG1942"/>
      <c r="AH1942"/>
      <c r="AO1942" s="2"/>
      <c r="AP1942" s="3"/>
      <c r="AQ1942" s="3"/>
      <c r="AR1942" s="3"/>
      <c r="AS1942" s="3"/>
    </row>
    <row r="1943" spans="1:45" ht="15">
      <c r="A1943"/>
      <c r="J1943"/>
      <c r="AA1943"/>
      <c r="AB1943"/>
      <c r="AC1943"/>
      <c r="AD1943"/>
      <c r="AE1943"/>
      <c r="AF1943"/>
      <c r="AG1943"/>
      <c r="AH1943"/>
      <c r="AO1943" s="2"/>
      <c r="AP1943" s="3"/>
      <c r="AQ1943" s="3"/>
      <c r="AR1943" s="3"/>
      <c r="AS1943" s="3"/>
    </row>
    <row r="1944" spans="1:45" ht="15">
      <c r="A1944"/>
      <c r="J1944"/>
      <c r="AA1944"/>
      <c r="AB1944"/>
      <c r="AC1944"/>
      <c r="AD1944"/>
      <c r="AE1944"/>
      <c r="AF1944"/>
      <c r="AG1944"/>
      <c r="AH1944"/>
      <c r="AO1944" s="2"/>
      <c r="AP1944" s="3"/>
      <c r="AQ1944" s="3"/>
      <c r="AR1944" s="3"/>
      <c r="AS1944" s="3"/>
    </row>
    <row r="1945" spans="1:45" ht="15">
      <c r="A1945"/>
      <c r="J1945"/>
      <c r="AA1945"/>
      <c r="AB1945"/>
      <c r="AC1945"/>
      <c r="AD1945"/>
      <c r="AE1945"/>
      <c r="AF1945"/>
      <c r="AG1945"/>
      <c r="AH1945"/>
      <c r="AO1945" s="2"/>
      <c r="AP1945" s="3"/>
      <c r="AQ1945" s="3"/>
      <c r="AR1945" s="3"/>
      <c r="AS1945" s="3"/>
    </row>
    <row r="1946" spans="1:45" ht="15">
      <c r="A1946"/>
      <c r="J1946"/>
      <c r="AA1946"/>
      <c r="AB1946"/>
      <c r="AC1946"/>
      <c r="AD1946"/>
      <c r="AE1946"/>
      <c r="AF1946"/>
      <c r="AG1946"/>
      <c r="AH1946"/>
      <c r="AO1946" s="2"/>
      <c r="AP1946" s="3"/>
      <c r="AQ1946" s="3"/>
      <c r="AR1946" s="3"/>
      <c r="AS1946" s="3"/>
    </row>
    <row r="1947" spans="1:45" ht="15">
      <c r="A1947"/>
      <c r="J1947"/>
      <c r="AA1947"/>
      <c r="AB1947"/>
      <c r="AC1947"/>
      <c r="AD1947"/>
      <c r="AE1947"/>
      <c r="AF1947"/>
      <c r="AG1947"/>
      <c r="AH1947"/>
      <c r="AO1947" s="2"/>
      <c r="AP1947" s="3"/>
      <c r="AQ1947" s="3"/>
      <c r="AR1947" s="3"/>
      <c r="AS1947" s="3"/>
    </row>
    <row r="1948" spans="1:45" ht="15">
      <c r="A1948"/>
      <c r="J1948"/>
      <c r="AA1948"/>
      <c r="AB1948"/>
      <c r="AC1948"/>
      <c r="AD1948"/>
      <c r="AE1948"/>
      <c r="AF1948"/>
      <c r="AG1948"/>
      <c r="AH1948"/>
      <c r="AO1948" s="2"/>
      <c r="AP1948" s="3"/>
      <c r="AQ1948" s="3"/>
      <c r="AR1948" s="3"/>
      <c r="AS1948" s="3"/>
    </row>
    <row r="1949" spans="1:45" ht="15">
      <c r="A1949"/>
      <c r="J1949"/>
      <c r="AA1949"/>
      <c r="AB1949"/>
      <c r="AC1949"/>
      <c r="AD1949"/>
      <c r="AE1949"/>
      <c r="AF1949"/>
      <c r="AG1949"/>
      <c r="AH1949"/>
      <c r="AO1949" s="2"/>
      <c r="AP1949" s="3"/>
      <c r="AQ1949" s="3"/>
      <c r="AR1949" s="3"/>
      <c r="AS1949" s="3"/>
    </row>
    <row r="1950" spans="1:45" ht="15">
      <c r="A1950"/>
      <c r="J1950"/>
      <c r="AA1950"/>
      <c r="AB1950"/>
      <c r="AC1950"/>
      <c r="AD1950"/>
      <c r="AE1950"/>
      <c r="AF1950"/>
      <c r="AG1950"/>
      <c r="AH1950"/>
      <c r="AO1950" s="2"/>
      <c r="AP1950" s="3"/>
      <c r="AQ1950" s="3"/>
      <c r="AR1950" s="3"/>
      <c r="AS1950" s="3"/>
    </row>
    <row r="1951" spans="1:45" ht="15">
      <c r="A1951"/>
      <c r="J1951"/>
      <c r="AA1951"/>
      <c r="AB1951"/>
      <c r="AC1951"/>
      <c r="AD1951"/>
      <c r="AE1951"/>
      <c r="AF1951"/>
      <c r="AG1951"/>
      <c r="AH1951"/>
      <c r="AO1951" s="2"/>
      <c r="AP1951" s="3"/>
      <c r="AQ1951" s="3"/>
      <c r="AR1951" s="3"/>
      <c r="AS1951" s="3"/>
    </row>
    <row r="1952" spans="1:45" ht="15">
      <c r="A1952"/>
      <c r="J1952"/>
      <c r="AA1952"/>
      <c r="AB1952"/>
      <c r="AC1952"/>
      <c r="AD1952"/>
      <c r="AE1952"/>
      <c r="AF1952"/>
      <c r="AG1952"/>
      <c r="AH1952"/>
      <c r="AO1952" s="2"/>
      <c r="AP1952" s="3"/>
      <c r="AQ1952" s="3"/>
      <c r="AR1952" s="3"/>
      <c r="AS1952" s="3"/>
    </row>
    <row r="1953" spans="1:45" ht="15">
      <c r="A1953"/>
      <c r="J1953"/>
      <c r="AA1953"/>
      <c r="AB1953"/>
      <c r="AC1953"/>
      <c r="AD1953"/>
      <c r="AE1953"/>
      <c r="AF1953"/>
      <c r="AG1953"/>
      <c r="AH1953"/>
      <c r="AO1953" s="2"/>
      <c r="AP1953" s="3"/>
      <c r="AQ1953" s="3"/>
      <c r="AR1953" s="3"/>
      <c r="AS1953" s="3"/>
    </row>
    <row r="1954" spans="1:45" ht="15">
      <c r="A1954"/>
      <c r="J1954"/>
      <c r="AA1954"/>
      <c r="AB1954"/>
      <c r="AC1954"/>
      <c r="AD1954"/>
      <c r="AE1954"/>
      <c r="AF1954"/>
      <c r="AG1954"/>
      <c r="AH1954"/>
      <c r="AO1954" s="2"/>
      <c r="AP1954" s="3"/>
      <c r="AQ1954" s="3"/>
      <c r="AR1954" s="3"/>
      <c r="AS1954" s="3"/>
    </row>
    <row r="1955" spans="1:45" ht="15">
      <c r="A1955"/>
      <c r="J1955"/>
      <c r="AA1955"/>
      <c r="AB1955"/>
      <c r="AC1955"/>
      <c r="AD1955"/>
      <c r="AE1955"/>
      <c r="AF1955"/>
      <c r="AG1955"/>
      <c r="AH1955"/>
      <c r="AO1955" s="2"/>
      <c r="AP1955" s="3"/>
      <c r="AQ1955" s="3"/>
      <c r="AR1955" s="3"/>
      <c r="AS1955" s="3"/>
    </row>
    <row r="1956" spans="1:45" ht="15">
      <c r="A1956"/>
      <c r="J1956"/>
      <c r="AA1956"/>
      <c r="AB1956"/>
      <c r="AC1956"/>
      <c r="AD1956"/>
      <c r="AE1956"/>
      <c r="AF1956"/>
      <c r="AG1956"/>
      <c r="AH1956"/>
      <c r="AO1956" s="2"/>
      <c r="AP1956" s="3"/>
      <c r="AQ1956" s="3"/>
      <c r="AR1956" s="3"/>
      <c r="AS1956" s="3"/>
    </row>
    <row r="1957" spans="1:45" ht="15">
      <c r="A1957"/>
      <c r="J1957"/>
      <c r="AA1957"/>
      <c r="AB1957"/>
      <c r="AC1957"/>
      <c r="AD1957"/>
      <c r="AE1957"/>
      <c r="AF1957"/>
      <c r="AG1957"/>
      <c r="AH1957"/>
      <c r="AO1957" s="2"/>
      <c r="AP1957" s="3"/>
      <c r="AQ1957" s="3"/>
      <c r="AR1957" s="3"/>
      <c r="AS1957" s="3"/>
    </row>
    <row r="1958" spans="1:45" ht="15">
      <c r="A1958"/>
      <c r="J1958"/>
      <c r="AA1958"/>
      <c r="AB1958"/>
      <c r="AC1958"/>
      <c r="AD1958"/>
      <c r="AE1958"/>
      <c r="AF1958"/>
      <c r="AG1958"/>
      <c r="AH1958"/>
      <c r="AO1958" s="2"/>
      <c r="AP1958" s="3"/>
      <c r="AQ1958" s="3"/>
      <c r="AR1958" s="3"/>
      <c r="AS1958" s="3"/>
    </row>
    <row r="1959" spans="1:45" ht="15">
      <c r="A1959"/>
      <c r="J1959"/>
      <c r="AA1959"/>
      <c r="AB1959"/>
      <c r="AC1959"/>
      <c r="AD1959"/>
      <c r="AE1959"/>
      <c r="AF1959"/>
      <c r="AG1959"/>
      <c r="AH1959"/>
      <c r="AO1959" s="2"/>
      <c r="AP1959" s="3"/>
      <c r="AQ1959" s="3"/>
      <c r="AR1959" s="3"/>
      <c r="AS1959" s="3"/>
    </row>
    <row r="1960" spans="1:45" ht="15">
      <c r="A1960"/>
      <c r="J1960"/>
      <c r="AA1960"/>
      <c r="AB1960"/>
      <c r="AC1960"/>
      <c r="AD1960"/>
      <c r="AE1960"/>
      <c r="AF1960"/>
      <c r="AG1960"/>
      <c r="AH1960"/>
      <c r="AO1960" s="2"/>
      <c r="AP1960" s="3"/>
      <c r="AQ1960" s="3"/>
      <c r="AR1960" s="3"/>
      <c r="AS1960" s="3"/>
    </row>
    <row r="1961" spans="1:45" ht="15">
      <c r="A1961"/>
      <c r="J1961"/>
      <c r="AA1961"/>
      <c r="AB1961"/>
      <c r="AC1961"/>
      <c r="AD1961"/>
      <c r="AE1961"/>
      <c r="AF1961"/>
      <c r="AG1961"/>
      <c r="AH1961"/>
      <c r="AO1961" s="2"/>
      <c r="AP1961" s="3"/>
      <c r="AQ1961" s="3"/>
      <c r="AR1961" s="3"/>
      <c r="AS1961" s="3"/>
    </row>
    <row r="1962" spans="1:45" ht="15">
      <c r="A1962"/>
      <c r="J1962"/>
      <c r="AA1962"/>
      <c r="AB1962"/>
      <c r="AC1962"/>
      <c r="AD1962"/>
      <c r="AE1962"/>
      <c r="AF1962"/>
      <c r="AG1962"/>
      <c r="AH1962"/>
      <c r="AO1962" s="2"/>
      <c r="AP1962" s="3"/>
      <c r="AQ1962" s="3"/>
      <c r="AR1962" s="3"/>
      <c r="AS1962" s="3"/>
    </row>
    <row r="1963" spans="1:45" ht="15">
      <c r="A1963"/>
      <c r="J1963"/>
      <c r="AA1963"/>
      <c r="AB1963"/>
      <c r="AC1963"/>
      <c r="AD1963"/>
      <c r="AE1963"/>
      <c r="AF1963"/>
      <c r="AG1963"/>
      <c r="AH1963"/>
      <c r="AO1963" s="2"/>
      <c r="AP1963" s="3"/>
      <c r="AQ1963" s="3"/>
      <c r="AR1963" s="3"/>
      <c r="AS1963" s="3"/>
    </row>
    <row r="1964" spans="1:45" ht="15">
      <c r="A1964"/>
      <c r="J1964"/>
      <c r="AA1964"/>
      <c r="AB1964"/>
      <c r="AC1964"/>
      <c r="AD1964"/>
      <c r="AE1964"/>
      <c r="AF1964"/>
      <c r="AG1964"/>
      <c r="AH1964"/>
      <c r="AO1964" s="2"/>
      <c r="AP1964" s="3"/>
      <c r="AQ1964" s="3"/>
      <c r="AR1964" s="3"/>
      <c r="AS1964" s="3"/>
    </row>
    <row r="1965" spans="1:45" ht="15">
      <c r="A1965"/>
      <c r="J1965"/>
      <c r="AA1965"/>
      <c r="AB1965"/>
      <c r="AC1965"/>
      <c r="AD1965"/>
      <c r="AE1965"/>
      <c r="AF1965"/>
      <c r="AG1965"/>
      <c r="AH1965"/>
      <c r="AO1965" s="2"/>
      <c r="AP1965" s="3"/>
      <c r="AQ1965" s="3"/>
      <c r="AR1965" s="3"/>
      <c r="AS1965" s="3"/>
    </row>
    <row r="1966" spans="1:45" ht="15">
      <c r="A1966"/>
      <c r="J1966"/>
      <c r="AA1966"/>
      <c r="AB1966"/>
      <c r="AC1966"/>
      <c r="AD1966"/>
      <c r="AE1966"/>
      <c r="AF1966"/>
      <c r="AG1966"/>
      <c r="AH1966"/>
      <c r="AO1966" s="2"/>
      <c r="AP1966" s="3"/>
      <c r="AQ1966" s="3"/>
      <c r="AR1966" s="3"/>
      <c r="AS1966" s="3"/>
    </row>
    <row r="1967" spans="1:45" ht="15">
      <c r="A1967"/>
      <c r="J1967"/>
      <c r="AA1967"/>
      <c r="AB1967"/>
      <c r="AC1967"/>
      <c r="AD1967"/>
      <c r="AE1967"/>
      <c r="AF1967"/>
      <c r="AG1967"/>
      <c r="AH1967"/>
      <c r="AO1967" s="2"/>
      <c r="AP1967" s="3"/>
      <c r="AQ1967" s="3"/>
      <c r="AR1967" s="3"/>
      <c r="AS1967" s="3"/>
    </row>
    <row r="1968" spans="1:45" ht="15">
      <c r="A1968"/>
      <c r="J1968"/>
      <c r="AA1968"/>
      <c r="AB1968"/>
      <c r="AC1968"/>
      <c r="AD1968"/>
      <c r="AE1968"/>
      <c r="AF1968"/>
      <c r="AG1968"/>
      <c r="AH1968"/>
      <c r="AO1968" s="2"/>
      <c r="AP1968" s="3"/>
      <c r="AQ1968" s="3"/>
      <c r="AR1968" s="3"/>
      <c r="AS1968" s="3"/>
    </row>
    <row r="1969" spans="1:45" ht="15">
      <c r="A1969"/>
      <c r="J1969"/>
      <c r="AA1969"/>
      <c r="AB1969"/>
      <c r="AC1969"/>
      <c r="AD1969"/>
      <c r="AE1969"/>
      <c r="AF1969"/>
      <c r="AG1969"/>
      <c r="AH1969"/>
      <c r="AO1969" s="2"/>
      <c r="AP1969" s="3"/>
      <c r="AQ1969" s="3"/>
      <c r="AR1969" s="3"/>
      <c r="AS1969" s="3"/>
    </row>
    <row r="1970" spans="1:45" ht="15">
      <c r="A1970"/>
      <c r="J1970"/>
      <c r="AA1970"/>
      <c r="AB1970"/>
      <c r="AC1970"/>
      <c r="AD1970"/>
      <c r="AE1970"/>
      <c r="AF1970"/>
      <c r="AG1970"/>
      <c r="AH1970"/>
      <c r="AO1970" s="2"/>
      <c r="AP1970" s="3"/>
      <c r="AQ1970" s="3"/>
      <c r="AR1970" s="3"/>
      <c r="AS1970" s="3"/>
    </row>
    <row r="1971" spans="1:45" ht="15">
      <c r="A1971"/>
      <c r="J1971"/>
      <c r="AA1971"/>
      <c r="AB1971"/>
      <c r="AC1971"/>
      <c r="AD1971"/>
      <c r="AE1971"/>
      <c r="AF1971"/>
      <c r="AG1971"/>
      <c r="AH1971"/>
      <c r="AO1971" s="2"/>
      <c r="AP1971" s="3"/>
      <c r="AQ1971" s="3"/>
      <c r="AR1971" s="3"/>
      <c r="AS1971" s="3"/>
    </row>
    <row r="1972" spans="1:45" ht="15">
      <c r="A1972"/>
      <c r="J1972"/>
      <c r="AA1972"/>
      <c r="AB1972"/>
      <c r="AC1972"/>
      <c r="AD1972"/>
      <c r="AE1972"/>
      <c r="AF1972"/>
      <c r="AG1972"/>
      <c r="AH1972"/>
      <c r="AO1972" s="2"/>
      <c r="AP1972" s="3"/>
      <c r="AQ1972" s="3"/>
      <c r="AR1972" s="3"/>
      <c r="AS1972" s="3"/>
    </row>
    <row r="1973" spans="1:45" ht="15">
      <c r="A1973"/>
      <c r="J1973"/>
      <c r="AA1973"/>
      <c r="AB1973"/>
      <c r="AC1973"/>
      <c r="AD1973"/>
      <c r="AE1973"/>
      <c r="AF1973"/>
      <c r="AG1973"/>
      <c r="AH1973"/>
      <c r="AO1973" s="2"/>
      <c r="AP1973" s="3"/>
      <c r="AQ1973" s="3"/>
      <c r="AR1973" s="3"/>
      <c r="AS1973" s="3"/>
    </row>
    <row r="1974" spans="1:45" ht="15">
      <c r="A1974"/>
      <c r="J1974"/>
      <c r="AA1974"/>
      <c r="AB1974"/>
      <c r="AC1974"/>
      <c r="AD1974"/>
      <c r="AE1974"/>
      <c r="AF1974"/>
      <c r="AG1974"/>
      <c r="AH1974"/>
      <c r="AO1974" s="2"/>
      <c r="AP1974" s="3"/>
      <c r="AQ1974" s="3"/>
      <c r="AR1974" s="3"/>
      <c r="AS1974" s="3"/>
    </row>
    <row r="1975" spans="1:45" ht="15">
      <c r="A1975"/>
      <c r="J1975"/>
      <c r="AA1975"/>
      <c r="AB1975"/>
      <c r="AC1975"/>
      <c r="AD1975"/>
      <c r="AE1975"/>
      <c r="AF1975"/>
      <c r="AG1975"/>
      <c r="AH1975"/>
      <c r="AO1975" s="2"/>
      <c r="AP1975" s="3"/>
      <c r="AQ1975" s="3"/>
      <c r="AR1975" s="3"/>
      <c r="AS1975" s="3"/>
    </row>
    <row r="1976" spans="1:45" ht="15">
      <c r="A1976"/>
      <c r="J1976"/>
      <c r="AA1976"/>
      <c r="AB1976"/>
      <c r="AC1976"/>
      <c r="AD1976"/>
      <c r="AE1976"/>
      <c r="AF1976"/>
      <c r="AG1976"/>
      <c r="AH1976"/>
      <c r="AO1976" s="2"/>
      <c r="AP1976" s="3"/>
      <c r="AQ1976" s="3"/>
      <c r="AR1976" s="3"/>
      <c r="AS1976" s="3"/>
    </row>
    <row r="1977" spans="1:45" ht="15">
      <c r="A1977"/>
      <c r="J1977"/>
      <c r="AA1977"/>
      <c r="AB1977"/>
      <c r="AC1977"/>
      <c r="AD1977"/>
      <c r="AE1977"/>
      <c r="AF1977"/>
      <c r="AG1977"/>
      <c r="AH1977"/>
      <c r="AO1977" s="2"/>
      <c r="AP1977" s="3"/>
      <c r="AQ1977" s="3"/>
      <c r="AR1977" s="3"/>
      <c r="AS1977" s="3"/>
    </row>
    <row r="1978" spans="1:45" ht="15">
      <c r="A1978"/>
      <c r="J1978"/>
      <c r="AA1978"/>
      <c r="AB1978"/>
      <c r="AC1978"/>
      <c r="AD1978"/>
      <c r="AE1978"/>
      <c r="AF1978"/>
      <c r="AG1978"/>
      <c r="AH1978"/>
      <c r="AO1978" s="2"/>
      <c r="AP1978" s="3"/>
      <c r="AQ1978" s="3"/>
      <c r="AR1978" s="3"/>
      <c r="AS1978" s="3"/>
    </row>
    <row r="1979" spans="1:45" ht="15">
      <c r="A1979"/>
      <c r="J1979"/>
      <c r="AA1979"/>
      <c r="AB1979"/>
      <c r="AC1979"/>
      <c r="AD1979"/>
      <c r="AE1979"/>
      <c r="AF1979"/>
      <c r="AG1979"/>
      <c r="AH1979"/>
      <c r="AO1979" s="2"/>
      <c r="AP1979" s="3"/>
      <c r="AQ1979" s="3"/>
      <c r="AR1979" s="3"/>
      <c r="AS1979" s="3"/>
    </row>
    <row r="1980" spans="1:45" ht="15">
      <c r="A1980"/>
      <c r="J1980"/>
      <c r="AA1980"/>
      <c r="AB1980"/>
      <c r="AC1980"/>
      <c r="AD1980"/>
      <c r="AE1980"/>
      <c r="AF1980"/>
      <c r="AG1980"/>
      <c r="AH1980"/>
      <c r="AO1980" s="2"/>
      <c r="AP1980" s="3"/>
      <c r="AQ1980" s="3"/>
      <c r="AR1980" s="3"/>
      <c r="AS1980" s="3"/>
    </row>
    <row r="1981" spans="1:45" ht="15">
      <c r="A1981"/>
      <c r="J1981"/>
      <c r="AA1981"/>
      <c r="AB1981"/>
      <c r="AC1981"/>
      <c r="AD1981"/>
      <c r="AE1981"/>
      <c r="AF1981"/>
      <c r="AG1981"/>
      <c r="AH1981"/>
      <c r="AO1981" s="2"/>
      <c r="AP1981" s="3"/>
      <c r="AQ1981" s="3"/>
      <c r="AR1981" s="3"/>
      <c r="AS1981" s="3"/>
    </row>
    <row r="1982" spans="1:45" ht="15">
      <c r="A1982"/>
      <c r="J1982"/>
      <c r="AA1982"/>
      <c r="AB1982"/>
      <c r="AC1982"/>
      <c r="AD1982"/>
      <c r="AE1982"/>
      <c r="AF1982"/>
      <c r="AG1982"/>
      <c r="AH1982"/>
      <c r="AO1982" s="2"/>
      <c r="AP1982" s="3"/>
      <c r="AQ1982" s="3"/>
      <c r="AR1982" s="3"/>
      <c r="AS1982" s="3"/>
    </row>
    <row r="1983" spans="1:45" ht="15">
      <c r="A1983"/>
      <c r="J1983"/>
      <c r="AA1983"/>
      <c r="AB1983"/>
      <c r="AC1983"/>
      <c r="AD1983"/>
      <c r="AE1983"/>
      <c r="AF1983"/>
      <c r="AG1983"/>
      <c r="AH1983"/>
      <c r="AO1983" s="2"/>
      <c r="AP1983" s="3"/>
      <c r="AQ1983" s="3"/>
      <c r="AR1983" s="3"/>
      <c r="AS1983" s="3"/>
    </row>
    <row r="1984" spans="1:45" ht="15">
      <c r="A1984"/>
      <c r="J1984"/>
      <c r="AA1984"/>
      <c r="AB1984"/>
      <c r="AC1984"/>
      <c r="AD1984"/>
      <c r="AE1984"/>
      <c r="AF1984"/>
      <c r="AG1984"/>
      <c r="AH1984"/>
      <c r="AO1984" s="2"/>
      <c r="AP1984" s="3"/>
      <c r="AQ1984" s="3"/>
      <c r="AR1984" s="3"/>
      <c r="AS1984" s="3"/>
    </row>
    <row r="1985" spans="1:45" ht="15">
      <c r="A1985"/>
      <c r="J1985"/>
      <c r="AA1985"/>
      <c r="AB1985"/>
      <c r="AC1985"/>
      <c r="AD1985"/>
      <c r="AE1985"/>
      <c r="AF1985"/>
      <c r="AG1985"/>
      <c r="AH1985"/>
      <c r="AO1985" s="2"/>
      <c r="AP1985" s="3"/>
      <c r="AQ1985" s="3"/>
      <c r="AR1985" s="3"/>
      <c r="AS1985" s="3"/>
    </row>
    <row r="1986" spans="1:45" ht="15">
      <c r="A1986"/>
      <c r="J1986"/>
      <c r="AA1986"/>
      <c r="AB1986"/>
      <c r="AC1986"/>
      <c r="AD1986"/>
      <c r="AE1986"/>
      <c r="AF1986"/>
      <c r="AG1986"/>
      <c r="AH1986"/>
      <c r="AO1986" s="2"/>
      <c r="AP1986" s="3"/>
      <c r="AQ1986" s="3"/>
      <c r="AR1986" s="3"/>
      <c r="AS1986" s="3"/>
    </row>
    <row r="1987" spans="1:45" ht="15">
      <c r="A1987"/>
      <c r="J1987"/>
      <c r="AA1987"/>
      <c r="AB1987"/>
      <c r="AC1987"/>
      <c r="AD1987"/>
      <c r="AE1987"/>
      <c r="AF1987"/>
      <c r="AG1987"/>
      <c r="AH1987"/>
      <c r="AO1987" s="2"/>
      <c r="AP1987" s="3"/>
      <c r="AQ1987" s="3"/>
      <c r="AR1987" s="3"/>
      <c r="AS1987" s="3"/>
    </row>
    <row r="1988" spans="1:45" ht="15">
      <c r="A1988"/>
      <c r="J1988"/>
      <c r="AA1988"/>
      <c r="AB1988"/>
      <c r="AC1988"/>
      <c r="AD1988"/>
      <c r="AE1988"/>
      <c r="AF1988"/>
      <c r="AG1988"/>
      <c r="AH1988"/>
      <c r="AO1988" s="2"/>
      <c r="AP1988" s="3"/>
      <c r="AQ1988" s="3"/>
      <c r="AR1988" s="3"/>
      <c r="AS1988" s="3"/>
    </row>
    <row r="1989" spans="1:45" ht="15">
      <c r="A1989"/>
      <c r="J1989"/>
      <c r="AA1989"/>
      <c r="AB1989"/>
      <c r="AC1989"/>
      <c r="AD1989"/>
      <c r="AE1989"/>
      <c r="AF1989"/>
      <c r="AG1989"/>
      <c r="AH1989"/>
      <c r="AO1989" s="2"/>
      <c r="AP1989" s="3"/>
      <c r="AQ1989" s="3"/>
      <c r="AR1989" s="3"/>
      <c r="AS1989" s="3"/>
    </row>
    <row r="1990" spans="1:45" ht="15">
      <c r="A1990"/>
      <c r="J1990"/>
      <c r="AA1990"/>
      <c r="AB1990"/>
      <c r="AC1990"/>
      <c r="AD1990"/>
      <c r="AE1990"/>
      <c r="AF1990"/>
      <c r="AG1990"/>
      <c r="AH1990"/>
      <c r="AO1990" s="2"/>
      <c r="AP1990" s="3"/>
      <c r="AQ1990" s="3"/>
      <c r="AR1990" s="3"/>
      <c r="AS1990" s="3"/>
    </row>
    <row r="1991" spans="1:45" ht="15">
      <c r="A1991"/>
      <c r="J1991"/>
      <c r="AA1991"/>
      <c r="AB1991"/>
      <c r="AC1991"/>
      <c r="AD1991"/>
      <c r="AE1991"/>
      <c r="AF1991"/>
      <c r="AG1991"/>
      <c r="AH1991"/>
      <c r="AO1991" s="2"/>
      <c r="AP1991" s="3"/>
      <c r="AQ1991" s="3"/>
      <c r="AR1991" s="3"/>
      <c r="AS1991" s="3"/>
    </row>
    <row r="1992" spans="1:45" ht="15">
      <c r="A1992"/>
      <c r="J1992"/>
      <c r="AA1992"/>
      <c r="AB1992"/>
      <c r="AC1992"/>
      <c r="AD1992"/>
      <c r="AE1992"/>
      <c r="AF1992"/>
      <c r="AG1992"/>
      <c r="AH1992"/>
      <c r="AO1992" s="2"/>
      <c r="AP1992" s="3"/>
      <c r="AQ1992" s="3"/>
      <c r="AR1992" s="3"/>
      <c r="AS1992" s="3"/>
    </row>
    <row r="1993" spans="1:45" ht="15">
      <c r="A1993"/>
      <c r="J1993"/>
      <c r="AA1993"/>
      <c r="AB1993"/>
      <c r="AC1993"/>
      <c r="AD1993"/>
      <c r="AE1993"/>
      <c r="AF1993"/>
      <c r="AG1993"/>
      <c r="AH1993"/>
      <c r="AO1993" s="2"/>
      <c r="AP1993" s="3"/>
      <c r="AQ1993" s="3"/>
      <c r="AR1993" s="3"/>
      <c r="AS1993" s="3"/>
    </row>
    <row r="1994" spans="1:45" ht="15">
      <c r="A1994"/>
      <c r="J1994"/>
      <c r="AA1994"/>
      <c r="AB1994"/>
      <c r="AC1994"/>
      <c r="AD1994"/>
      <c r="AE1994"/>
      <c r="AF1994"/>
      <c r="AG1994"/>
      <c r="AH1994"/>
      <c r="AO1994" s="2"/>
      <c r="AP1994" s="3"/>
      <c r="AQ1994" s="3"/>
      <c r="AR1994" s="3"/>
      <c r="AS1994" s="3"/>
    </row>
    <row r="1995" spans="1:45" ht="15">
      <c r="A1995"/>
      <c r="J1995"/>
      <c r="AA1995"/>
      <c r="AB1995"/>
      <c r="AC1995"/>
      <c r="AD1995"/>
      <c r="AE1995"/>
      <c r="AF1995"/>
      <c r="AG1995"/>
      <c r="AH1995"/>
      <c r="AO1995" s="2"/>
      <c r="AP1995" s="3"/>
      <c r="AQ1995" s="3"/>
      <c r="AR1995" s="3"/>
      <c r="AS1995" s="3"/>
    </row>
    <row r="1996" spans="1:45" ht="15">
      <c r="A1996"/>
      <c r="J1996"/>
      <c r="AA1996"/>
      <c r="AB1996"/>
      <c r="AC1996"/>
      <c r="AD1996"/>
      <c r="AE1996"/>
      <c r="AF1996"/>
      <c r="AG1996"/>
      <c r="AH1996"/>
      <c r="AO1996" s="2"/>
      <c r="AP1996" s="3"/>
      <c r="AQ1996" s="3"/>
      <c r="AR1996" s="3"/>
      <c r="AS1996" s="3"/>
    </row>
    <row r="1997" spans="1:45" ht="15">
      <c r="A1997"/>
      <c r="J1997"/>
      <c r="AA1997"/>
      <c r="AB1997"/>
      <c r="AC1997"/>
      <c r="AD1997"/>
      <c r="AE1997"/>
      <c r="AF1997"/>
      <c r="AG1997"/>
      <c r="AH1997"/>
      <c r="AO1997" s="2"/>
      <c r="AP1997" s="3"/>
      <c r="AQ1997" s="3"/>
      <c r="AR1997" s="3"/>
      <c r="AS1997" s="3"/>
    </row>
    <row r="1998" spans="1:45" ht="15">
      <c r="A1998"/>
      <c r="J1998"/>
      <c r="AA1998"/>
      <c r="AB1998"/>
      <c r="AC1998"/>
      <c r="AD1998"/>
      <c r="AE1998"/>
      <c r="AF1998"/>
      <c r="AG1998"/>
      <c r="AH1998"/>
      <c r="AO1998" s="2"/>
      <c r="AP1998" s="3"/>
      <c r="AQ1998" s="3"/>
      <c r="AR1998" s="3"/>
      <c r="AS1998" s="3"/>
    </row>
    <row r="1999" spans="1:45" ht="15">
      <c r="A1999"/>
      <c r="J1999"/>
      <c r="AA1999"/>
      <c r="AB1999"/>
      <c r="AC1999"/>
      <c r="AD1999"/>
      <c r="AE1999"/>
      <c r="AF1999"/>
      <c r="AG1999"/>
      <c r="AH1999"/>
      <c r="AO1999" s="2"/>
      <c r="AP1999" s="3"/>
      <c r="AQ1999" s="3"/>
      <c r="AR1999" s="3"/>
      <c r="AS1999" s="3"/>
    </row>
    <row r="2000" spans="1:45" ht="15">
      <c r="A2000"/>
      <c r="J2000"/>
      <c r="AA2000"/>
      <c r="AB2000"/>
      <c r="AC2000"/>
      <c r="AD2000"/>
      <c r="AE2000"/>
      <c r="AF2000"/>
      <c r="AG2000"/>
      <c r="AH2000"/>
      <c r="AO2000" s="2"/>
      <c r="AP2000" s="3"/>
      <c r="AQ2000" s="3"/>
      <c r="AR2000" s="3"/>
      <c r="AS2000" s="3"/>
    </row>
    <row r="2001" spans="1:45" ht="15">
      <c r="A2001"/>
      <c r="J2001"/>
      <c r="AA2001"/>
      <c r="AB2001"/>
      <c r="AC2001"/>
      <c r="AD2001"/>
      <c r="AE2001"/>
      <c r="AF2001"/>
      <c r="AG2001"/>
      <c r="AH2001"/>
      <c r="AO2001" s="2"/>
      <c r="AP2001" s="3"/>
      <c r="AQ2001" s="3"/>
      <c r="AR2001" s="3"/>
      <c r="AS2001" s="3"/>
    </row>
    <row r="2002" spans="1:45" ht="15">
      <c r="A2002"/>
      <c r="J2002"/>
      <c r="AA2002"/>
      <c r="AB2002"/>
      <c r="AC2002"/>
      <c r="AD2002"/>
      <c r="AE2002"/>
      <c r="AF2002"/>
      <c r="AG2002"/>
      <c r="AH2002"/>
      <c r="AO2002" s="2"/>
      <c r="AP2002" s="3"/>
      <c r="AQ2002" s="3"/>
      <c r="AR2002" s="3"/>
      <c r="AS2002" s="3"/>
    </row>
    <row r="2003" spans="1:45" ht="15">
      <c r="A2003"/>
      <c r="J2003"/>
      <c r="AA2003"/>
      <c r="AB2003"/>
      <c r="AC2003"/>
      <c r="AD2003"/>
      <c r="AE2003"/>
      <c r="AF2003"/>
      <c r="AG2003"/>
      <c r="AH2003"/>
      <c r="AO2003" s="2"/>
      <c r="AP2003" s="3"/>
      <c r="AQ2003" s="3"/>
      <c r="AR2003" s="3"/>
      <c r="AS2003" s="3"/>
    </row>
    <row r="2004" spans="1:45" ht="15">
      <c r="A2004"/>
      <c r="J2004"/>
      <c r="AA2004"/>
      <c r="AB2004"/>
      <c r="AC2004"/>
      <c r="AD2004"/>
      <c r="AE2004"/>
      <c r="AF2004"/>
      <c r="AG2004"/>
      <c r="AH2004"/>
      <c r="AO2004" s="2"/>
      <c r="AP2004" s="3"/>
      <c r="AQ2004" s="3"/>
      <c r="AR2004" s="3"/>
      <c r="AS2004" s="3"/>
    </row>
    <row r="2005" spans="1:45" ht="15">
      <c r="A2005"/>
      <c r="J2005"/>
      <c r="AA2005"/>
      <c r="AB2005"/>
      <c r="AC2005"/>
      <c r="AD2005"/>
      <c r="AE2005"/>
      <c r="AF2005"/>
      <c r="AG2005"/>
      <c r="AH2005"/>
      <c r="AO2005" s="2"/>
      <c r="AP2005" s="3"/>
      <c r="AQ2005" s="3"/>
      <c r="AR2005" s="3"/>
      <c r="AS2005" s="3"/>
    </row>
    <row r="2006" spans="1:45" ht="15">
      <c r="A2006"/>
      <c r="J2006"/>
      <c r="AA2006"/>
      <c r="AB2006"/>
      <c r="AC2006"/>
      <c r="AD2006"/>
      <c r="AE2006"/>
      <c r="AF2006"/>
      <c r="AG2006"/>
      <c r="AH2006"/>
      <c r="AO2006" s="2"/>
      <c r="AP2006" s="3"/>
      <c r="AQ2006" s="3"/>
      <c r="AR2006" s="3"/>
      <c r="AS2006" s="3"/>
    </row>
    <row r="2007" spans="1:45" ht="15">
      <c r="A2007"/>
      <c r="J2007"/>
      <c r="AA2007"/>
      <c r="AB2007"/>
      <c r="AC2007"/>
      <c r="AD2007"/>
      <c r="AE2007"/>
      <c r="AF2007"/>
      <c r="AG2007"/>
      <c r="AH2007"/>
      <c r="AO2007" s="2"/>
      <c r="AP2007" s="3"/>
      <c r="AQ2007" s="3"/>
      <c r="AR2007" s="3"/>
      <c r="AS2007" s="3"/>
    </row>
    <row r="2008" spans="1:45" ht="15">
      <c r="A2008"/>
      <c r="J2008"/>
      <c r="AA2008"/>
      <c r="AB2008"/>
      <c r="AC2008"/>
      <c r="AD2008"/>
      <c r="AE2008"/>
      <c r="AF2008"/>
      <c r="AG2008"/>
      <c r="AH2008"/>
      <c r="AO2008" s="2"/>
      <c r="AP2008" s="3"/>
      <c r="AQ2008" s="3"/>
      <c r="AR2008" s="3"/>
      <c r="AS2008" s="3"/>
    </row>
    <row r="2009" spans="1:45" ht="15">
      <c r="A2009"/>
      <c r="J2009"/>
      <c r="AA2009"/>
      <c r="AB2009"/>
      <c r="AC2009"/>
      <c r="AD2009"/>
      <c r="AE2009"/>
      <c r="AF2009"/>
      <c r="AG2009"/>
      <c r="AH2009"/>
      <c r="AO2009" s="2"/>
      <c r="AP2009" s="3"/>
      <c r="AQ2009" s="3"/>
      <c r="AR2009" s="3"/>
      <c r="AS2009" s="3"/>
    </row>
    <row r="2010" spans="1:45" ht="15">
      <c r="A2010"/>
      <c r="J2010"/>
      <c r="AA2010"/>
      <c r="AB2010"/>
      <c r="AC2010"/>
      <c r="AD2010"/>
      <c r="AE2010"/>
      <c r="AF2010"/>
      <c r="AG2010"/>
      <c r="AH2010"/>
      <c r="AO2010" s="2"/>
      <c r="AP2010" s="3"/>
      <c r="AQ2010" s="3"/>
      <c r="AR2010" s="3"/>
      <c r="AS2010" s="3"/>
    </row>
    <row r="2011" spans="1:45" ht="15">
      <c r="A2011"/>
      <c r="J2011"/>
      <c r="AA2011"/>
      <c r="AB2011"/>
      <c r="AC2011"/>
      <c r="AD2011"/>
      <c r="AE2011"/>
      <c r="AF2011"/>
      <c r="AG2011"/>
      <c r="AH2011"/>
      <c r="AO2011" s="2"/>
      <c r="AP2011" s="3"/>
      <c r="AQ2011" s="3"/>
      <c r="AR2011" s="3"/>
      <c r="AS2011" s="3"/>
    </row>
    <row r="2012" spans="1:45" ht="15">
      <c r="A2012"/>
      <c r="J2012"/>
      <c r="AA2012"/>
      <c r="AB2012"/>
      <c r="AC2012"/>
      <c r="AD2012"/>
      <c r="AE2012"/>
      <c r="AF2012"/>
      <c r="AG2012"/>
      <c r="AH2012"/>
      <c r="AO2012" s="2"/>
      <c r="AP2012" s="3"/>
      <c r="AQ2012" s="3"/>
      <c r="AR2012" s="3"/>
      <c r="AS2012" s="3"/>
    </row>
    <row r="2013" spans="1:45" ht="15">
      <c r="A2013"/>
      <c r="J2013"/>
      <c r="AA2013"/>
      <c r="AB2013"/>
      <c r="AC2013"/>
      <c r="AD2013"/>
      <c r="AE2013"/>
      <c r="AF2013"/>
      <c r="AG2013"/>
      <c r="AH2013"/>
      <c r="AO2013" s="2"/>
      <c r="AP2013" s="3"/>
      <c r="AQ2013" s="3"/>
      <c r="AR2013" s="3"/>
      <c r="AS2013" s="3"/>
    </row>
    <row r="2014" spans="1:45" ht="15">
      <c r="A2014"/>
      <c r="J2014"/>
      <c r="AA2014"/>
      <c r="AB2014"/>
      <c r="AC2014"/>
      <c r="AD2014"/>
      <c r="AE2014"/>
      <c r="AF2014"/>
      <c r="AG2014"/>
      <c r="AH2014"/>
      <c r="AO2014" s="2"/>
      <c r="AP2014" s="3"/>
      <c r="AQ2014" s="3"/>
      <c r="AR2014" s="3"/>
      <c r="AS2014" s="3"/>
    </row>
    <row r="2015" spans="1:45" ht="15">
      <c r="A2015"/>
      <c r="J2015"/>
      <c r="AA2015"/>
      <c r="AB2015"/>
      <c r="AC2015"/>
      <c r="AD2015"/>
      <c r="AE2015"/>
      <c r="AF2015"/>
      <c r="AG2015"/>
      <c r="AH2015"/>
      <c r="AO2015" s="2"/>
      <c r="AP2015" s="3"/>
      <c r="AQ2015" s="3"/>
      <c r="AR2015" s="3"/>
      <c r="AS2015" s="3"/>
    </row>
    <row r="2016" spans="1:45" ht="15">
      <c r="A2016"/>
      <c r="J2016"/>
      <c r="AA2016"/>
      <c r="AB2016"/>
      <c r="AC2016"/>
      <c r="AD2016"/>
      <c r="AE2016"/>
      <c r="AF2016"/>
      <c r="AG2016"/>
      <c r="AH2016"/>
      <c r="AO2016" s="2"/>
      <c r="AP2016" s="3"/>
      <c r="AQ2016" s="3"/>
      <c r="AR2016" s="3"/>
      <c r="AS2016" s="3"/>
    </row>
    <row r="2017" spans="1:45" ht="15">
      <c r="A2017"/>
      <c r="J2017"/>
      <c r="AA2017"/>
      <c r="AB2017"/>
      <c r="AC2017"/>
      <c r="AD2017"/>
      <c r="AE2017"/>
      <c r="AF2017"/>
      <c r="AG2017"/>
      <c r="AH2017"/>
      <c r="AO2017" s="2"/>
      <c r="AP2017" s="3"/>
      <c r="AQ2017" s="3"/>
      <c r="AR2017" s="3"/>
      <c r="AS2017" s="3"/>
    </row>
    <row r="2018" spans="1:45" ht="15">
      <c r="A2018"/>
      <c r="J2018"/>
      <c r="AA2018"/>
      <c r="AB2018"/>
      <c r="AC2018"/>
      <c r="AD2018"/>
      <c r="AE2018"/>
      <c r="AF2018"/>
      <c r="AG2018"/>
      <c r="AH2018"/>
      <c r="AO2018" s="2"/>
      <c r="AP2018" s="3"/>
      <c r="AQ2018" s="3"/>
      <c r="AR2018" s="3"/>
      <c r="AS2018" s="3"/>
    </row>
    <row r="2019" spans="1:45" ht="15">
      <c r="A2019"/>
      <c r="J2019"/>
      <c r="AA2019"/>
      <c r="AB2019"/>
      <c r="AC2019"/>
      <c r="AD2019"/>
      <c r="AE2019"/>
      <c r="AF2019"/>
      <c r="AG2019"/>
      <c r="AH2019"/>
      <c r="AO2019" s="2"/>
      <c r="AP2019" s="3"/>
      <c r="AQ2019" s="3"/>
      <c r="AR2019" s="3"/>
      <c r="AS2019" s="3"/>
    </row>
    <row r="2020" spans="1:45" ht="15">
      <c r="A2020"/>
      <c r="J2020"/>
      <c r="AA2020"/>
      <c r="AB2020"/>
      <c r="AC2020"/>
      <c r="AD2020"/>
      <c r="AE2020"/>
      <c r="AF2020"/>
      <c r="AG2020"/>
      <c r="AH2020"/>
      <c r="AO2020" s="2"/>
      <c r="AP2020" s="3"/>
      <c r="AQ2020" s="3"/>
      <c r="AR2020" s="3"/>
      <c r="AS2020" s="3"/>
    </row>
    <row r="2021" spans="1:45" ht="15">
      <c r="A2021"/>
      <c r="J2021"/>
      <c r="AA2021"/>
      <c r="AB2021"/>
      <c r="AC2021"/>
      <c r="AD2021"/>
      <c r="AE2021"/>
      <c r="AF2021"/>
      <c r="AG2021"/>
      <c r="AH2021"/>
      <c r="AO2021" s="2"/>
      <c r="AP2021" s="3"/>
      <c r="AQ2021" s="3"/>
      <c r="AR2021" s="3"/>
      <c r="AS2021" s="3"/>
    </row>
    <row r="2022" spans="1:45" ht="15">
      <c r="A2022"/>
      <c r="J2022"/>
      <c r="AA2022"/>
      <c r="AB2022"/>
      <c r="AC2022"/>
      <c r="AD2022"/>
      <c r="AE2022"/>
      <c r="AF2022"/>
      <c r="AG2022"/>
      <c r="AH2022"/>
      <c r="AO2022" s="2"/>
      <c r="AP2022" s="3"/>
      <c r="AQ2022" s="3"/>
      <c r="AR2022" s="3"/>
      <c r="AS2022" s="3"/>
    </row>
    <row r="2023" spans="1:45" ht="15">
      <c r="A2023"/>
      <c r="J2023"/>
      <c r="AA2023"/>
      <c r="AB2023"/>
      <c r="AC2023"/>
      <c r="AD2023"/>
      <c r="AE2023"/>
      <c r="AF2023"/>
      <c r="AG2023"/>
      <c r="AH2023"/>
      <c r="AO2023" s="2"/>
      <c r="AP2023" s="3"/>
      <c r="AQ2023" s="3"/>
      <c r="AR2023" s="3"/>
      <c r="AS2023" s="3"/>
    </row>
    <row r="2024" spans="1:45" ht="15">
      <c r="A2024"/>
      <c r="J2024"/>
      <c r="AA2024"/>
      <c r="AB2024"/>
      <c r="AC2024"/>
      <c r="AD2024"/>
      <c r="AE2024"/>
      <c r="AF2024"/>
      <c r="AG2024"/>
      <c r="AH2024"/>
      <c r="AO2024" s="2"/>
      <c r="AP2024" s="3"/>
      <c r="AQ2024" s="3"/>
      <c r="AR2024" s="3"/>
      <c r="AS2024" s="3"/>
    </row>
    <row r="2025" spans="1:45" ht="15">
      <c r="A2025"/>
      <c r="J2025"/>
      <c r="AA2025"/>
      <c r="AB2025"/>
      <c r="AC2025"/>
      <c r="AD2025"/>
      <c r="AE2025"/>
      <c r="AF2025"/>
      <c r="AG2025"/>
      <c r="AH2025"/>
      <c r="AO2025" s="2"/>
      <c r="AP2025" s="3"/>
      <c r="AQ2025" s="3"/>
      <c r="AR2025" s="3"/>
      <c r="AS2025" s="3"/>
    </row>
    <row r="2026" spans="1:45" ht="15">
      <c r="A2026"/>
      <c r="J2026"/>
      <c r="AA2026"/>
      <c r="AB2026"/>
      <c r="AC2026"/>
      <c r="AD2026"/>
      <c r="AE2026"/>
      <c r="AF2026"/>
      <c r="AG2026"/>
      <c r="AH2026"/>
      <c r="AO2026" s="2"/>
      <c r="AP2026" s="3"/>
      <c r="AQ2026" s="3"/>
      <c r="AR2026" s="3"/>
      <c r="AS2026" s="3"/>
    </row>
    <row r="2027" spans="1:45" ht="15">
      <c r="A2027"/>
      <c r="J2027"/>
      <c r="AA2027"/>
      <c r="AB2027"/>
      <c r="AC2027"/>
      <c r="AD2027"/>
      <c r="AE2027"/>
      <c r="AF2027"/>
      <c r="AG2027"/>
      <c r="AH2027"/>
      <c r="AO2027" s="2"/>
      <c r="AP2027" s="3"/>
      <c r="AQ2027" s="3"/>
      <c r="AR2027" s="3"/>
      <c r="AS2027" s="3"/>
    </row>
    <row r="2028" spans="1:45" ht="15">
      <c r="A2028"/>
      <c r="J2028"/>
      <c r="AA2028"/>
      <c r="AB2028"/>
      <c r="AC2028"/>
      <c r="AD2028"/>
      <c r="AE2028"/>
      <c r="AF2028"/>
      <c r="AG2028"/>
      <c r="AH2028"/>
      <c r="AO2028" s="2"/>
      <c r="AP2028" s="3"/>
      <c r="AQ2028" s="3"/>
      <c r="AR2028" s="3"/>
      <c r="AS2028" s="3"/>
    </row>
    <row r="2029" spans="1:45" ht="15">
      <c r="A2029"/>
      <c r="J2029"/>
      <c r="AA2029"/>
      <c r="AB2029"/>
      <c r="AC2029"/>
      <c r="AD2029"/>
      <c r="AE2029"/>
      <c r="AF2029"/>
      <c r="AG2029"/>
      <c r="AH2029"/>
      <c r="AO2029" s="2"/>
      <c r="AP2029" s="3"/>
      <c r="AQ2029" s="3"/>
      <c r="AR2029" s="3"/>
      <c r="AS2029" s="3"/>
    </row>
    <row r="2030" spans="1:45" ht="15">
      <c r="A2030"/>
      <c r="J2030"/>
      <c r="AA2030"/>
      <c r="AB2030"/>
      <c r="AC2030"/>
      <c r="AD2030"/>
      <c r="AE2030"/>
      <c r="AF2030"/>
      <c r="AG2030"/>
      <c r="AH2030"/>
      <c r="AO2030" s="2"/>
      <c r="AP2030" s="3"/>
      <c r="AQ2030" s="3"/>
      <c r="AR2030" s="3"/>
      <c r="AS2030" s="3"/>
    </row>
    <row r="2031" spans="1:45" ht="15">
      <c r="A2031"/>
      <c r="J2031"/>
      <c r="AA2031"/>
      <c r="AB2031"/>
      <c r="AC2031"/>
      <c r="AD2031"/>
      <c r="AE2031"/>
      <c r="AF2031"/>
      <c r="AG2031"/>
      <c r="AH2031"/>
      <c r="AO2031" s="2"/>
      <c r="AP2031" s="3"/>
      <c r="AQ2031" s="3"/>
      <c r="AR2031" s="3"/>
      <c r="AS2031" s="3"/>
    </row>
    <row r="2032" spans="1:45" ht="15">
      <c r="A2032"/>
      <c r="J2032"/>
      <c r="AA2032"/>
      <c r="AB2032"/>
      <c r="AC2032"/>
      <c r="AD2032"/>
      <c r="AE2032"/>
      <c r="AF2032"/>
      <c r="AG2032"/>
      <c r="AH2032"/>
      <c r="AO2032" s="2"/>
      <c r="AP2032" s="3"/>
      <c r="AQ2032" s="3"/>
      <c r="AR2032" s="3"/>
      <c r="AS2032" s="3"/>
    </row>
    <row r="2033" spans="1:45" ht="15">
      <c r="A2033"/>
      <c r="J2033"/>
      <c r="AA2033"/>
      <c r="AB2033"/>
      <c r="AC2033"/>
      <c r="AD2033"/>
      <c r="AE2033"/>
      <c r="AF2033"/>
      <c r="AG2033"/>
      <c r="AH2033"/>
      <c r="AO2033" s="2"/>
      <c r="AP2033" s="3"/>
      <c r="AQ2033" s="3"/>
      <c r="AR2033" s="3"/>
      <c r="AS2033" s="3"/>
    </row>
    <row r="2034" spans="1:45" ht="15">
      <c r="A2034"/>
      <c r="J2034"/>
      <c r="AA2034"/>
      <c r="AB2034"/>
      <c r="AC2034"/>
      <c r="AD2034"/>
      <c r="AE2034"/>
      <c r="AF2034"/>
      <c r="AG2034"/>
      <c r="AH2034"/>
      <c r="AO2034" s="2"/>
      <c r="AP2034" s="3"/>
      <c r="AQ2034" s="3"/>
      <c r="AR2034" s="3"/>
      <c r="AS2034" s="3"/>
    </row>
    <row r="2035" spans="1:45" ht="15">
      <c r="A2035"/>
      <c r="J2035"/>
      <c r="AA2035"/>
      <c r="AB2035"/>
      <c r="AC2035"/>
      <c r="AD2035"/>
      <c r="AE2035"/>
      <c r="AF2035"/>
      <c r="AG2035"/>
      <c r="AH2035"/>
      <c r="AO2035" s="2"/>
      <c r="AP2035" s="3"/>
      <c r="AQ2035" s="3"/>
      <c r="AR2035" s="3"/>
      <c r="AS2035" s="3"/>
    </row>
    <row r="2036" spans="1:45" ht="15">
      <c r="A2036"/>
      <c r="J2036"/>
      <c r="AA2036"/>
      <c r="AB2036"/>
      <c r="AC2036"/>
      <c r="AD2036"/>
      <c r="AE2036"/>
      <c r="AF2036"/>
      <c r="AG2036"/>
      <c r="AH2036"/>
      <c r="AO2036" s="2"/>
      <c r="AP2036" s="3"/>
      <c r="AQ2036" s="3"/>
      <c r="AR2036" s="3"/>
      <c r="AS2036" s="3"/>
    </row>
    <row r="2037" spans="1:45" ht="15">
      <c r="A2037"/>
      <c r="J2037"/>
      <c r="AA2037"/>
      <c r="AB2037"/>
      <c r="AC2037"/>
      <c r="AD2037"/>
      <c r="AE2037"/>
      <c r="AF2037"/>
      <c r="AG2037"/>
      <c r="AH2037"/>
      <c r="AO2037" s="2"/>
      <c r="AP2037" s="3"/>
      <c r="AQ2037" s="3"/>
      <c r="AR2037" s="3"/>
      <c r="AS2037" s="3"/>
    </row>
    <row r="2038" spans="1:45" ht="15">
      <c r="A2038"/>
      <c r="J2038"/>
      <c r="AA2038"/>
      <c r="AB2038"/>
      <c r="AC2038"/>
      <c r="AD2038"/>
      <c r="AE2038"/>
      <c r="AF2038"/>
      <c r="AG2038"/>
      <c r="AH2038"/>
      <c r="AO2038" s="2"/>
      <c r="AP2038" s="3"/>
      <c r="AQ2038" s="3"/>
      <c r="AR2038" s="3"/>
      <c r="AS2038" s="3"/>
    </row>
    <row r="2039" spans="1:45" ht="15">
      <c r="A2039"/>
      <c r="J2039"/>
      <c r="AA2039"/>
      <c r="AB2039"/>
      <c r="AC2039"/>
      <c r="AD2039"/>
      <c r="AE2039"/>
      <c r="AF2039"/>
      <c r="AG2039"/>
      <c r="AH2039"/>
      <c r="AO2039" s="2"/>
      <c r="AP2039" s="3"/>
      <c r="AQ2039" s="3"/>
      <c r="AR2039" s="3"/>
      <c r="AS2039" s="3"/>
    </row>
    <row r="2040" spans="1:45" ht="15">
      <c r="A2040"/>
      <c r="J2040"/>
      <c r="AA2040"/>
      <c r="AB2040"/>
      <c r="AC2040"/>
      <c r="AD2040"/>
      <c r="AE2040"/>
      <c r="AF2040"/>
      <c r="AG2040"/>
      <c r="AH2040"/>
      <c r="AO2040" s="2"/>
      <c r="AP2040" s="3"/>
      <c r="AQ2040" s="3"/>
      <c r="AR2040" s="3"/>
      <c r="AS2040" s="3"/>
    </row>
    <row r="2041" spans="1:45" ht="15">
      <c r="A2041"/>
      <c r="J2041"/>
      <c r="AA2041"/>
      <c r="AB2041"/>
      <c r="AC2041"/>
      <c r="AD2041"/>
      <c r="AE2041"/>
      <c r="AF2041"/>
      <c r="AG2041"/>
      <c r="AH2041"/>
      <c r="AO2041" s="2"/>
      <c r="AP2041" s="3"/>
      <c r="AQ2041" s="3"/>
      <c r="AR2041" s="3"/>
      <c r="AS2041" s="3"/>
    </row>
    <row r="2042" spans="1:45" ht="15">
      <c r="A2042"/>
      <c r="J2042"/>
      <c r="AA2042"/>
      <c r="AB2042"/>
      <c r="AC2042"/>
      <c r="AD2042"/>
      <c r="AE2042"/>
      <c r="AF2042"/>
      <c r="AG2042"/>
      <c r="AH2042"/>
      <c r="AO2042" s="2"/>
      <c r="AP2042" s="3"/>
      <c r="AQ2042" s="3"/>
      <c r="AR2042" s="3"/>
      <c r="AS2042" s="3"/>
    </row>
    <row r="2043" spans="1:45" ht="15">
      <c r="A2043"/>
      <c r="J2043"/>
      <c r="AA2043"/>
      <c r="AB2043"/>
      <c r="AC2043"/>
      <c r="AD2043"/>
      <c r="AE2043"/>
      <c r="AF2043"/>
      <c r="AG2043"/>
      <c r="AH2043"/>
      <c r="AO2043" s="2"/>
      <c r="AP2043" s="3"/>
      <c r="AQ2043" s="3"/>
      <c r="AR2043" s="3"/>
      <c r="AS2043" s="3"/>
    </row>
    <row r="2044" spans="1:45" ht="15">
      <c r="A2044"/>
      <c r="J2044"/>
      <c r="AA2044"/>
      <c r="AB2044"/>
      <c r="AC2044"/>
      <c r="AD2044"/>
      <c r="AE2044"/>
      <c r="AF2044"/>
      <c r="AG2044"/>
      <c r="AH2044"/>
      <c r="AO2044" s="2"/>
      <c r="AP2044" s="3"/>
      <c r="AQ2044" s="3"/>
      <c r="AR2044" s="3"/>
      <c r="AS2044" s="3"/>
    </row>
    <row r="2045" spans="1:45" ht="15">
      <c r="A2045"/>
      <c r="J2045"/>
      <c r="AA2045"/>
      <c r="AB2045"/>
      <c r="AC2045"/>
      <c r="AD2045"/>
      <c r="AE2045"/>
      <c r="AF2045"/>
      <c r="AG2045"/>
      <c r="AH2045"/>
      <c r="AO2045" s="2"/>
      <c r="AP2045" s="3"/>
      <c r="AQ2045" s="3"/>
      <c r="AR2045" s="3"/>
      <c r="AS2045" s="3"/>
    </row>
    <row r="2046" spans="1:45" ht="15">
      <c r="A2046"/>
      <c r="J2046"/>
      <c r="AA2046"/>
      <c r="AB2046"/>
      <c r="AC2046"/>
      <c r="AD2046"/>
      <c r="AE2046"/>
      <c r="AF2046"/>
      <c r="AG2046"/>
      <c r="AH2046"/>
      <c r="AO2046" s="2"/>
      <c r="AP2046" s="3"/>
      <c r="AQ2046" s="3"/>
      <c r="AR2046" s="3"/>
      <c r="AS2046" s="3"/>
    </row>
    <row r="2047" spans="1:45" ht="15">
      <c r="A2047"/>
      <c r="J2047"/>
      <c r="AA2047"/>
      <c r="AB2047"/>
      <c r="AC2047"/>
      <c r="AD2047"/>
      <c r="AE2047"/>
      <c r="AF2047"/>
      <c r="AG2047"/>
      <c r="AH2047"/>
      <c r="AO2047" s="2"/>
      <c r="AP2047" s="3"/>
      <c r="AQ2047" s="3"/>
      <c r="AR2047" s="3"/>
      <c r="AS2047" s="3"/>
    </row>
    <row r="2048" spans="1:45" ht="15">
      <c r="A2048"/>
      <c r="J2048"/>
      <c r="AA2048"/>
      <c r="AB2048"/>
      <c r="AC2048"/>
      <c r="AD2048"/>
      <c r="AE2048"/>
      <c r="AF2048"/>
      <c r="AG2048"/>
      <c r="AH2048"/>
      <c r="AO2048" s="2"/>
      <c r="AP2048" s="3"/>
      <c r="AQ2048" s="3"/>
      <c r="AR2048" s="3"/>
      <c r="AS2048" s="3"/>
    </row>
    <row r="2049" spans="1:45" ht="15">
      <c r="A2049"/>
      <c r="J2049"/>
      <c r="AA2049"/>
      <c r="AB2049"/>
      <c r="AC2049"/>
      <c r="AD2049"/>
      <c r="AE2049"/>
      <c r="AF2049"/>
      <c r="AG2049"/>
      <c r="AH2049"/>
      <c r="AO2049" s="2"/>
      <c r="AP2049" s="3"/>
      <c r="AQ2049" s="3"/>
      <c r="AR2049" s="3"/>
      <c r="AS2049" s="3"/>
    </row>
    <row r="2050" spans="1:45" ht="15">
      <c r="A2050"/>
      <c r="J2050"/>
      <c r="AA2050"/>
      <c r="AB2050"/>
      <c r="AC2050"/>
      <c r="AD2050"/>
      <c r="AE2050"/>
      <c r="AF2050"/>
      <c r="AG2050"/>
      <c r="AH2050"/>
      <c r="AO2050" s="2"/>
      <c r="AP2050" s="3"/>
      <c r="AQ2050" s="3"/>
      <c r="AR2050" s="3"/>
      <c r="AS2050" s="3"/>
    </row>
    <row r="2051" spans="1:45" ht="15">
      <c r="A2051"/>
      <c r="J2051"/>
      <c r="AA2051"/>
      <c r="AB2051"/>
      <c r="AC2051"/>
      <c r="AD2051"/>
      <c r="AE2051"/>
      <c r="AF2051"/>
      <c r="AG2051"/>
      <c r="AH2051"/>
      <c r="AO2051" s="2"/>
      <c r="AP2051" s="3"/>
      <c r="AQ2051" s="3"/>
      <c r="AR2051" s="3"/>
      <c r="AS2051" s="3"/>
    </row>
    <row r="2052" spans="1:45" ht="15">
      <c r="A2052"/>
      <c r="J2052"/>
      <c r="AA2052"/>
      <c r="AB2052"/>
      <c r="AC2052"/>
      <c r="AD2052"/>
      <c r="AE2052"/>
      <c r="AF2052"/>
      <c r="AG2052"/>
      <c r="AH2052"/>
      <c r="AO2052" s="2"/>
      <c r="AP2052" s="3"/>
      <c r="AQ2052" s="3"/>
      <c r="AR2052" s="3"/>
      <c r="AS2052" s="3"/>
    </row>
    <row r="2053" spans="1:45" ht="15">
      <c r="A2053"/>
      <c r="J2053"/>
      <c r="AA2053"/>
      <c r="AB2053"/>
      <c r="AC2053"/>
      <c r="AD2053"/>
      <c r="AE2053"/>
      <c r="AF2053"/>
      <c r="AG2053"/>
      <c r="AH2053"/>
      <c r="AO2053" s="2"/>
      <c r="AP2053" s="3"/>
      <c r="AQ2053" s="3"/>
      <c r="AR2053" s="3"/>
      <c r="AS2053" s="3"/>
    </row>
    <row r="2054" spans="1:45" ht="15">
      <c r="A2054"/>
      <c r="J2054"/>
      <c r="AA2054"/>
      <c r="AB2054"/>
      <c r="AC2054"/>
      <c r="AD2054"/>
      <c r="AE2054"/>
      <c r="AF2054"/>
      <c r="AG2054"/>
      <c r="AH2054"/>
      <c r="AO2054" s="2"/>
      <c r="AP2054" s="3"/>
      <c r="AQ2054" s="3"/>
      <c r="AR2054" s="3"/>
      <c r="AS2054" s="3"/>
    </row>
    <row r="2055" spans="1:45" ht="15">
      <c r="A2055"/>
      <c r="J2055"/>
      <c r="AA2055"/>
      <c r="AB2055"/>
      <c r="AC2055"/>
      <c r="AD2055"/>
      <c r="AE2055"/>
      <c r="AF2055"/>
      <c r="AG2055"/>
      <c r="AH2055"/>
      <c r="AO2055" s="2"/>
      <c r="AP2055" s="3"/>
      <c r="AQ2055" s="3"/>
      <c r="AR2055" s="3"/>
      <c r="AS2055" s="3"/>
    </row>
    <row r="2056" spans="1:45" ht="15">
      <c r="A2056"/>
      <c r="J2056"/>
      <c r="AA2056"/>
      <c r="AB2056"/>
      <c r="AC2056"/>
      <c r="AD2056"/>
      <c r="AE2056"/>
      <c r="AF2056"/>
      <c r="AG2056"/>
      <c r="AH2056"/>
      <c r="AO2056" s="2"/>
      <c r="AP2056" s="3"/>
      <c r="AQ2056" s="3"/>
      <c r="AR2056" s="3"/>
      <c r="AS2056" s="3"/>
    </row>
    <row r="2057" spans="1:45" ht="15">
      <c r="A2057"/>
      <c r="J2057"/>
      <c r="AA2057"/>
      <c r="AB2057"/>
      <c r="AC2057"/>
      <c r="AD2057"/>
      <c r="AE2057"/>
      <c r="AF2057"/>
      <c r="AG2057"/>
      <c r="AH2057"/>
      <c r="AO2057" s="2"/>
      <c r="AP2057" s="3"/>
      <c r="AQ2057" s="3"/>
      <c r="AR2057" s="3"/>
      <c r="AS2057" s="3"/>
    </row>
    <row r="2058" spans="1:45" ht="15">
      <c r="A2058"/>
      <c r="J2058"/>
      <c r="AA2058"/>
      <c r="AB2058"/>
      <c r="AC2058"/>
      <c r="AD2058"/>
      <c r="AE2058"/>
      <c r="AF2058"/>
      <c r="AG2058"/>
      <c r="AH2058"/>
      <c r="AO2058" s="2"/>
      <c r="AP2058" s="3"/>
      <c r="AQ2058" s="3"/>
      <c r="AR2058" s="3"/>
      <c r="AS2058" s="3"/>
    </row>
    <row r="2059" spans="1:45" ht="15">
      <c r="A2059"/>
      <c r="J2059"/>
      <c r="AA2059"/>
      <c r="AB2059"/>
      <c r="AC2059"/>
      <c r="AD2059"/>
      <c r="AE2059"/>
      <c r="AF2059"/>
      <c r="AG2059"/>
      <c r="AH2059"/>
      <c r="AO2059" s="2"/>
      <c r="AP2059" s="3"/>
      <c r="AQ2059" s="3"/>
      <c r="AR2059" s="3"/>
      <c r="AS2059" s="3"/>
    </row>
    <row r="2060" spans="1:45" ht="15">
      <c r="A2060"/>
      <c r="J2060"/>
      <c r="AA2060"/>
      <c r="AB2060"/>
      <c r="AC2060"/>
      <c r="AD2060"/>
      <c r="AE2060"/>
      <c r="AF2060"/>
      <c r="AG2060"/>
      <c r="AH2060"/>
      <c r="AO2060" s="2"/>
      <c r="AP2060" s="3"/>
      <c r="AQ2060" s="3"/>
      <c r="AR2060" s="3"/>
      <c r="AS2060" s="3"/>
    </row>
    <row r="2061" spans="1:45" ht="15">
      <c r="A2061"/>
      <c r="J2061"/>
      <c r="AA2061"/>
      <c r="AB2061"/>
      <c r="AC2061"/>
      <c r="AD2061"/>
      <c r="AE2061"/>
      <c r="AF2061"/>
      <c r="AG2061"/>
      <c r="AH2061"/>
      <c r="AO2061" s="2"/>
      <c r="AP2061" s="3"/>
      <c r="AQ2061" s="3"/>
      <c r="AR2061" s="3"/>
      <c r="AS2061" s="3"/>
    </row>
    <row r="2062" spans="1:45" ht="15">
      <c r="A2062"/>
      <c r="J2062"/>
      <c r="AA2062"/>
      <c r="AB2062"/>
      <c r="AC2062"/>
      <c r="AD2062"/>
      <c r="AE2062"/>
      <c r="AF2062"/>
      <c r="AG2062"/>
      <c r="AH2062"/>
      <c r="AO2062" s="2"/>
      <c r="AP2062" s="3"/>
      <c r="AQ2062" s="3"/>
      <c r="AR2062" s="3"/>
      <c r="AS2062" s="3"/>
    </row>
    <row r="2063" spans="1:45" ht="15">
      <c r="A2063"/>
      <c r="J2063"/>
      <c r="AA2063"/>
      <c r="AB2063"/>
      <c r="AC2063"/>
      <c r="AD2063"/>
      <c r="AE2063"/>
      <c r="AF2063"/>
      <c r="AG2063"/>
      <c r="AH2063"/>
      <c r="AO2063" s="2"/>
      <c r="AP2063" s="3"/>
      <c r="AQ2063" s="3"/>
      <c r="AR2063" s="3"/>
      <c r="AS2063" s="3"/>
    </row>
    <row r="2064" spans="1:45" ht="15">
      <c r="A2064"/>
      <c r="J2064"/>
      <c r="AA2064"/>
      <c r="AB2064"/>
      <c r="AC2064"/>
      <c r="AD2064"/>
      <c r="AE2064"/>
      <c r="AF2064"/>
      <c r="AG2064"/>
      <c r="AH2064"/>
      <c r="AO2064" s="2"/>
      <c r="AP2064" s="3"/>
      <c r="AQ2064" s="3"/>
      <c r="AR2064" s="3"/>
      <c r="AS2064" s="3"/>
    </row>
    <row r="2065" spans="1:45" ht="15">
      <c r="A2065"/>
      <c r="J2065"/>
      <c r="AA2065"/>
      <c r="AB2065"/>
      <c r="AC2065"/>
      <c r="AD2065"/>
      <c r="AE2065"/>
      <c r="AF2065"/>
      <c r="AG2065"/>
      <c r="AH2065"/>
      <c r="AO2065" s="2"/>
      <c r="AP2065" s="3"/>
      <c r="AQ2065" s="3"/>
      <c r="AR2065" s="3"/>
      <c r="AS2065" s="3"/>
    </row>
    <row r="2066" spans="1:45" ht="15">
      <c r="A2066"/>
      <c r="J2066"/>
      <c r="AA2066"/>
      <c r="AB2066"/>
      <c r="AC2066"/>
      <c r="AD2066"/>
      <c r="AE2066"/>
      <c r="AF2066"/>
      <c r="AG2066"/>
      <c r="AH2066"/>
      <c r="AO2066" s="2"/>
      <c r="AP2066" s="3"/>
      <c r="AQ2066" s="3"/>
      <c r="AR2066" s="3"/>
      <c r="AS2066" s="3"/>
    </row>
    <row r="2067" spans="1:45" ht="15">
      <c r="A2067"/>
      <c r="J2067"/>
      <c r="AA2067"/>
      <c r="AB2067"/>
      <c r="AC2067"/>
      <c r="AD2067"/>
      <c r="AE2067"/>
      <c r="AF2067"/>
      <c r="AG2067"/>
      <c r="AH2067"/>
      <c r="AO2067" s="2"/>
      <c r="AP2067" s="3"/>
      <c r="AQ2067" s="3"/>
      <c r="AR2067" s="3"/>
      <c r="AS2067" s="3"/>
    </row>
    <row r="2068" spans="1:45" ht="15">
      <c r="A2068"/>
      <c r="J2068"/>
      <c r="AA2068"/>
      <c r="AB2068"/>
      <c r="AC2068"/>
      <c r="AD2068"/>
      <c r="AE2068"/>
      <c r="AF2068"/>
      <c r="AG2068"/>
      <c r="AH2068"/>
      <c r="AO2068" s="2"/>
      <c r="AP2068" s="3"/>
      <c r="AQ2068" s="3"/>
      <c r="AR2068" s="3"/>
      <c r="AS2068" s="3"/>
    </row>
    <row r="2069" spans="1:45" ht="15">
      <c r="A2069"/>
      <c r="J2069"/>
      <c r="AA2069"/>
      <c r="AB2069"/>
      <c r="AC2069"/>
      <c r="AD2069"/>
      <c r="AE2069"/>
      <c r="AF2069"/>
      <c r="AG2069"/>
      <c r="AH2069"/>
      <c r="AO2069" s="2"/>
      <c r="AP2069" s="3"/>
      <c r="AQ2069" s="3"/>
      <c r="AR2069" s="3"/>
      <c r="AS2069" s="3"/>
    </row>
    <row r="2070" spans="1:45" ht="15">
      <c r="A2070"/>
      <c r="J2070"/>
      <c r="AA2070"/>
      <c r="AB2070"/>
      <c r="AC2070"/>
      <c r="AD2070"/>
      <c r="AE2070"/>
      <c r="AF2070"/>
      <c r="AG2070"/>
      <c r="AH2070"/>
      <c r="AO2070" s="2"/>
      <c r="AP2070" s="3"/>
      <c r="AQ2070" s="3"/>
      <c r="AR2070" s="3"/>
      <c r="AS2070" s="3"/>
    </row>
    <row r="2071" spans="1:45" ht="15">
      <c r="A2071"/>
      <c r="J2071"/>
      <c r="AA2071"/>
      <c r="AB2071"/>
      <c r="AC2071"/>
      <c r="AD2071"/>
      <c r="AE2071"/>
      <c r="AF2071"/>
      <c r="AG2071"/>
      <c r="AH2071"/>
      <c r="AO2071" s="2"/>
      <c r="AP2071" s="3"/>
      <c r="AQ2071" s="3"/>
      <c r="AR2071" s="3"/>
      <c r="AS2071" s="3"/>
    </row>
    <row r="2072" spans="1:45" ht="15">
      <c r="A2072"/>
      <c r="J2072"/>
      <c r="AA2072"/>
      <c r="AB2072"/>
      <c r="AC2072"/>
      <c r="AD2072"/>
      <c r="AE2072"/>
      <c r="AF2072"/>
      <c r="AG2072"/>
      <c r="AH2072"/>
      <c r="AO2072" s="2"/>
      <c r="AP2072" s="3"/>
      <c r="AQ2072" s="3"/>
      <c r="AR2072" s="3"/>
      <c r="AS2072" s="3"/>
    </row>
    <row r="2073" spans="1:45" ht="15">
      <c r="A2073"/>
      <c r="J2073"/>
      <c r="AA2073"/>
      <c r="AB2073"/>
      <c r="AC2073"/>
      <c r="AD2073"/>
      <c r="AE2073"/>
      <c r="AF2073"/>
      <c r="AG2073"/>
      <c r="AH2073"/>
      <c r="AO2073" s="2"/>
      <c r="AP2073" s="3"/>
      <c r="AQ2073" s="3"/>
      <c r="AR2073" s="3"/>
      <c r="AS2073" s="3"/>
    </row>
    <row r="2074" spans="1:45" ht="15">
      <c r="A2074"/>
      <c r="J2074"/>
      <c r="AA2074"/>
      <c r="AB2074"/>
      <c r="AC2074"/>
      <c r="AD2074"/>
      <c r="AE2074"/>
      <c r="AF2074"/>
      <c r="AG2074"/>
      <c r="AH2074"/>
      <c r="AO2074" s="2"/>
      <c r="AP2074" s="3"/>
      <c r="AQ2074" s="3"/>
      <c r="AR2074" s="3"/>
      <c r="AS2074" s="3"/>
    </row>
    <row r="2075" spans="1:45" ht="15">
      <c r="A2075"/>
      <c r="J2075"/>
      <c r="AA2075"/>
      <c r="AB2075"/>
      <c r="AC2075"/>
      <c r="AD2075"/>
      <c r="AE2075"/>
      <c r="AF2075"/>
      <c r="AG2075"/>
      <c r="AH2075"/>
      <c r="AO2075" s="2"/>
      <c r="AP2075" s="3"/>
      <c r="AQ2075" s="3"/>
      <c r="AR2075" s="3"/>
      <c r="AS2075" s="3"/>
    </row>
    <row r="2076" spans="1:45" ht="15">
      <c r="A2076"/>
      <c r="J2076"/>
      <c r="AA2076"/>
      <c r="AB2076"/>
      <c r="AC2076"/>
      <c r="AD2076"/>
      <c r="AE2076"/>
      <c r="AF2076"/>
      <c r="AG2076"/>
      <c r="AH2076"/>
      <c r="AO2076" s="2"/>
      <c r="AP2076" s="3"/>
      <c r="AQ2076" s="3"/>
      <c r="AR2076" s="3"/>
      <c r="AS2076" s="3"/>
    </row>
    <row r="2077" spans="1:45" ht="15">
      <c r="A2077"/>
      <c r="J2077"/>
      <c r="AA2077"/>
      <c r="AB2077"/>
      <c r="AC2077"/>
      <c r="AD2077"/>
      <c r="AE2077"/>
      <c r="AF2077"/>
      <c r="AG2077"/>
      <c r="AH2077"/>
      <c r="AO2077" s="2"/>
      <c r="AP2077" s="3"/>
      <c r="AQ2077" s="3"/>
      <c r="AR2077" s="3"/>
      <c r="AS2077" s="3"/>
    </row>
    <row r="2078" spans="1:45" ht="15">
      <c r="A2078"/>
      <c r="J2078"/>
      <c r="AA2078"/>
      <c r="AB2078"/>
      <c r="AC2078"/>
      <c r="AD2078"/>
      <c r="AE2078"/>
      <c r="AF2078"/>
      <c r="AG2078"/>
      <c r="AH2078"/>
      <c r="AO2078" s="2"/>
      <c r="AP2078" s="3"/>
      <c r="AQ2078" s="3"/>
      <c r="AR2078" s="3"/>
      <c r="AS2078" s="3"/>
    </row>
    <row r="2079" spans="1:45" ht="15">
      <c r="A2079"/>
      <c r="J2079"/>
      <c r="AA2079"/>
      <c r="AB2079"/>
      <c r="AC2079"/>
      <c r="AD2079"/>
      <c r="AE2079"/>
      <c r="AF2079"/>
      <c r="AG2079"/>
      <c r="AH2079"/>
      <c r="AO2079" s="2"/>
      <c r="AP2079" s="3"/>
      <c r="AQ2079" s="3"/>
      <c r="AR2079" s="3"/>
      <c r="AS2079" s="3"/>
    </row>
    <row r="2080" spans="1:45" ht="15">
      <c r="A2080"/>
      <c r="J2080"/>
      <c r="AA2080"/>
      <c r="AB2080"/>
      <c r="AC2080"/>
      <c r="AD2080"/>
      <c r="AE2080"/>
      <c r="AF2080"/>
      <c r="AG2080"/>
      <c r="AH2080"/>
      <c r="AO2080" s="2"/>
      <c r="AP2080" s="3"/>
      <c r="AQ2080" s="3"/>
      <c r="AR2080" s="3"/>
      <c r="AS2080" s="3"/>
    </row>
    <row r="2081" spans="1:45" ht="15">
      <c r="A2081"/>
      <c r="J2081"/>
      <c r="AA2081"/>
      <c r="AB2081"/>
      <c r="AC2081"/>
      <c r="AD2081"/>
      <c r="AE2081"/>
      <c r="AF2081"/>
      <c r="AG2081"/>
      <c r="AH2081"/>
      <c r="AO2081" s="2"/>
      <c r="AP2081" s="3"/>
      <c r="AQ2081" s="3"/>
      <c r="AR2081" s="3"/>
      <c r="AS2081" s="3"/>
    </row>
    <row r="2082" spans="1:45" ht="15">
      <c r="A2082"/>
      <c r="J2082"/>
      <c r="AA2082"/>
      <c r="AB2082"/>
      <c r="AC2082"/>
      <c r="AD2082"/>
      <c r="AE2082"/>
      <c r="AF2082"/>
      <c r="AG2082"/>
      <c r="AH2082"/>
      <c r="AO2082" s="2"/>
      <c r="AP2082" s="3"/>
      <c r="AQ2082" s="3"/>
      <c r="AR2082" s="3"/>
      <c r="AS2082" s="3"/>
    </row>
    <row r="2083" spans="1:45" ht="15">
      <c r="A2083"/>
      <c r="J2083"/>
      <c r="AA2083"/>
      <c r="AB2083"/>
      <c r="AC2083"/>
      <c r="AD2083"/>
      <c r="AE2083"/>
      <c r="AF2083"/>
      <c r="AG2083"/>
      <c r="AH2083"/>
      <c r="AO2083" s="2"/>
      <c r="AP2083" s="3"/>
      <c r="AQ2083" s="3"/>
      <c r="AR2083" s="3"/>
      <c r="AS2083" s="3"/>
    </row>
    <row r="2084" spans="1:45" ht="15">
      <c r="A2084"/>
      <c r="J2084"/>
      <c r="AA2084"/>
      <c r="AB2084"/>
      <c r="AC2084"/>
      <c r="AD2084"/>
      <c r="AE2084"/>
      <c r="AF2084"/>
      <c r="AG2084"/>
      <c r="AH2084"/>
      <c r="AO2084" s="2"/>
      <c r="AP2084" s="3"/>
      <c r="AQ2084" s="3"/>
      <c r="AR2084" s="3"/>
      <c r="AS2084" s="3"/>
    </row>
    <row r="2085" spans="1:45" ht="15">
      <c r="A2085"/>
      <c r="J2085"/>
      <c r="AA2085"/>
      <c r="AB2085"/>
      <c r="AC2085"/>
      <c r="AD2085"/>
      <c r="AE2085"/>
      <c r="AF2085"/>
      <c r="AG2085"/>
      <c r="AH2085"/>
      <c r="AO2085" s="2"/>
      <c r="AP2085" s="3"/>
      <c r="AQ2085" s="3"/>
      <c r="AR2085" s="3"/>
      <c r="AS2085" s="3"/>
    </row>
    <row r="2086" spans="1:45" ht="15">
      <c r="A2086"/>
      <c r="J2086"/>
      <c r="AA2086"/>
      <c r="AB2086"/>
      <c r="AC2086"/>
      <c r="AD2086"/>
      <c r="AE2086"/>
      <c r="AF2086"/>
      <c r="AG2086"/>
      <c r="AH2086"/>
      <c r="AO2086" s="2"/>
      <c r="AP2086" s="3"/>
      <c r="AQ2086" s="3"/>
      <c r="AR2086" s="3"/>
      <c r="AS2086" s="3"/>
    </row>
    <row r="2087" spans="1:45" ht="15">
      <c r="A2087"/>
      <c r="J2087"/>
      <c r="AA2087"/>
      <c r="AB2087"/>
      <c r="AC2087"/>
      <c r="AD2087"/>
      <c r="AE2087"/>
      <c r="AF2087"/>
      <c r="AG2087"/>
      <c r="AH2087"/>
      <c r="AO2087" s="2"/>
      <c r="AP2087" s="3"/>
      <c r="AQ2087" s="3"/>
      <c r="AR2087" s="3"/>
      <c r="AS2087" s="3"/>
    </row>
    <row r="2088" spans="1:45" ht="15">
      <c r="A2088"/>
      <c r="J2088"/>
      <c r="AA2088"/>
      <c r="AB2088"/>
      <c r="AC2088"/>
      <c r="AD2088"/>
      <c r="AE2088"/>
      <c r="AF2088"/>
      <c r="AG2088"/>
      <c r="AH2088"/>
      <c r="AO2088" s="2"/>
      <c r="AP2088" s="3"/>
      <c r="AQ2088" s="3"/>
      <c r="AR2088" s="3"/>
      <c r="AS2088" s="3"/>
    </row>
    <row r="2089" spans="1:45" ht="15">
      <c r="A2089"/>
      <c r="J2089"/>
      <c r="AA2089"/>
      <c r="AB2089"/>
      <c r="AC2089"/>
      <c r="AD2089"/>
      <c r="AE2089"/>
      <c r="AF2089"/>
      <c r="AG2089"/>
      <c r="AH2089"/>
      <c r="AO2089" s="2"/>
      <c r="AP2089" s="3"/>
      <c r="AQ2089" s="3"/>
      <c r="AR2089" s="3"/>
      <c r="AS2089" s="3"/>
    </row>
    <row r="2090" spans="1:45" ht="15">
      <c r="A2090"/>
      <c r="J2090"/>
      <c r="AA2090"/>
      <c r="AB2090"/>
      <c r="AC2090"/>
      <c r="AD2090"/>
      <c r="AE2090"/>
      <c r="AF2090"/>
      <c r="AG2090"/>
      <c r="AH2090"/>
      <c r="AO2090" s="2"/>
      <c r="AP2090" s="3"/>
      <c r="AQ2090" s="3"/>
      <c r="AR2090" s="3"/>
      <c r="AS2090" s="3"/>
    </row>
    <row r="2091" spans="1:45" ht="15">
      <c r="A2091"/>
      <c r="J2091"/>
      <c r="AA2091"/>
      <c r="AB2091"/>
      <c r="AC2091"/>
      <c r="AD2091"/>
      <c r="AE2091"/>
      <c r="AF2091"/>
      <c r="AG2091"/>
      <c r="AH2091"/>
      <c r="AO2091" s="2"/>
      <c r="AP2091" s="3"/>
      <c r="AQ2091" s="3"/>
      <c r="AR2091" s="3"/>
      <c r="AS2091" s="3"/>
    </row>
    <row r="2092" spans="1:45" ht="15">
      <c r="A2092"/>
      <c r="J2092"/>
      <c r="AA2092"/>
      <c r="AB2092"/>
      <c r="AC2092"/>
      <c r="AD2092"/>
      <c r="AE2092"/>
      <c r="AF2092"/>
      <c r="AG2092"/>
      <c r="AH2092"/>
      <c r="AO2092" s="2"/>
      <c r="AP2092" s="3"/>
      <c r="AQ2092" s="3"/>
      <c r="AR2092" s="3"/>
      <c r="AS2092" s="3"/>
    </row>
    <row r="2093" spans="1:45" ht="15">
      <c r="A2093"/>
      <c r="J2093"/>
      <c r="AA2093"/>
      <c r="AB2093"/>
      <c r="AC2093"/>
      <c r="AD2093"/>
      <c r="AE2093"/>
      <c r="AF2093"/>
      <c r="AG2093"/>
      <c r="AH2093"/>
      <c r="AO2093" s="2"/>
      <c r="AP2093" s="3"/>
      <c r="AQ2093" s="3"/>
      <c r="AR2093" s="3"/>
      <c r="AS2093" s="3"/>
    </row>
    <row r="2094" spans="1:45" ht="15">
      <c r="A2094"/>
      <c r="J2094"/>
      <c r="AA2094"/>
      <c r="AB2094"/>
      <c r="AC2094"/>
      <c r="AD2094"/>
      <c r="AE2094"/>
      <c r="AF2094"/>
      <c r="AG2094"/>
      <c r="AH2094"/>
      <c r="AO2094" s="2"/>
      <c r="AP2094" s="3"/>
      <c r="AQ2094" s="3"/>
      <c r="AR2094" s="3"/>
      <c r="AS2094" s="3"/>
    </row>
    <row r="2095" spans="1:45" ht="15">
      <c r="A2095"/>
      <c r="J2095"/>
      <c r="AA2095"/>
      <c r="AB2095"/>
      <c r="AC2095"/>
      <c r="AD2095"/>
      <c r="AE2095"/>
      <c r="AF2095"/>
      <c r="AG2095"/>
      <c r="AH2095"/>
      <c r="AO2095" s="2"/>
      <c r="AP2095" s="3"/>
      <c r="AQ2095" s="3"/>
      <c r="AR2095" s="3"/>
      <c r="AS2095" s="3"/>
    </row>
    <row r="2096" spans="1:45" ht="15">
      <c r="A2096"/>
      <c r="J2096"/>
      <c r="AA2096"/>
      <c r="AB2096"/>
      <c r="AC2096"/>
      <c r="AD2096"/>
      <c r="AE2096"/>
      <c r="AF2096"/>
      <c r="AG2096"/>
      <c r="AH2096"/>
      <c r="AO2096" s="2"/>
      <c r="AP2096" s="3"/>
      <c r="AQ2096" s="3"/>
      <c r="AR2096" s="3"/>
      <c r="AS2096" s="3"/>
    </row>
    <row r="2097" spans="1:45" ht="15">
      <c r="A2097"/>
      <c r="J2097"/>
      <c r="AA2097"/>
      <c r="AB2097"/>
      <c r="AC2097"/>
      <c r="AD2097"/>
      <c r="AE2097"/>
      <c r="AF2097"/>
      <c r="AG2097"/>
      <c r="AH2097"/>
      <c r="AO2097" s="2"/>
      <c r="AP2097" s="3"/>
      <c r="AQ2097" s="3"/>
      <c r="AR2097" s="3"/>
      <c r="AS2097" s="3"/>
    </row>
    <row r="2098" spans="1:45" ht="15">
      <c r="A2098"/>
      <c r="J2098"/>
      <c r="AA2098"/>
      <c r="AB2098"/>
      <c r="AC2098"/>
      <c r="AD2098"/>
      <c r="AE2098"/>
      <c r="AF2098"/>
      <c r="AG2098"/>
      <c r="AH2098"/>
      <c r="AO2098" s="2"/>
      <c r="AP2098" s="3"/>
      <c r="AQ2098" s="3"/>
      <c r="AR2098" s="3"/>
      <c r="AS2098" s="3"/>
    </row>
    <row r="2099" spans="1:45" ht="15">
      <c r="A2099"/>
      <c r="J2099"/>
      <c r="AA2099"/>
      <c r="AB2099"/>
      <c r="AC2099"/>
      <c r="AD2099"/>
      <c r="AE2099"/>
      <c r="AF2099"/>
      <c r="AG2099"/>
      <c r="AH2099"/>
      <c r="AO2099" s="2"/>
      <c r="AP2099" s="3"/>
      <c r="AQ2099" s="3"/>
      <c r="AR2099" s="3"/>
      <c r="AS2099" s="3"/>
    </row>
    <row r="2100" spans="1:45" ht="15">
      <c r="A2100"/>
      <c r="J2100"/>
      <c r="AA2100"/>
      <c r="AB2100"/>
      <c r="AC2100"/>
      <c r="AD2100"/>
      <c r="AE2100"/>
      <c r="AF2100"/>
      <c r="AG2100"/>
      <c r="AH2100"/>
      <c r="AO2100" s="2"/>
      <c r="AP2100" s="3"/>
      <c r="AQ2100" s="3"/>
      <c r="AR2100" s="3"/>
      <c r="AS2100" s="3"/>
    </row>
    <row r="2101" spans="1:45" ht="15">
      <c r="A2101"/>
      <c r="J2101"/>
      <c r="AA2101"/>
      <c r="AB2101"/>
      <c r="AC2101"/>
      <c r="AD2101"/>
      <c r="AE2101"/>
      <c r="AF2101"/>
      <c r="AG2101"/>
      <c r="AH2101"/>
      <c r="AO2101" s="2"/>
      <c r="AP2101" s="3"/>
      <c r="AQ2101" s="3"/>
      <c r="AR2101" s="3"/>
      <c r="AS2101" s="3"/>
    </row>
    <row r="2102" spans="1:45" ht="15">
      <c r="A2102"/>
      <c r="J2102"/>
      <c r="AA2102"/>
      <c r="AB2102"/>
      <c r="AC2102"/>
      <c r="AD2102"/>
      <c r="AE2102"/>
      <c r="AF2102"/>
      <c r="AG2102"/>
      <c r="AH2102"/>
      <c r="AO2102" s="2"/>
      <c r="AP2102" s="3"/>
      <c r="AQ2102" s="3"/>
      <c r="AR2102" s="3"/>
      <c r="AS2102" s="3"/>
    </row>
    <row r="2103" spans="1:45" ht="15">
      <c r="A2103"/>
      <c r="J2103"/>
      <c r="AA2103"/>
      <c r="AB2103"/>
      <c r="AC2103"/>
      <c r="AD2103"/>
      <c r="AE2103"/>
      <c r="AF2103"/>
      <c r="AG2103"/>
      <c r="AH2103"/>
      <c r="AO2103" s="2"/>
      <c r="AP2103" s="3"/>
      <c r="AQ2103" s="3"/>
      <c r="AR2103" s="3"/>
      <c r="AS2103" s="3"/>
    </row>
    <row r="2104" spans="1:45" ht="15">
      <c r="A2104"/>
      <c r="J2104"/>
      <c r="AA2104"/>
      <c r="AB2104"/>
      <c r="AC2104"/>
      <c r="AD2104"/>
      <c r="AE2104"/>
      <c r="AF2104"/>
      <c r="AG2104"/>
      <c r="AH2104"/>
      <c r="AO2104" s="2"/>
      <c r="AP2104" s="3"/>
      <c r="AQ2104" s="3"/>
      <c r="AR2104" s="3"/>
      <c r="AS2104" s="3"/>
    </row>
    <row r="2105" spans="1:45" ht="15">
      <c r="A2105"/>
      <c r="J2105"/>
      <c r="AA2105"/>
      <c r="AB2105"/>
      <c r="AC2105"/>
      <c r="AD2105"/>
      <c r="AE2105"/>
      <c r="AF2105"/>
      <c r="AG2105"/>
      <c r="AH2105"/>
      <c r="AO2105" s="2"/>
      <c r="AP2105" s="3"/>
      <c r="AQ2105" s="3"/>
      <c r="AR2105" s="3"/>
      <c r="AS2105" s="3"/>
    </row>
    <row r="2106" spans="1:45" ht="15">
      <c r="A2106"/>
      <c r="J2106"/>
      <c r="AA2106"/>
      <c r="AB2106"/>
      <c r="AC2106"/>
      <c r="AD2106"/>
      <c r="AE2106"/>
      <c r="AF2106"/>
      <c r="AG2106"/>
      <c r="AH2106"/>
      <c r="AO2106" s="2"/>
      <c r="AP2106" s="3"/>
      <c r="AQ2106" s="3"/>
      <c r="AR2106" s="3"/>
      <c r="AS2106" s="3"/>
    </row>
    <row r="2107" spans="1:45" ht="15">
      <c r="A2107"/>
      <c r="J2107"/>
      <c r="AA2107"/>
      <c r="AB2107"/>
      <c r="AC2107"/>
      <c r="AD2107"/>
      <c r="AE2107"/>
      <c r="AF2107"/>
      <c r="AG2107"/>
      <c r="AH2107"/>
      <c r="AO2107" s="2"/>
      <c r="AP2107" s="3"/>
      <c r="AQ2107" s="3"/>
      <c r="AR2107" s="3"/>
      <c r="AS2107" s="3"/>
    </row>
    <row r="2108" spans="1:45" ht="15">
      <c r="A2108"/>
      <c r="J2108"/>
      <c r="AA2108"/>
      <c r="AB2108"/>
      <c r="AC2108"/>
      <c r="AD2108"/>
      <c r="AE2108"/>
      <c r="AF2108"/>
      <c r="AG2108"/>
      <c r="AH2108"/>
      <c r="AO2108" s="2"/>
      <c r="AP2108" s="3"/>
      <c r="AQ2108" s="3"/>
      <c r="AR2108" s="3"/>
      <c r="AS2108" s="3"/>
    </row>
    <row r="2109" spans="1:45" ht="15">
      <c r="A2109"/>
      <c r="J2109"/>
      <c r="AA2109"/>
      <c r="AB2109"/>
      <c r="AC2109"/>
      <c r="AD2109"/>
      <c r="AE2109"/>
      <c r="AF2109"/>
      <c r="AG2109"/>
      <c r="AH2109"/>
      <c r="AO2109" s="2"/>
      <c r="AP2109" s="3"/>
      <c r="AQ2109" s="3"/>
      <c r="AR2109" s="3"/>
      <c r="AS2109" s="3"/>
    </row>
    <row r="2110" spans="1:45" ht="15">
      <c r="A2110"/>
      <c r="J2110"/>
      <c r="AA2110"/>
      <c r="AB2110"/>
      <c r="AC2110"/>
      <c r="AD2110"/>
      <c r="AE2110"/>
      <c r="AF2110"/>
      <c r="AG2110"/>
      <c r="AH2110"/>
      <c r="AO2110" s="2"/>
      <c r="AP2110" s="3"/>
      <c r="AQ2110" s="3"/>
      <c r="AR2110" s="3"/>
      <c r="AS2110" s="3"/>
    </row>
    <row r="2111" spans="1:45" ht="15">
      <c r="A2111"/>
      <c r="J2111"/>
      <c r="AA2111"/>
      <c r="AB2111"/>
      <c r="AC2111"/>
      <c r="AD2111"/>
      <c r="AE2111"/>
      <c r="AF2111"/>
      <c r="AG2111"/>
      <c r="AH2111"/>
      <c r="AO2111" s="2"/>
      <c r="AP2111" s="3"/>
      <c r="AQ2111" s="3"/>
      <c r="AR2111" s="3"/>
      <c r="AS2111" s="3"/>
    </row>
    <row r="2112" spans="1:45" ht="15">
      <c r="A2112"/>
      <c r="J2112"/>
      <c r="AA2112"/>
      <c r="AB2112"/>
      <c r="AC2112"/>
      <c r="AD2112"/>
      <c r="AE2112"/>
      <c r="AF2112"/>
      <c r="AG2112"/>
      <c r="AH2112"/>
      <c r="AO2112" s="2"/>
      <c r="AP2112" s="3"/>
      <c r="AQ2112" s="3"/>
      <c r="AR2112" s="3"/>
      <c r="AS2112" s="3"/>
    </row>
    <row r="2113" spans="1:45" ht="15">
      <c r="A2113"/>
      <c r="J2113"/>
      <c r="AA2113"/>
      <c r="AB2113"/>
      <c r="AC2113"/>
      <c r="AD2113"/>
      <c r="AE2113"/>
      <c r="AF2113"/>
      <c r="AG2113"/>
      <c r="AH2113"/>
      <c r="AO2113" s="2"/>
      <c r="AP2113" s="3"/>
      <c r="AQ2113" s="3"/>
      <c r="AR2113" s="3"/>
      <c r="AS2113" s="3"/>
    </row>
    <row r="2114" spans="1:45" ht="15">
      <c r="A2114"/>
      <c r="J2114"/>
      <c r="AA2114"/>
      <c r="AB2114"/>
      <c r="AC2114"/>
      <c r="AD2114"/>
      <c r="AE2114"/>
      <c r="AF2114"/>
      <c r="AG2114"/>
      <c r="AH2114"/>
      <c r="AO2114" s="2"/>
      <c r="AP2114" s="3"/>
      <c r="AQ2114" s="3"/>
      <c r="AR2114" s="3"/>
      <c r="AS2114" s="3"/>
    </row>
    <row r="2115" spans="1:45" ht="15">
      <c r="A2115"/>
      <c r="J2115"/>
      <c r="AA2115"/>
      <c r="AB2115"/>
      <c r="AC2115"/>
      <c r="AD2115"/>
      <c r="AE2115"/>
      <c r="AF2115"/>
      <c r="AG2115"/>
      <c r="AH2115"/>
      <c r="AO2115" s="2"/>
      <c r="AP2115" s="3"/>
      <c r="AQ2115" s="3"/>
      <c r="AR2115" s="3"/>
      <c r="AS2115" s="3"/>
    </row>
    <row r="2116" spans="1:45" ht="15">
      <c r="A2116"/>
      <c r="J2116"/>
      <c r="AA2116"/>
      <c r="AB2116"/>
      <c r="AC2116"/>
      <c r="AD2116"/>
      <c r="AE2116"/>
      <c r="AF2116"/>
      <c r="AG2116"/>
      <c r="AH2116"/>
      <c r="AO2116" s="2"/>
      <c r="AP2116" s="3"/>
      <c r="AQ2116" s="3"/>
      <c r="AR2116" s="3"/>
      <c r="AS2116" s="3"/>
    </row>
    <row r="2117" spans="1:45" ht="15">
      <c r="A2117"/>
      <c r="J2117"/>
      <c r="AA2117"/>
      <c r="AB2117"/>
      <c r="AC2117"/>
      <c r="AD2117"/>
      <c r="AE2117"/>
      <c r="AF2117"/>
      <c r="AG2117"/>
      <c r="AH2117"/>
      <c r="AO2117" s="2"/>
      <c r="AP2117" s="3"/>
      <c r="AQ2117" s="3"/>
      <c r="AR2117" s="3"/>
      <c r="AS2117" s="3"/>
    </row>
    <row r="2118" spans="1:45" ht="15">
      <c r="A2118"/>
      <c r="J2118"/>
      <c r="AA2118"/>
      <c r="AB2118"/>
      <c r="AC2118"/>
      <c r="AD2118"/>
      <c r="AE2118"/>
      <c r="AF2118"/>
      <c r="AG2118"/>
      <c r="AH2118"/>
      <c r="AO2118" s="2"/>
      <c r="AP2118" s="3"/>
      <c r="AQ2118" s="3"/>
      <c r="AR2118" s="3"/>
      <c r="AS2118" s="3"/>
    </row>
    <row r="2119" spans="1:45" ht="15">
      <c r="A2119"/>
      <c r="J2119"/>
      <c r="AA2119"/>
      <c r="AB2119"/>
      <c r="AC2119"/>
      <c r="AD2119"/>
      <c r="AE2119"/>
      <c r="AF2119"/>
      <c r="AG2119"/>
      <c r="AH2119"/>
      <c r="AO2119" s="2"/>
      <c r="AP2119" s="3"/>
      <c r="AQ2119" s="3"/>
      <c r="AR2119" s="3"/>
      <c r="AS2119" s="3"/>
    </row>
    <row r="2120" spans="1:45" ht="15">
      <c r="A2120"/>
      <c r="J2120"/>
      <c r="AA2120"/>
      <c r="AB2120"/>
      <c r="AC2120"/>
      <c r="AD2120"/>
      <c r="AE2120"/>
      <c r="AF2120"/>
      <c r="AG2120"/>
      <c r="AH2120"/>
      <c r="AO2120" s="2"/>
      <c r="AP2120" s="3"/>
      <c r="AQ2120" s="3"/>
      <c r="AR2120" s="3"/>
      <c r="AS2120" s="3"/>
    </row>
    <row r="2121" spans="1:45" ht="15">
      <c r="A2121"/>
      <c r="J2121"/>
      <c r="AA2121"/>
      <c r="AB2121"/>
      <c r="AC2121"/>
      <c r="AD2121"/>
      <c r="AE2121"/>
      <c r="AF2121"/>
      <c r="AG2121"/>
      <c r="AH2121"/>
      <c r="AO2121" s="2"/>
      <c r="AP2121" s="3"/>
      <c r="AQ2121" s="3"/>
      <c r="AR2121" s="3"/>
      <c r="AS2121" s="3"/>
    </row>
    <row r="2122" spans="1:45" ht="15">
      <c r="A2122"/>
      <c r="J2122"/>
      <c r="AA2122"/>
      <c r="AB2122"/>
      <c r="AC2122"/>
      <c r="AD2122"/>
      <c r="AE2122"/>
      <c r="AF2122"/>
      <c r="AG2122"/>
      <c r="AH2122"/>
      <c r="AO2122" s="2"/>
      <c r="AP2122" s="3"/>
      <c r="AQ2122" s="3"/>
      <c r="AR2122" s="3"/>
      <c r="AS2122" s="3"/>
    </row>
    <row r="2123" spans="1:45" ht="15">
      <c r="A2123"/>
      <c r="J2123"/>
      <c r="AA2123"/>
      <c r="AB2123"/>
      <c r="AC2123"/>
      <c r="AD2123"/>
      <c r="AE2123"/>
      <c r="AF2123"/>
      <c r="AG2123"/>
      <c r="AH2123"/>
      <c r="AO2123" s="2"/>
      <c r="AP2123" s="3"/>
      <c r="AQ2123" s="3"/>
      <c r="AR2123" s="3"/>
      <c r="AS2123" s="3"/>
    </row>
    <row r="2124" spans="1:45" ht="15">
      <c r="A2124"/>
      <c r="J2124"/>
      <c r="AA2124"/>
      <c r="AB2124"/>
      <c r="AC2124"/>
      <c r="AD2124"/>
      <c r="AE2124"/>
      <c r="AF2124"/>
      <c r="AG2124"/>
      <c r="AH2124"/>
      <c r="AO2124" s="2"/>
      <c r="AP2124" s="3"/>
      <c r="AQ2124" s="3"/>
      <c r="AR2124" s="3"/>
      <c r="AS2124" s="3"/>
    </row>
    <row r="2125" spans="1:45" ht="15">
      <c r="A2125"/>
      <c r="J2125"/>
      <c r="AA2125"/>
      <c r="AB2125"/>
      <c r="AC2125"/>
      <c r="AD2125"/>
      <c r="AE2125"/>
      <c r="AF2125"/>
      <c r="AG2125"/>
      <c r="AH2125"/>
      <c r="AO2125" s="2"/>
      <c r="AP2125" s="3"/>
      <c r="AQ2125" s="3"/>
      <c r="AR2125" s="3"/>
      <c r="AS2125" s="3"/>
    </row>
    <row r="2126" spans="1:45" ht="15">
      <c r="A2126"/>
      <c r="J2126"/>
      <c r="AA2126"/>
      <c r="AB2126"/>
      <c r="AC2126"/>
      <c r="AD2126"/>
      <c r="AE2126"/>
      <c r="AF2126"/>
      <c r="AG2126"/>
      <c r="AH2126"/>
      <c r="AO2126" s="2"/>
      <c r="AP2126" s="3"/>
      <c r="AQ2126" s="3"/>
      <c r="AR2126" s="3"/>
      <c r="AS2126" s="3"/>
    </row>
    <row r="2127" spans="1:45" ht="15">
      <c r="A2127"/>
      <c r="J2127"/>
      <c r="AA2127"/>
      <c r="AB2127"/>
      <c r="AC2127"/>
      <c r="AD2127"/>
      <c r="AE2127"/>
      <c r="AF2127"/>
      <c r="AG2127"/>
      <c r="AH2127"/>
      <c r="AO2127" s="2"/>
      <c r="AP2127" s="3"/>
      <c r="AQ2127" s="3"/>
      <c r="AR2127" s="3"/>
      <c r="AS2127" s="3"/>
    </row>
    <row r="2128" spans="1:45" ht="15">
      <c r="A2128"/>
      <c r="J2128"/>
      <c r="AA2128"/>
      <c r="AB2128"/>
      <c r="AC2128"/>
      <c r="AD2128"/>
      <c r="AE2128"/>
      <c r="AF2128"/>
      <c r="AG2128"/>
      <c r="AH2128"/>
      <c r="AO2128" s="2"/>
      <c r="AP2128" s="3"/>
      <c r="AQ2128" s="3"/>
      <c r="AR2128" s="3"/>
      <c r="AS2128" s="3"/>
    </row>
    <row r="2129" spans="1:45" ht="15">
      <c r="A2129"/>
      <c r="J2129"/>
      <c r="AA2129"/>
      <c r="AB2129"/>
      <c r="AC2129"/>
      <c r="AD2129"/>
      <c r="AE2129"/>
      <c r="AF2129"/>
      <c r="AG2129"/>
      <c r="AH2129"/>
      <c r="AO2129" s="2"/>
      <c r="AP2129" s="3"/>
      <c r="AQ2129" s="3"/>
      <c r="AR2129" s="3"/>
      <c r="AS2129" s="3"/>
    </row>
    <row r="2130" spans="1:45" ht="15">
      <c r="A2130"/>
      <c r="J2130"/>
      <c r="AA2130"/>
      <c r="AB2130"/>
      <c r="AC2130"/>
      <c r="AD2130"/>
      <c r="AE2130"/>
      <c r="AF2130"/>
      <c r="AG2130"/>
      <c r="AH2130"/>
      <c r="AO2130" s="2"/>
      <c r="AP2130" s="3"/>
      <c r="AQ2130" s="3"/>
      <c r="AR2130" s="3"/>
      <c r="AS2130" s="3"/>
    </row>
    <row r="2131" spans="1:45" ht="15">
      <c r="A2131"/>
      <c r="J2131"/>
      <c r="AA2131"/>
      <c r="AB2131"/>
      <c r="AC2131"/>
      <c r="AD2131"/>
      <c r="AE2131"/>
      <c r="AF2131"/>
      <c r="AG2131"/>
      <c r="AH2131"/>
      <c r="AO2131" s="2"/>
      <c r="AP2131" s="3"/>
      <c r="AQ2131" s="3"/>
      <c r="AR2131" s="3"/>
      <c r="AS2131" s="3"/>
    </row>
    <row r="2132" spans="1:45" ht="15">
      <c r="A2132"/>
      <c r="J2132"/>
      <c r="AA2132"/>
      <c r="AB2132"/>
      <c r="AC2132"/>
      <c r="AD2132"/>
      <c r="AE2132"/>
      <c r="AF2132"/>
      <c r="AG2132"/>
      <c r="AH2132"/>
      <c r="AO2132" s="2"/>
      <c r="AP2132" s="3"/>
      <c r="AQ2132" s="3"/>
      <c r="AR2132" s="3"/>
      <c r="AS2132" s="3"/>
    </row>
    <row r="2133" spans="1:45" ht="15">
      <c r="A2133"/>
      <c r="J2133"/>
      <c r="AA2133"/>
      <c r="AB2133"/>
      <c r="AC2133"/>
      <c r="AD2133"/>
      <c r="AE2133"/>
      <c r="AF2133"/>
      <c r="AG2133"/>
      <c r="AH2133"/>
      <c r="AO2133" s="2"/>
      <c r="AP2133" s="3"/>
      <c r="AQ2133" s="3"/>
      <c r="AR2133" s="3"/>
      <c r="AS2133" s="3"/>
    </row>
    <row r="2134" spans="1:45" ht="15">
      <c r="A2134"/>
      <c r="J2134"/>
      <c r="AA2134"/>
      <c r="AB2134"/>
      <c r="AC2134"/>
      <c r="AD2134"/>
      <c r="AE2134"/>
      <c r="AF2134"/>
      <c r="AG2134"/>
      <c r="AH2134"/>
      <c r="AO2134" s="2"/>
      <c r="AP2134" s="3"/>
      <c r="AQ2134" s="3"/>
      <c r="AR2134" s="3"/>
      <c r="AS2134" s="3"/>
    </row>
    <row r="2135" spans="1:45" ht="15">
      <c r="A2135"/>
      <c r="J2135"/>
      <c r="AA2135"/>
      <c r="AB2135"/>
      <c r="AC2135"/>
      <c r="AD2135"/>
      <c r="AE2135"/>
      <c r="AF2135"/>
      <c r="AG2135"/>
      <c r="AH2135"/>
      <c r="AO2135" s="2"/>
      <c r="AP2135" s="3"/>
      <c r="AQ2135" s="3"/>
      <c r="AR2135" s="3"/>
      <c r="AS2135" s="3"/>
    </row>
    <row r="2136" spans="1:45" ht="15">
      <c r="A2136"/>
      <c r="J2136"/>
      <c r="AA2136"/>
      <c r="AB2136"/>
      <c r="AC2136"/>
      <c r="AD2136"/>
      <c r="AE2136"/>
      <c r="AF2136"/>
      <c r="AG2136"/>
      <c r="AH2136"/>
      <c r="AO2136" s="2"/>
      <c r="AP2136" s="3"/>
      <c r="AQ2136" s="3"/>
      <c r="AR2136" s="3"/>
      <c r="AS2136" s="3"/>
    </row>
    <row r="2137" spans="1:45" ht="15">
      <c r="A2137"/>
      <c r="J2137"/>
      <c r="AA2137"/>
      <c r="AB2137"/>
      <c r="AC2137"/>
      <c r="AD2137"/>
      <c r="AE2137"/>
      <c r="AF2137"/>
      <c r="AG2137"/>
      <c r="AH2137"/>
      <c r="AO2137" s="2"/>
      <c r="AP2137" s="3"/>
      <c r="AQ2137" s="3"/>
      <c r="AR2137" s="3"/>
      <c r="AS2137" s="3"/>
    </row>
    <row r="2138" spans="1:45" ht="15">
      <c r="A2138"/>
      <c r="J2138"/>
      <c r="AA2138"/>
      <c r="AB2138"/>
      <c r="AC2138"/>
      <c r="AD2138"/>
      <c r="AE2138"/>
      <c r="AF2138"/>
      <c r="AG2138"/>
      <c r="AH2138"/>
      <c r="AO2138" s="2"/>
      <c r="AP2138" s="3"/>
      <c r="AQ2138" s="3"/>
      <c r="AR2138" s="3"/>
      <c r="AS2138" s="3"/>
    </row>
    <row r="2139" spans="1:45" ht="15">
      <c r="A2139"/>
      <c r="J2139"/>
      <c r="AA2139"/>
      <c r="AB2139"/>
      <c r="AC2139"/>
      <c r="AD2139"/>
      <c r="AE2139"/>
      <c r="AF2139"/>
      <c r="AG2139"/>
      <c r="AH2139"/>
      <c r="AO2139" s="2"/>
      <c r="AP2139" s="3"/>
      <c r="AQ2139" s="3"/>
      <c r="AR2139" s="3"/>
      <c r="AS2139" s="3"/>
    </row>
    <row r="2140" spans="1:45" ht="15">
      <c r="A2140"/>
      <c r="J2140"/>
      <c r="AA2140"/>
      <c r="AB2140"/>
      <c r="AC2140"/>
      <c r="AD2140"/>
      <c r="AE2140"/>
      <c r="AF2140"/>
      <c r="AG2140"/>
      <c r="AH2140"/>
      <c r="AO2140" s="2"/>
      <c r="AP2140" s="3"/>
      <c r="AQ2140" s="3"/>
      <c r="AR2140" s="3"/>
      <c r="AS2140" s="3"/>
    </row>
    <row r="2141" spans="1:45" ht="15">
      <c r="A2141"/>
      <c r="J2141"/>
      <c r="AA2141"/>
      <c r="AB2141"/>
      <c r="AC2141"/>
      <c r="AD2141"/>
      <c r="AE2141"/>
      <c r="AF2141"/>
      <c r="AG2141"/>
      <c r="AH2141"/>
      <c r="AO2141" s="2"/>
      <c r="AP2141" s="3"/>
      <c r="AQ2141" s="3"/>
      <c r="AR2141" s="3"/>
      <c r="AS2141" s="3"/>
    </row>
    <row r="2142" spans="1:45" ht="15">
      <c r="A2142"/>
      <c r="J2142"/>
      <c r="AA2142"/>
      <c r="AB2142"/>
      <c r="AC2142"/>
      <c r="AD2142"/>
      <c r="AE2142"/>
      <c r="AF2142"/>
      <c r="AG2142"/>
      <c r="AH2142"/>
      <c r="AO2142" s="2"/>
      <c r="AP2142" s="3"/>
      <c r="AQ2142" s="3"/>
      <c r="AR2142" s="3"/>
      <c r="AS2142" s="3"/>
    </row>
    <row r="2143" spans="1:45" ht="15">
      <c r="A2143"/>
      <c r="J2143"/>
      <c r="AA2143"/>
      <c r="AB2143"/>
      <c r="AC2143"/>
      <c r="AD2143"/>
      <c r="AE2143"/>
      <c r="AF2143"/>
      <c r="AG2143"/>
      <c r="AH2143"/>
      <c r="AO2143" s="2"/>
      <c r="AP2143" s="3"/>
      <c r="AQ2143" s="3"/>
      <c r="AR2143" s="3"/>
      <c r="AS2143" s="3"/>
    </row>
    <row r="2144" spans="1:45" ht="15">
      <c r="A2144"/>
      <c r="J2144"/>
      <c r="AA2144"/>
      <c r="AB2144"/>
      <c r="AC2144"/>
      <c r="AD2144"/>
      <c r="AE2144"/>
      <c r="AF2144"/>
      <c r="AG2144"/>
      <c r="AH2144"/>
      <c r="AO2144" s="2"/>
      <c r="AP2144" s="3"/>
      <c r="AQ2144" s="3"/>
      <c r="AR2144" s="3"/>
      <c r="AS2144" s="3"/>
    </row>
    <row r="2145" spans="1:45" ht="15">
      <c r="A2145"/>
      <c r="J2145"/>
      <c r="AA2145"/>
      <c r="AB2145"/>
      <c r="AC2145"/>
      <c r="AD2145"/>
      <c r="AE2145"/>
      <c r="AF2145"/>
      <c r="AG2145"/>
      <c r="AH2145"/>
      <c r="AO2145" s="2"/>
      <c r="AP2145" s="3"/>
      <c r="AQ2145" s="3"/>
      <c r="AR2145" s="3"/>
      <c r="AS2145" s="3"/>
    </row>
    <row r="2146" spans="1:45" ht="15">
      <c r="A2146"/>
      <c r="J2146"/>
      <c r="AA2146"/>
      <c r="AB2146"/>
      <c r="AC2146"/>
      <c r="AD2146"/>
      <c r="AE2146"/>
      <c r="AF2146"/>
      <c r="AG2146"/>
      <c r="AH2146"/>
      <c r="AO2146" s="2"/>
      <c r="AP2146" s="3"/>
      <c r="AQ2146" s="3"/>
      <c r="AR2146" s="3"/>
      <c r="AS2146" s="3"/>
    </row>
    <row r="2147" spans="1:45" ht="15">
      <c r="A2147"/>
      <c r="J2147"/>
      <c r="AA2147"/>
      <c r="AB2147"/>
      <c r="AC2147"/>
      <c r="AD2147"/>
      <c r="AE2147"/>
      <c r="AF2147"/>
      <c r="AG2147"/>
      <c r="AH2147"/>
      <c r="AO2147" s="2"/>
      <c r="AP2147" s="3"/>
      <c r="AQ2147" s="3"/>
      <c r="AR2147" s="3"/>
      <c r="AS2147" s="3"/>
    </row>
    <row r="2148" spans="1:45" ht="15">
      <c r="A2148"/>
      <c r="J2148"/>
      <c r="AA2148"/>
      <c r="AB2148"/>
      <c r="AC2148"/>
      <c r="AD2148"/>
      <c r="AE2148"/>
      <c r="AF2148"/>
      <c r="AG2148"/>
      <c r="AH2148"/>
      <c r="AO2148" s="2"/>
      <c r="AP2148" s="3"/>
      <c r="AQ2148" s="3"/>
      <c r="AR2148" s="3"/>
      <c r="AS2148" s="3"/>
    </row>
    <row r="2149" spans="1:45" ht="15">
      <c r="A2149"/>
      <c r="J2149"/>
      <c r="AA2149"/>
      <c r="AB2149"/>
      <c r="AC2149"/>
      <c r="AD2149"/>
      <c r="AE2149"/>
      <c r="AF2149"/>
      <c r="AG2149"/>
      <c r="AH2149"/>
      <c r="AO2149" s="2"/>
      <c r="AP2149" s="3"/>
      <c r="AQ2149" s="3"/>
      <c r="AR2149" s="3"/>
      <c r="AS2149" s="3"/>
    </row>
    <row r="2150" spans="1:45" ht="15">
      <c r="A2150"/>
      <c r="J2150"/>
      <c r="AA2150"/>
      <c r="AB2150"/>
      <c r="AC2150"/>
      <c r="AD2150"/>
      <c r="AE2150"/>
      <c r="AF2150"/>
      <c r="AG2150"/>
      <c r="AH2150"/>
      <c r="AO2150" s="2"/>
      <c r="AP2150" s="3"/>
      <c r="AQ2150" s="3"/>
      <c r="AR2150" s="3"/>
      <c r="AS2150" s="3"/>
    </row>
    <row r="2151" spans="1:45" ht="15">
      <c r="A2151"/>
      <c r="J2151"/>
      <c r="AA2151"/>
      <c r="AB2151"/>
      <c r="AC2151"/>
      <c r="AD2151"/>
      <c r="AE2151"/>
      <c r="AF2151"/>
      <c r="AG2151"/>
      <c r="AH2151"/>
      <c r="AO2151" s="2"/>
      <c r="AP2151" s="3"/>
      <c r="AQ2151" s="3"/>
      <c r="AR2151" s="3"/>
      <c r="AS2151" s="3"/>
    </row>
    <row r="2152" spans="1:45" ht="15">
      <c r="A2152"/>
      <c r="J2152"/>
      <c r="AA2152"/>
      <c r="AB2152"/>
      <c r="AC2152"/>
      <c r="AD2152"/>
      <c r="AE2152"/>
      <c r="AF2152"/>
      <c r="AG2152"/>
      <c r="AH2152"/>
      <c r="AO2152" s="2"/>
      <c r="AP2152" s="3"/>
      <c r="AQ2152" s="3"/>
      <c r="AR2152" s="3"/>
      <c r="AS2152" s="3"/>
    </row>
    <row r="2153" spans="1:45" ht="15">
      <c r="A2153"/>
      <c r="J2153"/>
      <c r="AA2153"/>
      <c r="AB2153"/>
      <c r="AC2153"/>
      <c r="AD2153"/>
      <c r="AE2153"/>
      <c r="AF2153"/>
      <c r="AG2153"/>
      <c r="AH2153"/>
      <c r="AO2153" s="2"/>
      <c r="AP2153" s="3"/>
      <c r="AQ2153" s="3"/>
      <c r="AR2153" s="3"/>
      <c r="AS2153" s="3"/>
    </row>
    <row r="2154" spans="1:45" ht="15">
      <c r="A2154"/>
      <c r="J2154"/>
      <c r="AA2154"/>
      <c r="AB2154"/>
      <c r="AC2154"/>
      <c r="AD2154"/>
      <c r="AE2154"/>
      <c r="AF2154"/>
      <c r="AG2154"/>
      <c r="AH2154"/>
      <c r="AO2154" s="2"/>
      <c r="AP2154" s="3"/>
      <c r="AQ2154" s="3"/>
      <c r="AR2154" s="3"/>
      <c r="AS2154" s="3"/>
    </row>
    <row r="2155" spans="1:45" ht="15">
      <c r="A2155"/>
      <c r="J2155"/>
      <c r="AA2155"/>
      <c r="AB2155"/>
      <c r="AC2155"/>
      <c r="AD2155"/>
      <c r="AE2155"/>
      <c r="AF2155"/>
      <c r="AG2155"/>
      <c r="AH2155"/>
      <c r="AO2155" s="2"/>
      <c r="AP2155" s="3"/>
      <c r="AQ2155" s="3"/>
      <c r="AR2155" s="3"/>
      <c r="AS2155" s="3"/>
    </row>
    <row r="2156" spans="1:45" ht="15">
      <c r="A2156"/>
      <c r="J2156"/>
      <c r="AA2156"/>
      <c r="AB2156"/>
      <c r="AC2156"/>
      <c r="AD2156"/>
      <c r="AE2156"/>
      <c r="AF2156"/>
      <c r="AG2156"/>
      <c r="AH2156"/>
      <c r="AO2156" s="2"/>
      <c r="AP2156" s="3"/>
      <c r="AQ2156" s="3"/>
      <c r="AR2156" s="3"/>
      <c r="AS2156" s="3"/>
    </row>
    <row r="2157" spans="1:45" ht="15">
      <c r="A2157"/>
      <c r="J2157"/>
      <c r="AA2157"/>
      <c r="AB2157"/>
      <c r="AC2157"/>
      <c r="AD2157"/>
      <c r="AE2157"/>
      <c r="AF2157"/>
      <c r="AG2157"/>
      <c r="AH2157"/>
      <c r="AO2157" s="2"/>
      <c r="AP2157" s="3"/>
      <c r="AQ2157" s="3"/>
      <c r="AR2157" s="3"/>
      <c r="AS2157" s="3"/>
    </row>
    <row r="2158" spans="1:45" ht="15">
      <c r="A2158"/>
      <c r="J2158"/>
      <c r="AA2158"/>
      <c r="AB2158"/>
      <c r="AC2158"/>
      <c r="AD2158"/>
      <c r="AE2158"/>
      <c r="AF2158"/>
      <c r="AG2158"/>
      <c r="AH2158"/>
      <c r="AO2158" s="2"/>
      <c r="AP2158" s="3"/>
      <c r="AQ2158" s="3"/>
      <c r="AR2158" s="3"/>
      <c r="AS2158" s="3"/>
    </row>
    <row r="2159" spans="1:45" ht="15">
      <c r="A2159"/>
      <c r="J2159"/>
      <c r="AA2159"/>
      <c r="AB2159"/>
      <c r="AC2159"/>
      <c r="AD2159"/>
      <c r="AE2159"/>
      <c r="AF2159"/>
      <c r="AG2159"/>
      <c r="AH2159"/>
      <c r="AO2159" s="2"/>
      <c r="AP2159" s="3"/>
      <c r="AQ2159" s="3"/>
      <c r="AR2159" s="3"/>
      <c r="AS2159" s="3"/>
    </row>
    <row r="2160" spans="1:45" ht="15">
      <c r="A2160"/>
      <c r="J2160"/>
      <c r="AA2160"/>
      <c r="AB2160"/>
      <c r="AC2160"/>
      <c r="AD2160"/>
      <c r="AE2160"/>
      <c r="AF2160"/>
      <c r="AG2160"/>
      <c r="AH2160"/>
      <c r="AO2160" s="2"/>
      <c r="AP2160" s="3"/>
      <c r="AQ2160" s="3"/>
      <c r="AR2160" s="3"/>
      <c r="AS2160" s="3"/>
    </row>
    <row r="2161" spans="1:45" ht="15">
      <c r="A2161"/>
      <c r="J2161"/>
      <c r="AA2161"/>
      <c r="AB2161"/>
      <c r="AC2161"/>
      <c r="AD2161"/>
      <c r="AE2161"/>
      <c r="AF2161"/>
      <c r="AG2161"/>
      <c r="AH2161"/>
      <c r="AO2161" s="2"/>
      <c r="AP2161" s="3"/>
      <c r="AQ2161" s="3"/>
      <c r="AR2161" s="3"/>
      <c r="AS2161" s="3"/>
    </row>
    <row r="2162" spans="1:45" ht="15">
      <c r="A2162"/>
      <c r="J2162"/>
      <c r="AA2162"/>
      <c r="AB2162"/>
      <c r="AC2162"/>
      <c r="AD2162"/>
      <c r="AE2162"/>
      <c r="AF2162"/>
      <c r="AG2162"/>
      <c r="AH2162"/>
      <c r="AO2162" s="2"/>
      <c r="AP2162" s="3"/>
      <c r="AQ2162" s="3"/>
      <c r="AR2162" s="3"/>
      <c r="AS2162" s="3"/>
    </row>
    <row r="2163" spans="1:45" ht="15">
      <c r="A2163"/>
      <c r="J2163"/>
      <c r="AA2163"/>
      <c r="AB2163"/>
      <c r="AC2163"/>
      <c r="AD2163"/>
      <c r="AE2163"/>
      <c r="AF2163"/>
      <c r="AG2163"/>
      <c r="AH2163"/>
      <c r="AO2163" s="2"/>
      <c r="AP2163" s="3"/>
      <c r="AQ2163" s="3"/>
      <c r="AR2163" s="3"/>
      <c r="AS2163" s="3"/>
    </row>
    <row r="2164" spans="1:45" ht="15">
      <c r="A2164"/>
      <c r="J2164"/>
      <c r="AA2164"/>
      <c r="AB2164"/>
      <c r="AC2164"/>
      <c r="AD2164"/>
      <c r="AE2164"/>
      <c r="AF2164"/>
      <c r="AG2164"/>
      <c r="AH2164"/>
      <c r="AO2164" s="2"/>
      <c r="AP2164" s="3"/>
      <c r="AQ2164" s="3"/>
      <c r="AR2164" s="3"/>
      <c r="AS2164" s="3"/>
    </row>
    <row r="2165" spans="1:45" ht="15">
      <c r="A2165"/>
      <c r="J2165"/>
      <c r="AA2165"/>
      <c r="AB2165"/>
      <c r="AC2165"/>
      <c r="AD2165"/>
      <c r="AE2165"/>
      <c r="AF2165"/>
      <c r="AG2165"/>
      <c r="AH2165"/>
      <c r="AO2165" s="2"/>
      <c r="AP2165" s="3"/>
      <c r="AQ2165" s="3"/>
      <c r="AR2165" s="3"/>
      <c r="AS2165" s="3"/>
    </row>
    <row r="2166" spans="1:45" ht="15">
      <c r="A2166"/>
      <c r="J2166"/>
      <c r="AA2166"/>
      <c r="AB2166"/>
      <c r="AC2166"/>
      <c r="AD2166"/>
      <c r="AE2166"/>
      <c r="AF2166"/>
      <c r="AG2166"/>
      <c r="AH2166"/>
      <c r="AO2166" s="2"/>
      <c r="AP2166" s="3"/>
      <c r="AQ2166" s="3"/>
      <c r="AR2166" s="3"/>
      <c r="AS2166" s="3"/>
    </row>
    <row r="2167" spans="1:45" ht="15">
      <c r="A2167"/>
      <c r="J2167"/>
      <c r="AA2167"/>
      <c r="AB2167"/>
      <c r="AC2167"/>
      <c r="AD2167"/>
      <c r="AE2167"/>
      <c r="AF2167"/>
      <c r="AG2167"/>
      <c r="AH2167"/>
      <c r="AO2167" s="2"/>
      <c r="AP2167" s="3"/>
      <c r="AQ2167" s="3"/>
      <c r="AR2167" s="3"/>
      <c r="AS2167" s="3"/>
    </row>
    <row r="2168" spans="1:45" ht="15">
      <c r="A2168"/>
      <c r="J2168"/>
      <c r="AA2168"/>
      <c r="AB2168"/>
      <c r="AC2168"/>
      <c r="AD2168"/>
      <c r="AE2168"/>
      <c r="AF2168"/>
      <c r="AG2168"/>
      <c r="AH2168"/>
      <c r="AO2168" s="2"/>
      <c r="AP2168" s="3"/>
      <c r="AQ2168" s="3"/>
      <c r="AR2168" s="3"/>
      <c r="AS2168" s="3"/>
    </row>
    <row r="2169" spans="1:45" ht="15">
      <c r="A2169"/>
      <c r="J2169"/>
      <c r="AA2169"/>
      <c r="AB2169"/>
      <c r="AC2169"/>
      <c r="AD2169"/>
      <c r="AE2169"/>
      <c r="AF2169"/>
      <c r="AG2169"/>
      <c r="AH2169"/>
      <c r="AO2169" s="2"/>
      <c r="AP2169" s="3"/>
      <c r="AQ2169" s="3"/>
      <c r="AR2169" s="3"/>
      <c r="AS2169" s="3"/>
    </row>
    <row r="2170" spans="1:45" ht="15">
      <c r="A2170"/>
      <c r="J2170"/>
      <c r="AA2170"/>
      <c r="AB2170"/>
      <c r="AC2170"/>
      <c r="AD2170"/>
      <c r="AE2170"/>
      <c r="AF2170"/>
      <c r="AG2170"/>
      <c r="AH2170"/>
      <c r="AO2170" s="2"/>
      <c r="AP2170" s="3"/>
      <c r="AQ2170" s="3"/>
      <c r="AR2170" s="3"/>
      <c r="AS2170" s="3"/>
    </row>
    <row r="2171" spans="1:45" ht="15">
      <c r="A2171"/>
      <c r="J2171"/>
      <c r="AA2171"/>
      <c r="AB2171"/>
      <c r="AC2171"/>
      <c r="AD2171"/>
      <c r="AE2171"/>
      <c r="AF2171"/>
      <c r="AG2171"/>
      <c r="AH2171"/>
      <c r="AO2171" s="2"/>
      <c r="AP2171" s="3"/>
      <c r="AQ2171" s="3"/>
      <c r="AR2171" s="3"/>
      <c r="AS2171" s="3"/>
    </row>
    <row r="2172" spans="1:45" ht="15">
      <c r="A2172"/>
      <c r="J2172"/>
      <c r="AA2172"/>
      <c r="AB2172"/>
      <c r="AC2172"/>
      <c r="AD2172"/>
      <c r="AE2172"/>
      <c r="AF2172"/>
      <c r="AG2172"/>
      <c r="AH2172"/>
      <c r="AO2172" s="2"/>
      <c r="AP2172" s="3"/>
      <c r="AQ2172" s="3"/>
      <c r="AR2172" s="3"/>
      <c r="AS2172" s="3"/>
    </row>
    <row r="2173" spans="1:45" ht="15">
      <c r="A2173"/>
      <c r="J2173"/>
      <c r="AA2173"/>
      <c r="AB2173"/>
      <c r="AC2173"/>
      <c r="AD2173"/>
      <c r="AE2173"/>
      <c r="AF2173"/>
      <c r="AG2173"/>
      <c r="AH2173"/>
      <c r="AO2173" s="2"/>
      <c r="AP2173" s="3"/>
      <c r="AQ2173" s="3"/>
      <c r="AR2173" s="3"/>
      <c r="AS2173" s="3"/>
    </row>
    <row r="2174" spans="1:45" ht="15">
      <c r="A2174"/>
      <c r="J2174"/>
      <c r="AA2174"/>
      <c r="AB2174"/>
      <c r="AC2174"/>
      <c r="AD2174"/>
      <c r="AE2174"/>
      <c r="AF2174"/>
      <c r="AG2174"/>
      <c r="AH2174"/>
      <c r="AO2174" s="2"/>
      <c r="AP2174" s="3"/>
      <c r="AQ2174" s="3"/>
      <c r="AR2174" s="3"/>
      <c r="AS2174" s="3"/>
    </row>
    <row r="2175" spans="1:45" ht="15">
      <c r="A2175"/>
      <c r="J2175"/>
      <c r="AA2175"/>
      <c r="AB2175"/>
      <c r="AC2175"/>
      <c r="AD2175"/>
      <c r="AE2175"/>
      <c r="AF2175"/>
      <c r="AG2175"/>
      <c r="AH2175"/>
      <c r="AO2175" s="2"/>
      <c r="AP2175" s="3"/>
      <c r="AQ2175" s="3"/>
      <c r="AR2175" s="3"/>
      <c r="AS2175" s="3"/>
    </row>
    <row r="2176" spans="1:45" ht="15">
      <c r="A2176"/>
      <c r="J2176"/>
      <c r="AA2176"/>
      <c r="AB2176"/>
      <c r="AC2176"/>
      <c r="AD2176"/>
      <c r="AE2176"/>
      <c r="AF2176"/>
      <c r="AG2176"/>
      <c r="AH2176"/>
      <c r="AO2176" s="2"/>
      <c r="AP2176" s="3"/>
      <c r="AQ2176" s="3"/>
      <c r="AR2176" s="3"/>
      <c r="AS2176" s="3"/>
    </row>
    <row r="2177" spans="1:45" ht="15">
      <c r="A2177"/>
      <c r="J2177"/>
      <c r="AA2177"/>
      <c r="AB2177"/>
      <c r="AC2177"/>
      <c r="AD2177"/>
      <c r="AE2177"/>
      <c r="AF2177"/>
      <c r="AG2177"/>
      <c r="AH2177"/>
      <c r="AO2177" s="2"/>
      <c r="AP2177" s="3"/>
      <c r="AQ2177" s="3"/>
      <c r="AR2177" s="3"/>
      <c r="AS2177" s="3"/>
    </row>
    <row r="2178" spans="1:45" ht="15">
      <c r="A2178"/>
      <c r="J2178"/>
      <c r="AA2178"/>
      <c r="AB2178"/>
      <c r="AC2178"/>
      <c r="AD2178"/>
      <c r="AE2178"/>
      <c r="AF2178"/>
      <c r="AG2178"/>
      <c r="AH2178"/>
      <c r="AO2178" s="2"/>
      <c r="AP2178" s="3"/>
      <c r="AQ2178" s="3"/>
      <c r="AR2178" s="3"/>
      <c r="AS2178" s="3"/>
    </row>
    <row r="2179" spans="1:45" ht="15">
      <c r="A2179"/>
      <c r="J2179"/>
      <c r="AA2179"/>
      <c r="AB2179"/>
      <c r="AC2179"/>
      <c r="AD2179"/>
      <c r="AE2179"/>
      <c r="AF2179"/>
      <c r="AG2179"/>
      <c r="AH2179"/>
      <c r="AO2179" s="2"/>
      <c r="AP2179" s="3"/>
      <c r="AQ2179" s="3"/>
      <c r="AR2179" s="3"/>
      <c r="AS2179" s="3"/>
    </row>
    <row r="2180" spans="1:45" ht="15">
      <c r="A2180"/>
      <c r="J2180"/>
      <c r="AA2180"/>
      <c r="AB2180"/>
      <c r="AC2180"/>
      <c r="AD2180"/>
      <c r="AE2180"/>
      <c r="AF2180"/>
      <c r="AG2180"/>
      <c r="AH2180"/>
      <c r="AO2180" s="2"/>
      <c r="AP2180" s="3"/>
      <c r="AQ2180" s="3"/>
      <c r="AR2180" s="3"/>
      <c r="AS2180" s="3"/>
    </row>
    <row r="2181" spans="1:45" ht="15">
      <c r="A2181"/>
      <c r="J2181"/>
      <c r="AA2181"/>
      <c r="AB2181"/>
      <c r="AC2181"/>
      <c r="AD2181"/>
      <c r="AE2181"/>
      <c r="AF2181"/>
      <c r="AG2181"/>
      <c r="AH2181"/>
      <c r="AO2181" s="2"/>
      <c r="AP2181" s="3"/>
      <c r="AQ2181" s="3"/>
      <c r="AR2181" s="3"/>
      <c r="AS2181" s="3"/>
    </row>
    <row r="2182" spans="1:45" ht="15">
      <c r="A2182"/>
      <c r="J2182"/>
      <c r="AA2182"/>
      <c r="AB2182"/>
      <c r="AC2182"/>
      <c r="AD2182"/>
      <c r="AE2182"/>
      <c r="AF2182"/>
      <c r="AG2182"/>
      <c r="AH2182"/>
      <c r="AO2182" s="2"/>
      <c r="AP2182" s="3"/>
      <c r="AQ2182" s="3"/>
      <c r="AR2182" s="3"/>
      <c r="AS2182" s="3"/>
    </row>
    <row r="2183" spans="1:45" ht="15">
      <c r="A2183"/>
      <c r="J2183"/>
      <c r="AA2183"/>
      <c r="AB2183"/>
      <c r="AC2183"/>
      <c r="AD2183"/>
      <c r="AE2183"/>
      <c r="AF2183"/>
      <c r="AG2183"/>
      <c r="AH2183"/>
      <c r="AO2183" s="2"/>
      <c r="AP2183" s="3"/>
      <c r="AQ2183" s="3"/>
      <c r="AR2183" s="3"/>
      <c r="AS2183" s="3"/>
    </row>
    <row r="2184" spans="1:45" ht="15">
      <c r="A2184"/>
      <c r="J2184"/>
      <c r="AA2184"/>
      <c r="AB2184"/>
      <c r="AC2184"/>
      <c r="AD2184"/>
      <c r="AE2184"/>
      <c r="AF2184"/>
      <c r="AG2184"/>
      <c r="AH2184"/>
      <c r="AO2184" s="2"/>
      <c r="AP2184" s="3"/>
      <c r="AQ2184" s="3"/>
      <c r="AR2184" s="3"/>
      <c r="AS2184" s="3"/>
    </row>
    <row r="2185" spans="1:45" ht="15">
      <c r="A2185"/>
      <c r="J2185"/>
      <c r="AA2185"/>
      <c r="AB2185"/>
      <c r="AC2185"/>
      <c r="AD2185"/>
      <c r="AE2185"/>
      <c r="AF2185"/>
      <c r="AG2185"/>
      <c r="AH2185"/>
      <c r="AO2185" s="2"/>
      <c r="AP2185" s="3"/>
      <c r="AQ2185" s="3"/>
      <c r="AR2185" s="3"/>
      <c r="AS2185" s="3"/>
    </row>
    <row r="2186" spans="1:45" ht="15">
      <c r="A2186"/>
      <c r="J2186"/>
      <c r="AA2186"/>
      <c r="AB2186"/>
      <c r="AC2186"/>
      <c r="AD2186"/>
      <c r="AE2186"/>
      <c r="AF2186"/>
      <c r="AG2186"/>
      <c r="AH2186"/>
      <c r="AO2186" s="2"/>
      <c r="AP2186" s="3"/>
      <c r="AQ2186" s="3"/>
      <c r="AR2186" s="3"/>
      <c r="AS2186" s="3"/>
    </row>
    <row r="2187" spans="1:45" ht="15">
      <c r="A2187"/>
      <c r="J2187"/>
      <c r="AA2187"/>
      <c r="AB2187"/>
      <c r="AC2187"/>
      <c r="AD2187"/>
      <c r="AE2187"/>
      <c r="AF2187"/>
      <c r="AG2187"/>
      <c r="AH2187"/>
      <c r="AO2187" s="2"/>
      <c r="AP2187" s="3"/>
      <c r="AQ2187" s="3"/>
      <c r="AR2187" s="3"/>
      <c r="AS2187" s="3"/>
    </row>
    <row r="2188" spans="1:45" ht="15">
      <c r="A2188"/>
      <c r="J2188"/>
      <c r="AA2188"/>
      <c r="AB2188"/>
      <c r="AC2188"/>
      <c r="AD2188"/>
      <c r="AE2188"/>
      <c r="AF2188"/>
      <c r="AG2188"/>
      <c r="AH2188"/>
      <c r="AO2188" s="2"/>
      <c r="AP2188" s="3"/>
      <c r="AQ2188" s="3"/>
      <c r="AR2188" s="3"/>
      <c r="AS2188" s="3"/>
    </row>
    <row r="2189" spans="1:45" ht="15">
      <c r="A2189"/>
      <c r="J2189"/>
      <c r="AA2189"/>
      <c r="AB2189"/>
      <c r="AC2189"/>
      <c r="AD2189"/>
      <c r="AE2189"/>
      <c r="AF2189"/>
      <c r="AG2189"/>
      <c r="AH2189"/>
      <c r="AO2189" s="2"/>
      <c r="AP2189" s="3"/>
      <c r="AQ2189" s="3"/>
      <c r="AR2189" s="3"/>
      <c r="AS2189" s="3"/>
    </row>
    <row r="2190" spans="1:45" ht="15">
      <c r="A2190"/>
      <c r="J2190"/>
      <c r="AA2190"/>
      <c r="AB2190"/>
      <c r="AC2190"/>
      <c r="AD2190"/>
      <c r="AE2190"/>
      <c r="AF2190"/>
      <c r="AG2190"/>
      <c r="AH2190"/>
      <c r="AO2190" s="2"/>
      <c r="AP2190" s="3"/>
      <c r="AQ2190" s="3"/>
      <c r="AR2190" s="3"/>
      <c r="AS2190" s="3"/>
    </row>
    <row r="2191" spans="1:45" ht="15">
      <c r="A2191"/>
      <c r="J2191"/>
      <c r="AA2191"/>
      <c r="AB2191"/>
      <c r="AC2191"/>
      <c r="AD2191"/>
      <c r="AE2191"/>
      <c r="AF2191"/>
      <c r="AG2191"/>
      <c r="AH2191"/>
      <c r="AO2191" s="2"/>
      <c r="AP2191" s="3"/>
      <c r="AQ2191" s="3"/>
      <c r="AR2191" s="3"/>
      <c r="AS2191" s="3"/>
    </row>
    <row r="2192" spans="1:45" ht="15">
      <c r="A2192"/>
      <c r="J2192"/>
      <c r="AA2192"/>
      <c r="AB2192"/>
      <c r="AC2192"/>
      <c r="AD2192"/>
      <c r="AE2192"/>
      <c r="AF2192"/>
      <c r="AG2192"/>
      <c r="AH2192"/>
      <c r="AO2192" s="2"/>
      <c r="AP2192" s="3"/>
      <c r="AQ2192" s="3"/>
      <c r="AR2192" s="3"/>
      <c r="AS2192" s="3"/>
    </row>
    <row r="2193" spans="1:45" ht="15">
      <c r="A2193"/>
      <c r="J2193"/>
      <c r="AA2193"/>
      <c r="AB2193"/>
      <c r="AC2193"/>
      <c r="AD2193"/>
      <c r="AE2193"/>
      <c r="AF2193"/>
      <c r="AG2193"/>
      <c r="AH2193"/>
      <c r="AO2193" s="2"/>
      <c r="AP2193" s="3"/>
      <c r="AQ2193" s="3"/>
      <c r="AR2193" s="3"/>
      <c r="AS2193" s="3"/>
    </row>
    <row r="2194" spans="1:45" ht="15">
      <c r="A2194"/>
      <c r="J2194"/>
      <c r="AA2194"/>
      <c r="AB2194"/>
      <c r="AC2194"/>
      <c r="AD2194"/>
      <c r="AE2194"/>
      <c r="AF2194"/>
      <c r="AG2194"/>
      <c r="AH2194"/>
      <c r="AO2194" s="2"/>
      <c r="AP2194" s="3"/>
      <c r="AQ2194" s="3"/>
      <c r="AR2194" s="3"/>
      <c r="AS2194" s="3"/>
    </row>
    <row r="2195" spans="1:45" ht="15">
      <c r="A2195"/>
      <c r="J2195"/>
      <c r="AA2195"/>
      <c r="AB2195"/>
      <c r="AC2195"/>
      <c r="AD2195"/>
      <c r="AE2195"/>
      <c r="AF2195"/>
      <c r="AG2195"/>
      <c r="AH2195"/>
      <c r="AO2195" s="2"/>
      <c r="AP2195" s="3"/>
      <c r="AQ2195" s="3"/>
      <c r="AR2195" s="3"/>
      <c r="AS2195" s="3"/>
    </row>
    <row r="2196" spans="1:45" ht="15">
      <c r="A2196"/>
      <c r="J2196"/>
      <c r="AA2196"/>
      <c r="AB2196"/>
      <c r="AC2196"/>
      <c r="AD2196"/>
      <c r="AE2196"/>
      <c r="AF2196"/>
      <c r="AG2196"/>
      <c r="AH2196"/>
      <c r="AO2196" s="2"/>
      <c r="AP2196" s="3"/>
      <c r="AQ2196" s="3"/>
      <c r="AR2196" s="3"/>
      <c r="AS2196" s="3"/>
    </row>
    <row r="2197" spans="1:45" ht="15">
      <c r="A2197"/>
      <c r="J2197"/>
      <c r="AA2197"/>
      <c r="AB2197"/>
      <c r="AC2197"/>
      <c r="AD2197"/>
      <c r="AE2197"/>
      <c r="AF2197"/>
      <c r="AG2197"/>
      <c r="AH2197"/>
      <c r="AO2197" s="2"/>
      <c r="AP2197" s="3"/>
      <c r="AQ2197" s="3"/>
      <c r="AR2197" s="3"/>
      <c r="AS2197" s="3"/>
    </row>
    <row r="2198" spans="1:45" ht="15">
      <c r="A2198"/>
      <c r="J2198"/>
      <c r="AA2198"/>
      <c r="AB2198"/>
      <c r="AC2198"/>
      <c r="AD2198"/>
      <c r="AE2198"/>
      <c r="AF2198"/>
      <c r="AG2198"/>
      <c r="AH2198"/>
      <c r="AO2198" s="2"/>
      <c r="AP2198" s="3"/>
      <c r="AQ2198" s="3"/>
      <c r="AR2198" s="3"/>
      <c r="AS2198" s="3"/>
    </row>
    <row r="2199" spans="1:45" ht="15">
      <c r="A2199"/>
      <c r="J2199"/>
      <c r="AA2199"/>
      <c r="AB2199"/>
      <c r="AC2199"/>
      <c r="AD2199"/>
      <c r="AE2199"/>
      <c r="AF2199"/>
      <c r="AG2199"/>
      <c r="AH2199"/>
      <c r="AO2199" s="2"/>
      <c r="AP2199" s="3"/>
      <c r="AQ2199" s="3"/>
      <c r="AR2199" s="3"/>
      <c r="AS2199" s="3"/>
    </row>
    <row r="2200" spans="1:45" ht="15">
      <c r="A2200"/>
      <c r="J2200"/>
      <c r="AA2200"/>
      <c r="AB2200"/>
      <c r="AC2200"/>
      <c r="AD2200"/>
      <c r="AE2200"/>
      <c r="AF2200"/>
      <c r="AG2200"/>
      <c r="AH2200"/>
      <c r="AO2200" s="2"/>
      <c r="AP2200" s="3"/>
      <c r="AQ2200" s="3"/>
      <c r="AR2200" s="3"/>
      <c r="AS2200" s="3"/>
    </row>
    <row r="2201" spans="1:45" ht="15">
      <c r="A2201"/>
      <c r="J2201"/>
      <c r="AA2201"/>
      <c r="AB2201"/>
      <c r="AC2201"/>
      <c r="AD2201"/>
      <c r="AE2201"/>
      <c r="AF2201"/>
      <c r="AG2201"/>
      <c r="AH2201"/>
      <c r="AO2201" s="2"/>
      <c r="AP2201" s="3"/>
      <c r="AQ2201" s="3"/>
      <c r="AR2201" s="3"/>
      <c r="AS2201" s="3"/>
    </row>
    <row r="2202" spans="1:45" ht="15">
      <c r="A2202"/>
      <c r="J2202"/>
      <c r="AA2202"/>
      <c r="AB2202"/>
      <c r="AC2202"/>
      <c r="AD2202"/>
      <c r="AE2202"/>
      <c r="AF2202"/>
      <c r="AG2202"/>
      <c r="AH2202"/>
      <c r="AO2202" s="2"/>
      <c r="AP2202" s="3"/>
      <c r="AQ2202" s="3"/>
      <c r="AR2202" s="3"/>
      <c r="AS2202" s="3"/>
    </row>
    <row r="2203" spans="1:45" ht="15">
      <c r="A2203"/>
      <c r="J2203"/>
      <c r="AA2203"/>
      <c r="AB2203"/>
      <c r="AC2203"/>
      <c r="AD2203"/>
      <c r="AE2203"/>
      <c r="AF2203"/>
      <c r="AG2203"/>
      <c r="AH2203"/>
      <c r="AO2203" s="2"/>
      <c r="AP2203" s="3"/>
      <c r="AQ2203" s="3"/>
      <c r="AR2203" s="3"/>
      <c r="AS2203" s="3"/>
    </row>
    <row r="2204" spans="1:45" ht="15">
      <c r="A2204"/>
      <c r="J2204"/>
      <c r="AA2204"/>
      <c r="AB2204"/>
      <c r="AC2204"/>
      <c r="AD2204"/>
      <c r="AE2204"/>
      <c r="AF2204"/>
      <c r="AG2204"/>
      <c r="AH2204"/>
      <c r="AO2204" s="2"/>
      <c r="AP2204" s="3"/>
      <c r="AQ2204" s="3"/>
      <c r="AR2204" s="3"/>
      <c r="AS2204" s="3"/>
    </row>
    <row r="2205" spans="1:45" ht="15">
      <c r="A2205"/>
      <c r="J2205"/>
      <c r="AA2205"/>
      <c r="AB2205"/>
      <c r="AC2205"/>
      <c r="AD2205"/>
      <c r="AE2205"/>
      <c r="AF2205"/>
      <c r="AG2205"/>
      <c r="AH2205"/>
      <c r="AO2205" s="2"/>
      <c r="AP2205" s="3"/>
      <c r="AQ2205" s="3"/>
      <c r="AR2205" s="3"/>
      <c r="AS2205" s="3"/>
    </row>
    <row r="2206" spans="1:45" ht="15">
      <c r="A2206"/>
      <c r="J2206"/>
      <c r="AA2206"/>
      <c r="AB2206"/>
      <c r="AC2206"/>
      <c r="AD2206"/>
      <c r="AE2206"/>
      <c r="AF2206"/>
      <c r="AG2206"/>
      <c r="AH2206"/>
      <c r="AO2206" s="2"/>
      <c r="AP2206" s="3"/>
      <c r="AQ2206" s="3"/>
      <c r="AR2206" s="3"/>
      <c r="AS2206" s="3"/>
    </row>
    <row r="2207" spans="1:45" ht="15">
      <c r="A2207"/>
      <c r="J2207"/>
      <c r="AA2207"/>
      <c r="AB2207"/>
      <c r="AC2207"/>
      <c r="AD2207"/>
      <c r="AE2207"/>
      <c r="AF2207"/>
      <c r="AG2207"/>
      <c r="AH2207"/>
      <c r="AO2207" s="2"/>
      <c r="AP2207" s="3"/>
      <c r="AQ2207" s="3"/>
      <c r="AR2207" s="3"/>
      <c r="AS2207" s="3"/>
    </row>
    <row r="2208" spans="1:45" ht="15">
      <c r="A2208"/>
      <c r="J2208"/>
      <c r="AA2208"/>
      <c r="AB2208"/>
      <c r="AC2208"/>
      <c r="AD2208"/>
      <c r="AE2208"/>
      <c r="AF2208"/>
      <c r="AG2208"/>
      <c r="AH2208"/>
      <c r="AO2208" s="2"/>
      <c r="AP2208" s="3"/>
      <c r="AQ2208" s="3"/>
      <c r="AR2208" s="3"/>
      <c r="AS2208" s="3"/>
    </row>
    <row r="2209" spans="1:45" ht="15">
      <c r="A2209"/>
      <c r="J2209"/>
      <c r="AA2209"/>
      <c r="AB2209"/>
      <c r="AC2209"/>
      <c r="AD2209"/>
      <c r="AE2209"/>
      <c r="AF2209"/>
      <c r="AG2209"/>
      <c r="AH2209"/>
      <c r="AO2209" s="2"/>
      <c r="AP2209" s="3"/>
      <c r="AQ2209" s="3"/>
      <c r="AR2209" s="3"/>
      <c r="AS2209" s="3"/>
    </row>
    <row r="2210" spans="1:45" ht="15">
      <c r="A2210"/>
      <c r="J2210"/>
      <c r="AA2210"/>
      <c r="AB2210"/>
      <c r="AC2210"/>
      <c r="AD2210"/>
      <c r="AE2210"/>
      <c r="AF2210"/>
      <c r="AG2210"/>
      <c r="AH2210"/>
      <c r="AO2210" s="2"/>
      <c r="AP2210" s="3"/>
      <c r="AQ2210" s="3"/>
      <c r="AR2210" s="3"/>
      <c r="AS2210" s="3"/>
    </row>
    <row r="2211" spans="1:45" ht="15">
      <c r="A2211"/>
      <c r="J2211"/>
      <c r="AA2211"/>
      <c r="AB2211"/>
      <c r="AC2211"/>
      <c r="AD2211"/>
      <c r="AE2211"/>
      <c r="AF2211"/>
      <c r="AG2211"/>
      <c r="AH2211"/>
      <c r="AO2211" s="2"/>
      <c r="AP2211" s="3"/>
      <c r="AQ2211" s="3"/>
      <c r="AR2211" s="3"/>
      <c r="AS2211" s="3"/>
    </row>
    <row r="2212" spans="1:45" ht="15">
      <c r="A2212"/>
      <c r="J2212"/>
      <c r="AA2212"/>
      <c r="AB2212"/>
      <c r="AC2212"/>
      <c r="AD2212"/>
      <c r="AE2212"/>
      <c r="AF2212"/>
      <c r="AG2212"/>
      <c r="AH2212"/>
      <c r="AO2212" s="2"/>
      <c r="AP2212" s="3"/>
      <c r="AQ2212" s="3"/>
      <c r="AR2212" s="3"/>
      <c r="AS2212" s="3"/>
    </row>
    <row r="2213" spans="1:45" ht="15">
      <c r="A2213"/>
      <c r="J2213"/>
      <c r="AA2213"/>
      <c r="AB2213"/>
      <c r="AC2213"/>
      <c r="AD2213"/>
      <c r="AE2213"/>
      <c r="AF2213"/>
      <c r="AG2213"/>
      <c r="AH2213"/>
      <c r="AO2213" s="2"/>
      <c r="AP2213" s="3"/>
      <c r="AQ2213" s="3"/>
      <c r="AR2213" s="3"/>
      <c r="AS2213" s="3"/>
    </row>
    <row r="2214" spans="1:45" ht="15">
      <c r="A2214"/>
      <c r="J2214"/>
      <c r="AA2214"/>
      <c r="AB2214"/>
      <c r="AC2214"/>
      <c r="AD2214"/>
      <c r="AE2214"/>
      <c r="AF2214"/>
      <c r="AG2214"/>
      <c r="AH2214"/>
      <c r="AO2214" s="2"/>
      <c r="AP2214" s="3"/>
      <c r="AQ2214" s="3"/>
      <c r="AR2214" s="3"/>
      <c r="AS2214" s="3"/>
    </row>
    <row r="2215" spans="1:45" ht="15">
      <c r="A2215"/>
      <c r="J2215"/>
      <c r="AA2215"/>
      <c r="AB2215"/>
      <c r="AC2215"/>
      <c r="AD2215"/>
      <c r="AE2215"/>
      <c r="AF2215"/>
      <c r="AG2215"/>
      <c r="AH2215"/>
      <c r="AO2215" s="2"/>
      <c r="AP2215" s="3"/>
      <c r="AQ2215" s="3"/>
      <c r="AR2215" s="3"/>
      <c r="AS2215" s="3"/>
    </row>
    <row r="2216" spans="1:45" ht="15">
      <c r="A2216"/>
      <c r="J2216"/>
      <c r="AA2216"/>
      <c r="AB2216"/>
      <c r="AC2216"/>
      <c r="AD2216"/>
      <c r="AE2216"/>
      <c r="AF2216"/>
      <c r="AG2216"/>
      <c r="AH2216"/>
      <c r="AO2216" s="2"/>
      <c r="AP2216" s="3"/>
      <c r="AQ2216" s="3"/>
      <c r="AR2216" s="3"/>
      <c r="AS2216" s="3"/>
    </row>
    <row r="2217" spans="1:45" ht="15">
      <c r="A2217"/>
      <c r="J2217"/>
      <c r="AA2217"/>
      <c r="AB2217"/>
      <c r="AC2217"/>
      <c r="AD2217"/>
      <c r="AE2217"/>
      <c r="AF2217"/>
      <c r="AG2217"/>
      <c r="AH2217"/>
      <c r="AO2217" s="2"/>
      <c r="AP2217" s="3"/>
      <c r="AQ2217" s="3"/>
      <c r="AR2217" s="3"/>
      <c r="AS2217" s="3"/>
    </row>
    <row r="2218" spans="1:45" ht="15">
      <c r="A2218"/>
      <c r="J2218"/>
      <c r="AA2218"/>
      <c r="AB2218"/>
      <c r="AC2218"/>
      <c r="AD2218"/>
      <c r="AE2218"/>
      <c r="AF2218"/>
      <c r="AG2218"/>
      <c r="AH2218"/>
      <c r="AO2218" s="2"/>
      <c r="AP2218" s="3"/>
      <c r="AQ2218" s="3"/>
      <c r="AR2218" s="3"/>
      <c r="AS2218" s="3"/>
    </row>
    <row r="2219" spans="1:45" ht="15">
      <c r="A2219"/>
      <c r="J2219"/>
      <c r="AA2219"/>
      <c r="AB2219"/>
      <c r="AC2219"/>
      <c r="AD2219"/>
      <c r="AE2219"/>
      <c r="AF2219"/>
      <c r="AG2219"/>
      <c r="AH2219"/>
      <c r="AO2219" s="2"/>
      <c r="AP2219" s="3"/>
      <c r="AQ2219" s="3"/>
      <c r="AR2219" s="3"/>
      <c r="AS2219" s="3"/>
    </row>
    <row r="2220" spans="1:45" ht="15">
      <c r="A2220"/>
      <c r="J2220"/>
      <c r="AA2220"/>
      <c r="AB2220"/>
      <c r="AC2220"/>
      <c r="AD2220"/>
      <c r="AE2220"/>
      <c r="AF2220"/>
      <c r="AG2220"/>
      <c r="AH2220"/>
      <c r="AO2220" s="2"/>
      <c r="AP2220" s="3"/>
      <c r="AQ2220" s="3"/>
      <c r="AR2220" s="3"/>
      <c r="AS2220" s="3"/>
    </row>
    <row r="2221" spans="1:45" ht="15">
      <c r="A2221"/>
      <c r="J2221"/>
      <c r="AA2221"/>
      <c r="AB2221"/>
      <c r="AC2221"/>
      <c r="AD2221"/>
      <c r="AE2221"/>
      <c r="AF2221"/>
      <c r="AG2221"/>
      <c r="AH2221"/>
      <c r="AO2221" s="2"/>
      <c r="AP2221" s="3"/>
      <c r="AQ2221" s="3"/>
      <c r="AR2221" s="3"/>
      <c r="AS2221" s="3"/>
    </row>
    <row r="2222" spans="1:45" ht="15">
      <c r="A2222"/>
      <c r="J2222"/>
      <c r="AA2222"/>
      <c r="AB2222"/>
      <c r="AC2222"/>
      <c r="AD2222"/>
      <c r="AE2222"/>
      <c r="AF2222"/>
      <c r="AG2222"/>
      <c r="AH2222"/>
      <c r="AO2222" s="2"/>
      <c r="AP2222" s="3"/>
      <c r="AQ2222" s="3"/>
      <c r="AR2222" s="3"/>
      <c r="AS2222" s="3"/>
    </row>
    <row r="2223" spans="1:45" ht="15">
      <c r="A2223"/>
      <c r="J2223"/>
      <c r="AA2223"/>
      <c r="AB2223"/>
      <c r="AC2223"/>
      <c r="AD2223"/>
      <c r="AE2223"/>
      <c r="AF2223"/>
      <c r="AG2223"/>
      <c r="AH2223"/>
      <c r="AO2223" s="2"/>
      <c r="AP2223" s="3"/>
      <c r="AQ2223" s="3"/>
      <c r="AR2223" s="3"/>
      <c r="AS2223" s="3"/>
    </row>
    <row r="2224" spans="1:45" ht="15">
      <c r="A2224"/>
      <c r="J2224"/>
      <c r="AA2224"/>
      <c r="AB2224"/>
      <c r="AC2224"/>
      <c r="AD2224"/>
      <c r="AE2224"/>
      <c r="AF2224"/>
      <c r="AG2224"/>
      <c r="AH2224"/>
      <c r="AO2224" s="2"/>
      <c r="AP2224" s="3"/>
      <c r="AQ2224" s="3"/>
      <c r="AR2224" s="3"/>
      <c r="AS2224" s="3"/>
    </row>
    <row r="2225" spans="1:45" ht="15">
      <c r="A2225"/>
      <c r="J2225"/>
      <c r="AA2225"/>
      <c r="AB2225"/>
      <c r="AC2225"/>
      <c r="AD2225"/>
      <c r="AE2225"/>
      <c r="AF2225"/>
      <c r="AG2225"/>
      <c r="AH2225"/>
      <c r="AO2225" s="2"/>
      <c r="AP2225" s="3"/>
      <c r="AQ2225" s="3"/>
      <c r="AR2225" s="3"/>
      <c r="AS2225" s="3"/>
    </row>
    <row r="2226" spans="1:45" ht="15">
      <c r="A2226"/>
      <c r="J2226"/>
      <c r="AA2226"/>
      <c r="AB2226"/>
      <c r="AC2226"/>
      <c r="AD2226"/>
      <c r="AE2226"/>
      <c r="AF2226"/>
      <c r="AG2226"/>
      <c r="AH2226"/>
      <c r="AO2226" s="2"/>
      <c r="AP2226" s="3"/>
      <c r="AQ2226" s="3"/>
      <c r="AR2226" s="3"/>
      <c r="AS2226" s="3"/>
    </row>
    <row r="2227" spans="1:45" ht="15">
      <c r="A2227"/>
      <c r="J2227"/>
      <c r="AA2227"/>
      <c r="AB2227"/>
      <c r="AC2227"/>
      <c r="AD2227"/>
      <c r="AE2227"/>
      <c r="AF2227"/>
      <c r="AG2227"/>
      <c r="AH2227"/>
      <c r="AO2227" s="2"/>
      <c r="AP2227" s="3"/>
      <c r="AQ2227" s="3"/>
      <c r="AR2227" s="3"/>
      <c r="AS2227" s="3"/>
    </row>
    <row r="2228" spans="1:45" ht="15">
      <c r="A2228"/>
      <c r="J2228"/>
      <c r="AA2228"/>
      <c r="AB2228"/>
      <c r="AC2228"/>
      <c r="AD2228"/>
      <c r="AE2228"/>
      <c r="AF2228"/>
      <c r="AG2228"/>
      <c r="AH2228"/>
      <c r="AO2228" s="2"/>
      <c r="AP2228" s="3"/>
      <c r="AQ2228" s="3"/>
      <c r="AR2228" s="3"/>
      <c r="AS2228" s="3"/>
    </row>
    <row r="2229" spans="1:45" ht="15">
      <c r="A2229"/>
      <c r="J2229"/>
      <c r="AA2229"/>
      <c r="AB2229"/>
      <c r="AC2229"/>
      <c r="AD2229"/>
      <c r="AE2229"/>
      <c r="AF2229"/>
      <c r="AG2229"/>
      <c r="AH2229"/>
      <c r="AO2229" s="2"/>
      <c r="AP2229" s="3"/>
      <c r="AQ2229" s="3"/>
      <c r="AR2229" s="3"/>
      <c r="AS2229" s="3"/>
    </row>
    <row r="2230" spans="1:45" ht="15">
      <c r="A2230"/>
      <c r="J2230"/>
      <c r="AA2230"/>
      <c r="AB2230"/>
      <c r="AC2230"/>
      <c r="AD2230"/>
      <c r="AE2230"/>
      <c r="AF2230"/>
      <c r="AG2230"/>
      <c r="AH2230"/>
      <c r="AO2230" s="2"/>
      <c r="AP2230" s="3"/>
      <c r="AQ2230" s="3"/>
      <c r="AR2230" s="3"/>
      <c r="AS2230" s="3"/>
    </row>
    <row r="2231" spans="1:45" ht="15">
      <c r="A2231"/>
      <c r="J2231"/>
      <c r="AA2231"/>
      <c r="AB2231"/>
      <c r="AC2231"/>
      <c r="AD2231"/>
      <c r="AE2231"/>
      <c r="AF2231"/>
      <c r="AG2231"/>
      <c r="AH2231"/>
      <c r="AO2231" s="2"/>
      <c r="AP2231" s="3"/>
      <c r="AQ2231" s="3"/>
      <c r="AR2231" s="3"/>
      <c r="AS2231" s="3"/>
    </row>
    <row r="2232" spans="1:45" ht="15">
      <c r="A2232"/>
      <c r="J2232"/>
      <c r="AA2232"/>
      <c r="AB2232"/>
      <c r="AC2232"/>
      <c r="AD2232"/>
      <c r="AE2232"/>
      <c r="AF2232"/>
      <c r="AG2232"/>
      <c r="AH2232"/>
      <c r="AO2232" s="2"/>
      <c r="AP2232" s="3"/>
      <c r="AQ2232" s="3"/>
      <c r="AR2232" s="3"/>
      <c r="AS2232" s="3"/>
    </row>
    <row r="2233" spans="1:45" ht="15">
      <c r="A2233"/>
      <c r="J2233"/>
      <c r="AA2233"/>
      <c r="AB2233"/>
      <c r="AC2233"/>
      <c r="AD2233"/>
      <c r="AE2233"/>
      <c r="AF2233"/>
      <c r="AG2233"/>
      <c r="AH2233"/>
      <c r="AO2233" s="2"/>
      <c r="AP2233" s="3"/>
      <c r="AQ2233" s="3"/>
      <c r="AR2233" s="3"/>
      <c r="AS2233" s="3"/>
    </row>
    <row r="2234" spans="1:45" ht="15">
      <c r="A2234"/>
      <c r="J2234"/>
      <c r="AA2234"/>
      <c r="AB2234"/>
      <c r="AC2234"/>
      <c r="AD2234"/>
      <c r="AE2234"/>
      <c r="AF2234"/>
      <c r="AG2234"/>
      <c r="AH2234"/>
      <c r="AO2234" s="2"/>
      <c r="AP2234" s="3"/>
      <c r="AQ2234" s="3"/>
      <c r="AR2234" s="3"/>
      <c r="AS2234" s="3"/>
    </row>
    <row r="2235" spans="1:45" ht="15">
      <c r="A2235"/>
      <c r="J2235"/>
      <c r="AA2235"/>
      <c r="AB2235"/>
      <c r="AC2235"/>
      <c r="AD2235"/>
      <c r="AE2235"/>
      <c r="AF2235"/>
      <c r="AG2235"/>
      <c r="AH2235"/>
      <c r="AO2235" s="2"/>
      <c r="AP2235" s="3"/>
      <c r="AQ2235" s="3"/>
      <c r="AR2235" s="3"/>
      <c r="AS2235" s="3"/>
    </row>
    <row r="2236" spans="1:45" ht="15">
      <c r="A2236"/>
      <c r="J2236"/>
      <c r="AA2236"/>
      <c r="AB2236"/>
      <c r="AC2236"/>
      <c r="AD2236"/>
      <c r="AE2236"/>
      <c r="AF2236"/>
      <c r="AG2236"/>
      <c r="AH2236"/>
      <c r="AO2236" s="2"/>
      <c r="AP2236" s="3"/>
      <c r="AQ2236" s="3"/>
      <c r="AR2236" s="3"/>
      <c r="AS2236" s="3"/>
    </row>
    <row r="2237" spans="1:45" ht="15">
      <c r="A2237"/>
      <c r="J2237"/>
      <c r="AA2237"/>
      <c r="AB2237"/>
      <c r="AC2237"/>
      <c r="AD2237"/>
      <c r="AE2237"/>
      <c r="AF2237"/>
      <c r="AG2237"/>
      <c r="AH2237"/>
      <c r="AO2237" s="2"/>
      <c r="AP2237" s="3"/>
      <c r="AQ2237" s="3"/>
      <c r="AR2237" s="3"/>
      <c r="AS2237" s="3"/>
    </row>
    <row r="2238" spans="1:45" ht="15">
      <c r="A2238"/>
      <c r="J2238"/>
      <c r="AA2238"/>
      <c r="AB2238"/>
      <c r="AC2238"/>
      <c r="AD2238"/>
      <c r="AE2238"/>
      <c r="AF2238"/>
      <c r="AG2238"/>
      <c r="AH2238"/>
      <c r="AO2238" s="2"/>
      <c r="AP2238" s="3"/>
      <c r="AQ2238" s="3"/>
      <c r="AR2238" s="3"/>
      <c r="AS2238" s="3"/>
    </row>
    <row r="2239" spans="1:45" ht="15">
      <c r="A2239"/>
      <c r="J2239"/>
      <c r="AA2239"/>
      <c r="AB2239"/>
      <c r="AC2239"/>
      <c r="AD2239"/>
      <c r="AE2239"/>
      <c r="AF2239"/>
      <c r="AG2239"/>
      <c r="AH2239"/>
      <c r="AO2239" s="2"/>
      <c r="AP2239" s="3"/>
      <c r="AQ2239" s="3"/>
      <c r="AR2239" s="3"/>
      <c r="AS2239" s="3"/>
    </row>
    <row r="2240" spans="1:45" ht="15">
      <c r="A2240"/>
      <c r="J2240"/>
      <c r="AA2240"/>
      <c r="AB2240"/>
      <c r="AC2240"/>
      <c r="AD2240"/>
      <c r="AE2240"/>
      <c r="AF2240"/>
      <c r="AG2240"/>
      <c r="AH2240"/>
      <c r="AO2240" s="2"/>
      <c r="AP2240" s="3"/>
      <c r="AQ2240" s="3"/>
      <c r="AR2240" s="3"/>
      <c r="AS2240" s="3"/>
    </row>
    <row r="2241" spans="1:45" ht="15">
      <c r="A2241"/>
      <c r="J2241"/>
      <c r="AA2241"/>
      <c r="AB2241"/>
      <c r="AC2241"/>
      <c r="AD2241"/>
      <c r="AE2241"/>
      <c r="AF2241"/>
      <c r="AG2241"/>
      <c r="AH2241"/>
      <c r="AO2241" s="2"/>
      <c r="AP2241" s="3"/>
      <c r="AQ2241" s="3"/>
      <c r="AR2241" s="3"/>
      <c r="AS2241" s="3"/>
    </row>
    <row r="2242" spans="1:45" ht="15">
      <c r="A2242"/>
      <c r="J2242"/>
      <c r="AA2242"/>
      <c r="AB2242"/>
      <c r="AC2242"/>
      <c r="AD2242"/>
      <c r="AE2242"/>
      <c r="AF2242"/>
      <c r="AG2242"/>
      <c r="AH2242"/>
      <c r="AO2242" s="2"/>
      <c r="AP2242" s="3"/>
      <c r="AQ2242" s="3"/>
      <c r="AR2242" s="3"/>
      <c r="AS2242" s="3"/>
    </row>
    <row r="2243" spans="1:45" ht="15">
      <c r="A2243"/>
      <c r="J2243"/>
      <c r="AA2243"/>
      <c r="AB2243"/>
      <c r="AC2243"/>
      <c r="AD2243"/>
      <c r="AE2243"/>
      <c r="AF2243"/>
      <c r="AG2243"/>
      <c r="AH2243"/>
      <c r="AO2243" s="2"/>
      <c r="AP2243" s="3"/>
      <c r="AQ2243" s="3"/>
      <c r="AR2243" s="3"/>
      <c r="AS2243" s="3"/>
    </row>
    <row r="2244" spans="1:45" ht="15">
      <c r="A2244"/>
      <c r="J2244"/>
      <c r="AA2244"/>
      <c r="AB2244"/>
      <c r="AC2244"/>
      <c r="AD2244"/>
      <c r="AE2244"/>
      <c r="AF2244"/>
      <c r="AG2244"/>
      <c r="AH2244"/>
      <c r="AO2244" s="2"/>
      <c r="AP2244" s="3"/>
      <c r="AQ2244" s="3"/>
      <c r="AR2244" s="3"/>
      <c r="AS2244" s="3"/>
    </row>
    <row r="2245" spans="1:45" ht="15">
      <c r="A2245"/>
      <c r="J2245"/>
      <c r="AA2245"/>
      <c r="AB2245"/>
      <c r="AC2245"/>
      <c r="AD2245"/>
      <c r="AE2245"/>
      <c r="AF2245"/>
      <c r="AG2245"/>
      <c r="AH2245"/>
      <c r="AO2245" s="2"/>
      <c r="AP2245" s="3"/>
      <c r="AQ2245" s="3"/>
      <c r="AR2245" s="3"/>
      <c r="AS2245" s="3"/>
    </row>
    <row r="2246" spans="1:45" ht="15">
      <c r="A2246"/>
      <c r="J2246"/>
      <c r="AA2246"/>
      <c r="AB2246"/>
      <c r="AC2246"/>
      <c r="AD2246"/>
      <c r="AE2246"/>
      <c r="AF2246"/>
      <c r="AG2246"/>
      <c r="AH2246"/>
      <c r="AO2246" s="2"/>
      <c r="AP2246" s="3"/>
      <c r="AQ2246" s="3"/>
      <c r="AR2246" s="3"/>
      <c r="AS2246" s="3"/>
    </row>
    <row r="2247" spans="1:45" ht="15">
      <c r="A2247"/>
      <c r="J2247"/>
      <c r="AA2247"/>
      <c r="AB2247"/>
      <c r="AC2247"/>
      <c r="AD2247"/>
      <c r="AE2247"/>
      <c r="AF2247"/>
      <c r="AG2247"/>
      <c r="AH2247"/>
      <c r="AO2247" s="2"/>
      <c r="AP2247" s="3"/>
      <c r="AQ2247" s="3"/>
      <c r="AR2247" s="3"/>
      <c r="AS2247" s="3"/>
    </row>
    <row r="2248" spans="1:45" ht="15">
      <c r="A2248"/>
      <c r="J2248"/>
      <c r="AA2248"/>
      <c r="AB2248"/>
      <c r="AC2248"/>
      <c r="AD2248"/>
      <c r="AE2248"/>
      <c r="AF2248"/>
      <c r="AG2248"/>
      <c r="AH2248"/>
      <c r="AO2248" s="2"/>
      <c r="AP2248" s="3"/>
      <c r="AQ2248" s="3"/>
      <c r="AR2248" s="3"/>
      <c r="AS2248" s="3"/>
    </row>
    <row r="2249" spans="1:45" ht="15">
      <c r="A2249"/>
      <c r="J2249"/>
      <c r="AA2249"/>
      <c r="AB2249"/>
      <c r="AC2249"/>
      <c r="AD2249"/>
      <c r="AE2249"/>
      <c r="AF2249"/>
      <c r="AG2249"/>
      <c r="AH2249"/>
      <c r="AO2249" s="2"/>
      <c r="AP2249" s="3"/>
      <c r="AQ2249" s="3"/>
      <c r="AR2249" s="3"/>
      <c r="AS2249" s="3"/>
    </row>
    <row r="2250" spans="1:45" ht="15">
      <c r="A2250"/>
      <c r="J2250"/>
      <c r="AA2250"/>
      <c r="AB2250"/>
      <c r="AC2250"/>
      <c r="AD2250"/>
      <c r="AE2250"/>
      <c r="AF2250"/>
      <c r="AG2250"/>
      <c r="AH2250"/>
      <c r="AO2250" s="2"/>
      <c r="AP2250" s="3"/>
      <c r="AQ2250" s="3"/>
      <c r="AR2250" s="3"/>
      <c r="AS2250" s="3"/>
    </row>
    <row r="2251" spans="1:45" ht="15">
      <c r="A2251"/>
      <c r="J2251"/>
      <c r="AA2251"/>
      <c r="AB2251"/>
      <c r="AC2251"/>
      <c r="AD2251"/>
      <c r="AE2251"/>
      <c r="AF2251"/>
      <c r="AG2251"/>
      <c r="AH2251"/>
      <c r="AO2251" s="2"/>
      <c r="AP2251" s="3"/>
      <c r="AQ2251" s="3"/>
      <c r="AR2251" s="3"/>
      <c r="AS2251" s="3"/>
    </row>
    <row r="2252" spans="1:45" ht="15">
      <c r="A2252"/>
      <c r="J2252"/>
      <c r="AA2252"/>
      <c r="AB2252"/>
      <c r="AC2252"/>
      <c r="AD2252"/>
      <c r="AE2252"/>
      <c r="AF2252"/>
      <c r="AG2252"/>
      <c r="AH2252"/>
      <c r="AO2252" s="2"/>
      <c r="AP2252" s="3"/>
      <c r="AQ2252" s="3"/>
      <c r="AR2252" s="3"/>
      <c r="AS2252" s="3"/>
    </row>
    <row r="2253" spans="1:45" ht="15">
      <c r="A2253"/>
      <c r="J2253"/>
      <c r="AA2253"/>
      <c r="AB2253"/>
      <c r="AC2253"/>
      <c r="AD2253"/>
      <c r="AE2253"/>
      <c r="AF2253"/>
      <c r="AG2253"/>
      <c r="AH2253"/>
      <c r="AO2253" s="2"/>
      <c r="AP2253" s="3"/>
      <c r="AQ2253" s="3"/>
      <c r="AR2253" s="3"/>
      <c r="AS2253" s="3"/>
    </row>
    <row r="2254" spans="1:45" ht="15">
      <c r="A2254"/>
      <c r="J2254"/>
      <c r="AA2254"/>
      <c r="AB2254"/>
      <c r="AC2254"/>
      <c r="AD2254"/>
      <c r="AE2254"/>
      <c r="AF2254"/>
      <c r="AG2254"/>
      <c r="AH2254"/>
      <c r="AO2254" s="2"/>
      <c r="AP2254" s="3"/>
      <c r="AQ2254" s="3"/>
      <c r="AR2254" s="3"/>
      <c r="AS2254" s="3"/>
    </row>
    <row r="2255" spans="1:45" ht="15">
      <c r="A2255"/>
      <c r="J2255"/>
      <c r="AA2255"/>
      <c r="AB2255"/>
      <c r="AC2255"/>
      <c r="AD2255"/>
      <c r="AE2255"/>
      <c r="AF2255"/>
      <c r="AG2255"/>
      <c r="AH2255"/>
      <c r="AO2255" s="2"/>
      <c r="AP2255" s="3"/>
      <c r="AQ2255" s="3"/>
      <c r="AR2255" s="3"/>
      <c r="AS2255" s="3"/>
    </row>
    <row r="2256" spans="1:45" ht="15">
      <c r="A2256"/>
      <c r="J2256"/>
      <c r="AA2256"/>
      <c r="AB2256"/>
      <c r="AC2256"/>
      <c r="AD2256"/>
      <c r="AE2256"/>
      <c r="AF2256"/>
      <c r="AG2256"/>
      <c r="AH2256"/>
      <c r="AO2256" s="2"/>
      <c r="AP2256" s="3"/>
      <c r="AQ2256" s="3"/>
      <c r="AR2256" s="3"/>
      <c r="AS2256" s="3"/>
    </row>
    <row r="2257" spans="1:45" ht="15">
      <c r="A2257"/>
      <c r="J2257"/>
      <c r="AA2257"/>
      <c r="AB2257"/>
      <c r="AC2257"/>
      <c r="AD2257"/>
      <c r="AE2257"/>
      <c r="AF2257"/>
      <c r="AG2257"/>
      <c r="AH2257"/>
      <c r="AO2257" s="2"/>
      <c r="AP2257" s="3"/>
      <c r="AQ2257" s="3"/>
      <c r="AR2257" s="3"/>
      <c r="AS2257" s="3"/>
    </row>
    <row r="2258" spans="1:45" ht="15">
      <c r="A2258"/>
      <c r="J2258"/>
      <c r="AA2258"/>
      <c r="AB2258"/>
      <c r="AC2258"/>
      <c r="AD2258"/>
      <c r="AE2258"/>
      <c r="AF2258"/>
      <c r="AG2258"/>
      <c r="AH2258"/>
      <c r="AO2258" s="2"/>
      <c r="AP2258" s="3"/>
      <c r="AQ2258" s="3"/>
      <c r="AR2258" s="3"/>
      <c r="AS2258" s="3"/>
    </row>
    <row r="2259" spans="1:45" ht="15">
      <c r="A2259"/>
      <c r="J2259"/>
      <c r="AA2259"/>
      <c r="AB2259"/>
      <c r="AC2259"/>
      <c r="AD2259"/>
      <c r="AE2259"/>
      <c r="AF2259"/>
      <c r="AG2259"/>
      <c r="AH2259"/>
      <c r="AO2259" s="2"/>
      <c r="AP2259" s="3"/>
      <c r="AQ2259" s="3"/>
      <c r="AR2259" s="3"/>
      <c r="AS2259" s="3"/>
    </row>
    <row r="2260" spans="1:45" ht="15">
      <c r="A2260"/>
      <c r="J2260"/>
      <c r="AA2260"/>
      <c r="AB2260"/>
      <c r="AC2260"/>
      <c r="AD2260"/>
      <c r="AE2260"/>
      <c r="AF2260"/>
      <c r="AG2260"/>
      <c r="AH2260"/>
      <c r="AO2260" s="2"/>
      <c r="AP2260" s="3"/>
      <c r="AQ2260" s="3"/>
      <c r="AR2260" s="3"/>
      <c r="AS2260" s="3"/>
    </row>
    <row r="2261" spans="1:45" ht="15">
      <c r="A2261"/>
      <c r="J2261"/>
      <c r="AA2261"/>
      <c r="AB2261"/>
      <c r="AC2261"/>
      <c r="AD2261"/>
      <c r="AE2261"/>
      <c r="AF2261"/>
      <c r="AG2261"/>
      <c r="AH2261"/>
      <c r="AO2261" s="2"/>
      <c r="AP2261" s="3"/>
      <c r="AQ2261" s="3"/>
      <c r="AR2261" s="3"/>
      <c r="AS2261" s="3"/>
    </row>
    <row r="2262" spans="1:45" ht="15">
      <c r="A2262"/>
      <c r="J2262"/>
      <c r="AA2262"/>
      <c r="AB2262"/>
      <c r="AC2262"/>
      <c r="AD2262"/>
      <c r="AE2262"/>
      <c r="AF2262"/>
      <c r="AG2262"/>
      <c r="AH2262"/>
      <c r="AO2262" s="2"/>
      <c r="AP2262" s="3"/>
      <c r="AQ2262" s="3"/>
      <c r="AR2262" s="3"/>
      <c r="AS2262" s="3"/>
    </row>
    <row r="2263" spans="1:45" ht="15">
      <c r="A2263"/>
      <c r="J2263"/>
      <c r="AA2263"/>
      <c r="AB2263"/>
      <c r="AC2263"/>
      <c r="AD2263"/>
      <c r="AE2263"/>
      <c r="AF2263"/>
      <c r="AG2263"/>
      <c r="AH2263"/>
      <c r="AO2263" s="2"/>
      <c r="AP2263" s="3"/>
      <c r="AQ2263" s="3"/>
      <c r="AR2263" s="3"/>
      <c r="AS2263" s="3"/>
    </row>
    <row r="2264" spans="1:45" ht="15">
      <c r="A2264"/>
      <c r="J2264"/>
      <c r="AA2264"/>
      <c r="AB2264"/>
      <c r="AC2264"/>
      <c r="AD2264"/>
      <c r="AE2264"/>
      <c r="AF2264"/>
      <c r="AG2264"/>
      <c r="AH2264"/>
      <c r="AO2264" s="2"/>
      <c r="AP2264" s="3"/>
      <c r="AQ2264" s="3"/>
      <c r="AR2264" s="3"/>
      <c r="AS2264" s="3"/>
    </row>
    <row r="2265" spans="1:45" ht="15">
      <c r="A2265"/>
      <c r="J2265"/>
      <c r="AA2265"/>
      <c r="AB2265"/>
      <c r="AC2265"/>
      <c r="AD2265"/>
      <c r="AE2265"/>
      <c r="AF2265"/>
      <c r="AG2265"/>
      <c r="AH2265"/>
      <c r="AO2265" s="2"/>
      <c r="AP2265" s="3"/>
      <c r="AQ2265" s="3"/>
      <c r="AR2265" s="3"/>
      <c r="AS2265" s="3"/>
    </row>
    <row r="2266" spans="1:45" ht="15">
      <c r="A2266"/>
      <c r="J2266"/>
      <c r="AA2266"/>
      <c r="AB2266"/>
      <c r="AC2266"/>
      <c r="AD2266"/>
      <c r="AE2266"/>
      <c r="AF2266"/>
      <c r="AG2266"/>
      <c r="AH2266"/>
      <c r="AO2266" s="2"/>
      <c r="AP2266" s="3"/>
      <c r="AQ2266" s="3"/>
      <c r="AR2266" s="3"/>
      <c r="AS2266" s="3"/>
    </row>
    <row r="2267" spans="1:45" ht="15">
      <c r="A2267"/>
      <c r="J2267"/>
      <c r="AA2267"/>
      <c r="AB2267"/>
      <c r="AC2267"/>
      <c r="AD2267"/>
      <c r="AE2267"/>
      <c r="AF2267"/>
      <c r="AG2267"/>
      <c r="AH2267"/>
      <c r="AO2267" s="2"/>
      <c r="AP2267" s="3"/>
      <c r="AQ2267" s="3"/>
      <c r="AR2267" s="3"/>
      <c r="AS2267" s="3"/>
    </row>
    <row r="2268" spans="1:45" ht="15">
      <c r="A2268"/>
      <c r="J2268"/>
      <c r="AA2268"/>
      <c r="AB2268"/>
      <c r="AC2268"/>
      <c r="AD2268"/>
      <c r="AE2268"/>
      <c r="AF2268"/>
      <c r="AG2268"/>
      <c r="AH2268"/>
      <c r="AO2268" s="2"/>
      <c r="AP2268" s="3"/>
      <c r="AQ2268" s="3"/>
      <c r="AR2268" s="3"/>
      <c r="AS2268" s="3"/>
    </row>
    <row r="2269" spans="1:45" ht="15">
      <c r="A2269"/>
      <c r="J2269"/>
      <c r="AA2269"/>
      <c r="AB2269"/>
      <c r="AC2269"/>
      <c r="AD2269"/>
      <c r="AE2269"/>
      <c r="AF2269"/>
      <c r="AG2269"/>
      <c r="AH2269"/>
      <c r="AO2269" s="2"/>
      <c r="AP2269" s="3"/>
      <c r="AQ2269" s="3"/>
      <c r="AR2269" s="3"/>
      <c r="AS2269" s="3"/>
    </row>
    <row r="2270" spans="1:45" ht="15">
      <c r="A2270"/>
      <c r="J2270"/>
      <c r="AA2270"/>
      <c r="AB2270"/>
      <c r="AC2270"/>
      <c r="AD2270"/>
      <c r="AE2270"/>
      <c r="AF2270"/>
      <c r="AG2270"/>
      <c r="AH2270"/>
      <c r="AO2270" s="2"/>
      <c r="AP2270" s="3"/>
      <c r="AQ2270" s="3"/>
      <c r="AR2270" s="3"/>
      <c r="AS2270" s="3"/>
    </row>
    <row r="2271" spans="1:45" ht="15">
      <c r="A2271"/>
      <c r="J2271"/>
      <c r="AA2271"/>
      <c r="AB2271"/>
      <c r="AC2271"/>
      <c r="AD2271"/>
      <c r="AE2271"/>
      <c r="AF2271"/>
      <c r="AG2271"/>
      <c r="AH2271"/>
      <c r="AO2271" s="2"/>
      <c r="AP2271" s="3"/>
      <c r="AQ2271" s="3"/>
      <c r="AR2271" s="3"/>
      <c r="AS2271" s="3"/>
    </row>
    <row r="2272" spans="1:45" ht="15">
      <c r="A2272"/>
      <c r="J2272"/>
      <c r="AA2272"/>
      <c r="AB2272"/>
      <c r="AC2272"/>
      <c r="AD2272"/>
      <c r="AE2272"/>
      <c r="AF2272"/>
      <c r="AG2272"/>
      <c r="AH2272"/>
      <c r="AO2272" s="2"/>
      <c r="AP2272" s="3"/>
      <c r="AQ2272" s="3"/>
      <c r="AR2272" s="3"/>
      <c r="AS2272" s="3"/>
    </row>
    <row r="2273" spans="1:45" ht="15">
      <c r="A2273"/>
      <c r="J2273"/>
      <c r="AA2273"/>
      <c r="AB2273"/>
      <c r="AC2273"/>
      <c r="AD2273"/>
      <c r="AE2273"/>
      <c r="AF2273"/>
      <c r="AG2273"/>
      <c r="AH2273"/>
      <c r="AO2273" s="2"/>
      <c r="AP2273" s="3"/>
      <c r="AQ2273" s="3"/>
      <c r="AR2273" s="3"/>
      <c r="AS2273" s="3"/>
    </row>
    <row r="2274" spans="1:45" ht="15">
      <c r="A2274"/>
      <c r="J2274"/>
      <c r="AA2274"/>
      <c r="AB2274"/>
      <c r="AC2274"/>
      <c r="AD2274"/>
      <c r="AE2274"/>
      <c r="AF2274"/>
      <c r="AG2274"/>
      <c r="AH2274"/>
      <c r="AO2274" s="2"/>
      <c r="AP2274" s="3"/>
      <c r="AQ2274" s="3"/>
      <c r="AR2274" s="3"/>
      <c r="AS2274" s="3"/>
    </row>
    <row r="2275" spans="1:45" ht="15">
      <c r="A2275"/>
      <c r="J2275"/>
      <c r="AA2275"/>
      <c r="AB2275"/>
      <c r="AC2275"/>
      <c r="AD2275"/>
      <c r="AE2275"/>
      <c r="AF2275"/>
      <c r="AG2275"/>
      <c r="AH2275"/>
      <c r="AO2275" s="2"/>
      <c r="AP2275" s="3"/>
      <c r="AQ2275" s="3"/>
      <c r="AR2275" s="3"/>
      <c r="AS2275" s="3"/>
    </row>
    <row r="2276" spans="1:45" ht="15">
      <c r="A2276"/>
      <c r="J2276"/>
      <c r="AA2276"/>
      <c r="AB2276"/>
      <c r="AC2276"/>
      <c r="AD2276"/>
      <c r="AE2276"/>
      <c r="AF2276"/>
      <c r="AG2276"/>
      <c r="AH2276"/>
      <c r="AO2276" s="2"/>
      <c r="AP2276" s="3"/>
      <c r="AQ2276" s="3"/>
      <c r="AR2276" s="3"/>
      <c r="AS2276" s="3"/>
    </row>
    <row r="2277" spans="1:45" ht="15">
      <c r="A2277"/>
      <c r="J2277"/>
      <c r="AA2277"/>
      <c r="AB2277"/>
      <c r="AC2277"/>
      <c r="AD2277"/>
      <c r="AE2277"/>
      <c r="AF2277"/>
      <c r="AG2277"/>
      <c r="AH2277"/>
      <c r="AO2277" s="2"/>
      <c r="AP2277" s="3"/>
      <c r="AQ2277" s="3"/>
      <c r="AR2277" s="3"/>
      <c r="AS2277" s="3"/>
    </row>
    <row r="2278" spans="1:45" ht="15">
      <c r="A2278"/>
      <c r="J2278"/>
      <c r="AA2278"/>
      <c r="AB2278"/>
      <c r="AC2278"/>
      <c r="AD2278"/>
      <c r="AE2278"/>
      <c r="AF2278"/>
      <c r="AG2278"/>
      <c r="AH2278"/>
      <c r="AO2278" s="2"/>
      <c r="AP2278" s="3"/>
      <c r="AQ2278" s="3"/>
      <c r="AR2278" s="3"/>
      <c r="AS2278" s="3"/>
    </row>
    <row r="2279" spans="1:45" ht="15">
      <c r="A2279"/>
      <c r="J2279"/>
      <c r="AA2279"/>
      <c r="AB2279"/>
      <c r="AC2279"/>
      <c r="AD2279"/>
      <c r="AE2279"/>
      <c r="AF2279"/>
      <c r="AG2279"/>
      <c r="AH2279"/>
      <c r="AO2279" s="2"/>
      <c r="AP2279" s="3"/>
      <c r="AQ2279" s="3"/>
      <c r="AR2279" s="3"/>
      <c r="AS2279" s="3"/>
    </row>
    <row r="2280" spans="1:45" ht="15">
      <c r="A2280"/>
      <c r="J2280"/>
      <c r="AA2280"/>
      <c r="AB2280"/>
      <c r="AC2280"/>
      <c r="AD2280"/>
      <c r="AE2280"/>
      <c r="AF2280"/>
      <c r="AG2280"/>
      <c r="AH2280"/>
      <c r="AO2280" s="2"/>
      <c r="AP2280" s="3"/>
      <c r="AQ2280" s="3"/>
      <c r="AR2280" s="3"/>
      <c r="AS2280" s="3"/>
    </row>
    <row r="2281" spans="1:45" ht="15">
      <c r="A2281"/>
      <c r="J2281"/>
      <c r="AA2281"/>
      <c r="AB2281"/>
      <c r="AC2281"/>
      <c r="AD2281"/>
      <c r="AE2281"/>
      <c r="AF2281"/>
      <c r="AG2281"/>
      <c r="AH2281"/>
      <c r="AO2281" s="2"/>
      <c r="AP2281" s="3"/>
      <c r="AQ2281" s="3"/>
      <c r="AR2281" s="3"/>
      <c r="AS2281" s="3"/>
    </row>
    <row r="2282" spans="1:45" ht="15">
      <c r="A2282"/>
      <c r="J2282"/>
      <c r="AA2282"/>
      <c r="AB2282"/>
      <c r="AC2282"/>
      <c r="AD2282"/>
      <c r="AE2282"/>
      <c r="AF2282"/>
      <c r="AG2282"/>
      <c r="AH2282"/>
      <c r="AO2282" s="2"/>
      <c r="AP2282" s="3"/>
      <c r="AQ2282" s="3"/>
      <c r="AR2282" s="3"/>
      <c r="AS2282" s="3"/>
    </row>
    <row r="2283" spans="1:45" ht="15">
      <c r="A2283"/>
      <c r="J2283"/>
      <c r="AA2283"/>
      <c r="AB2283"/>
      <c r="AC2283"/>
      <c r="AD2283"/>
      <c r="AE2283"/>
      <c r="AF2283"/>
      <c r="AG2283"/>
      <c r="AH2283"/>
      <c r="AO2283" s="2"/>
      <c r="AP2283" s="3"/>
      <c r="AQ2283" s="3"/>
      <c r="AR2283" s="3"/>
      <c r="AS2283" s="3"/>
    </row>
    <row r="2284" spans="1:45" ht="15">
      <c r="A2284"/>
      <c r="J2284"/>
      <c r="AA2284"/>
      <c r="AB2284"/>
      <c r="AC2284"/>
      <c r="AD2284"/>
      <c r="AE2284"/>
      <c r="AF2284"/>
      <c r="AG2284"/>
      <c r="AH2284"/>
      <c r="AO2284" s="2"/>
      <c r="AP2284" s="3"/>
      <c r="AQ2284" s="3"/>
      <c r="AR2284" s="3"/>
      <c r="AS2284" s="3"/>
    </row>
    <row r="2285" spans="1:45" ht="15">
      <c r="A2285"/>
      <c r="J2285"/>
      <c r="AA2285"/>
      <c r="AB2285"/>
      <c r="AC2285"/>
      <c r="AD2285"/>
      <c r="AE2285"/>
      <c r="AF2285"/>
      <c r="AG2285"/>
      <c r="AH2285"/>
      <c r="AO2285" s="2"/>
      <c r="AP2285" s="3"/>
      <c r="AQ2285" s="3"/>
      <c r="AR2285" s="3"/>
      <c r="AS2285" s="3"/>
    </row>
    <row r="2286" spans="1:45" ht="15">
      <c r="A2286"/>
      <c r="J2286"/>
      <c r="AA2286"/>
      <c r="AB2286"/>
      <c r="AC2286"/>
      <c r="AD2286"/>
      <c r="AE2286"/>
      <c r="AF2286"/>
      <c r="AG2286"/>
      <c r="AH2286"/>
      <c r="AO2286" s="2"/>
      <c r="AP2286" s="3"/>
      <c r="AQ2286" s="3"/>
      <c r="AR2286" s="3"/>
      <c r="AS2286" s="3"/>
    </row>
    <row r="2287" spans="1:45" ht="15">
      <c r="A2287"/>
      <c r="J2287"/>
      <c r="AA2287"/>
      <c r="AB2287"/>
      <c r="AC2287"/>
      <c r="AD2287"/>
      <c r="AE2287"/>
      <c r="AF2287"/>
      <c r="AG2287"/>
      <c r="AH2287"/>
      <c r="AO2287" s="2"/>
      <c r="AP2287" s="3"/>
      <c r="AQ2287" s="3"/>
      <c r="AR2287" s="3"/>
      <c r="AS2287" s="3"/>
    </row>
    <row r="2288" spans="1:45" ht="15">
      <c r="A2288"/>
      <c r="J2288"/>
      <c r="AA2288"/>
      <c r="AB2288"/>
      <c r="AC2288"/>
      <c r="AD2288"/>
      <c r="AE2288"/>
      <c r="AF2288"/>
      <c r="AG2288"/>
      <c r="AH2288"/>
      <c r="AO2288" s="2"/>
      <c r="AP2288" s="3"/>
      <c r="AQ2288" s="3"/>
      <c r="AR2288" s="3"/>
      <c r="AS2288" s="3"/>
    </row>
    <row r="2289" spans="1:45" ht="15">
      <c r="A2289"/>
      <c r="J2289"/>
      <c r="AA2289"/>
      <c r="AB2289"/>
      <c r="AC2289"/>
      <c r="AD2289"/>
      <c r="AE2289"/>
      <c r="AF2289"/>
      <c r="AG2289"/>
      <c r="AH2289"/>
      <c r="AO2289" s="2"/>
      <c r="AP2289" s="3"/>
      <c r="AQ2289" s="3"/>
      <c r="AR2289" s="3"/>
      <c r="AS2289" s="3"/>
    </row>
    <row r="2290" spans="1:45" ht="15">
      <c r="A2290"/>
      <c r="J2290"/>
      <c r="AA2290"/>
      <c r="AB2290"/>
      <c r="AC2290"/>
      <c r="AD2290"/>
      <c r="AE2290"/>
      <c r="AF2290"/>
      <c r="AG2290"/>
      <c r="AH2290"/>
      <c r="AO2290" s="2"/>
      <c r="AP2290" s="3"/>
      <c r="AQ2290" s="3"/>
      <c r="AR2290" s="3"/>
      <c r="AS2290" s="3"/>
    </row>
    <row r="2291" spans="1:45" ht="15">
      <c r="A2291"/>
      <c r="J2291"/>
      <c r="AA2291"/>
      <c r="AB2291"/>
      <c r="AC2291"/>
      <c r="AD2291"/>
      <c r="AE2291"/>
      <c r="AF2291"/>
      <c r="AG2291"/>
      <c r="AH2291"/>
      <c r="AO2291" s="2"/>
      <c r="AP2291" s="3"/>
      <c r="AQ2291" s="3"/>
      <c r="AR2291" s="3"/>
      <c r="AS2291" s="3"/>
    </row>
    <row r="2292" spans="1:45" ht="15">
      <c r="A2292"/>
      <c r="J2292"/>
      <c r="AA2292"/>
      <c r="AB2292"/>
      <c r="AC2292"/>
      <c r="AD2292"/>
      <c r="AE2292"/>
      <c r="AF2292"/>
      <c r="AG2292"/>
      <c r="AH2292"/>
      <c r="AO2292" s="2"/>
      <c r="AP2292" s="3"/>
      <c r="AQ2292" s="3"/>
      <c r="AR2292" s="3"/>
      <c r="AS2292" s="3"/>
    </row>
    <row r="2293" spans="1:45" ht="15">
      <c r="A2293"/>
      <c r="J2293"/>
      <c r="AA2293"/>
      <c r="AB2293"/>
      <c r="AC2293"/>
      <c r="AD2293"/>
      <c r="AE2293"/>
      <c r="AF2293"/>
      <c r="AG2293"/>
      <c r="AH2293"/>
      <c r="AO2293" s="2"/>
      <c r="AP2293" s="3"/>
      <c r="AQ2293" s="3"/>
      <c r="AR2293" s="3"/>
      <c r="AS2293" s="3"/>
    </row>
    <row r="2294" spans="1:45" ht="15">
      <c r="A2294"/>
      <c r="J2294"/>
      <c r="AA2294"/>
      <c r="AB2294"/>
      <c r="AC2294"/>
      <c r="AD2294"/>
      <c r="AE2294"/>
      <c r="AF2294"/>
      <c r="AG2294"/>
      <c r="AH2294"/>
      <c r="AO2294" s="2"/>
      <c r="AP2294" s="3"/>
      <c r="AQ2294" s="3"/>
      <c r="AR2294" s="3"/>
      <c r="AS2294" s="3"/>
    </row>
    <row r="2295" spans="1:45" ht="15">
      <c r="A2295"/>
      <c r="J2295"/>
      <c r="AA2295"/>
      <c r="AB2295"/>
      <c r="AC2295"/>
      <c r="AD2295"/>
      <c r="AE2295"/>
      <c r="AF2295"/>
      <c r="AG2295"/>
      <c r="AH2295"/>
      <c r="AO2295" s="2"/>
      <c r="AP2295" s="3"/>
      <c r="AQ2295" s="3"/>
      <c r="AR2295" s="3"/>
      <c r="AS2295" s="3"/>
    </row>
    <row r="2296" spans="1:45" ht="15">
      <c r="A2296"/>
      <c r="J2296"/>
      <c r="AA2296"/>
      <c r="AB2296"/>
      <c r="AC2296"/>
      <c r="AD2296"/>
      <c r="AE2296"/>
      <c r="AF2296"/>
      <c r="AG2296"/>
      <c r="AH2296"/>
      <c r="AO2296" s="2"/>
      <c r="AP2296" s="3"/>
      <c r="AQ2296" s="3"/>
      <c r="AR2296" s="3"/>
      <c r="AS2296" s="3"/>
    </row>
    <row r="2297" spans="1:45" ht="15">
      <c r="A2297"/>
      <c r="J2297"/>
      <c r="AA2297"/>
      <c r="AB2297"/>
      <c r="AC2297"/>
      <c r="AD2297"/>
      <c r="AE2297"/>
      <c r="AF2297"/>
      <c r="AG2297"/>
      <c r="AH2297"/>
      <c r="AO2297" s="2"/>
      <c r="AP2297" s="3"/>
      <c r="AQ2297" s="3"/>
      <c r="AR2297" s="3"/>
      <c r="AS2297" s="3"/>
    </row>
    <row r="2298" spans="1:45" ht="15">
      <c r="A2298"/>
      <c r="J2298"/>
      <c r="AA2298"/>
      <c r="AB2298"/>
      <c r="AC2298"/>
      <c r="AD2298"/>
      <c r="AE2298"/>
      <c r="AF2298"/>
      <c r="AG2298"/>
      <c r="AH2298"/>
      <c r="AO2298" s="2"/>
      <c r="AP2298" s="3"/>
      <c r="AQ2298" s="3"/>
      <c r="AR2298" s="3"/>
      <c r="AS2298" s="3"/>
    </row>
    <row r="2299" spans="1:45" ht="15">
      <c r="A2299"/>
      <c r="J2299"/>
      <c r="AA2299"/>
      <c r="AB2299"/>
      <c r="AC2299"/>
      <c r="AD2299"/>
      <c r="AE2299"/>
      <c r="AF2299"/>
      <c r="AG2299"/>
      <c r="AH2299"/>
      <c r="AO2299" s="2"/>
      <c r="AP2299" s="3"/>
      <c r="AQ2299" s="3"/>
      <c r="AR2299" s="3"/>
      <c r="AS2299" s="3"/>
    </row>
    <row r="2300" spans="1:45" ht="15">
      <c r="A2300"/>
      <c r="J2300"/>
      <c r="AA2300"/>
      <c r="AB2300"/>
      <c r="AC2300"/>
      <c r="AD2300"/>
      <c r="AE2300"/>
      <c r="AF2300"/>
      <c r="AG2300"/>
      <c r="AH2300"/>
      <c r="AO2300" s="2"/>
      <c r="AP2300" s="3"/>
      <c r="AQ2300" s="3"/>
      <c r="AR2300" s="3"/>
      <c r="AS2300" s="3"/>
    </row>
    <row r="2301" spans="1:45" ht="15">
      <c r="A2301"/>
      <c r="J2301"/>
      <c r="AA2301"/>
      <c r="AB2301"/>
      <c r="AC2301"/>
      <c r="AD2301"/>
      <c r="AE2301"/>
      <c r="AF2301"/>
      <c r="AG2301"/>
      <c r="AH2301"/>
      <c r="AO2301" s="2"/>
      <c r="AP2301" s="3"/>
      <c r="AQ2301" s="3"/>
      <c r="AR2301" s="3"/>
      <c r="AS2301" s="3"/>
    </row>
    <row r="2302" spans="1:45" ht="15">
      <c r="A2302"/>
      <c r="J2302"/>
      <c r="AA2302"/>
      <c r="AB2302"/>
      <c r="AC2302"/>
      <c r="AD2302"/>
      <c r="AE2302"/>
      <c r="AF2302"/>
      <c r="AG2302"/>
      <c r="AH2302"/>
      <c r="AO2302" s="2"/>
      <c r="AP2302" s="3"/>
      <c r="AQ2302" s="3"/>
      <c r="AR2302" s="3"/>
      <c r="AS2302" s="3"/>
    </row>
    <row r="2303" spans="1:45" ht="15">
      <c r="A2303"/>
      <c r="J2303"/>
      <c r="AA2303"/>
      <c r="AB2303"/>
      <c r="AC2303"/>
      <c r="AD2303"/>
      <c r="AE2303"/>
      <c r="AF2303"/>
      <c r="AG2303"/>
      <c r="AH2303"/>
      <c r="AO2303" s="2"/>
      <c r="AP2303" s="3"/>
      <c r="AQ2303" s="3"/>
      <c r="AR2303" s="3"/>
      <c r="AS2303" s="3"/>
    </row>
    <row r="2304" spans="1:45" ht="15">
      <c r="A2304"/>
      <c r="J2304"/>
      <c r="AA2304"/>
      <c r="AB2304"/>
      <c r="AC2304"/>
      <c r="AD2304"/>
      <c r="AE2304"/>
      <c r="AF2304"/>
      <c r="AG2304"/>
      <c r="AH2304"/>
      <c r="AO2304" s="2"/>
      <c r="AP2304" s="3"/>
      <c r="AQ2304" s="3"/>
      <c r="AR2304" s="3"/>
      <c r="AS2304" s="3"/>
    </row>
    <row r="2305" spans="1:45" ht="15">
      <c r="A2305"/>
      <c r="J2305"/>
      <c r="AA2305"/>
      <c r="AB2305"/>
      <c r="AC2305"/>
      <c r="AD2305"/>
      <c r="AE2305"/>
      <c r="AF2305"/>
      <c r="AG2305"/>
      <c r="AH2305"/>
      <c r="AO2305" s="2"/>
      <c r="AP2305" s="3"/>
      <c r="AQ2305" s="3"/>
      <c r="AR2305" s="3"/>
      <c r="AS2305" s="3"/>
    </row>
    <row r="2306" spans="1:45" ht="15">
      <c r="A2306"/>
      <c r="J2306"/>
      <c r="AA2306"/>
      <c r="AB2306"/>
      <c r="AC2306"/>
      <c r="AD2306"/>
      <c r="AE2306"/>
      <c r="AF2306"/>
      <c r="AG2306"/>
      <c r="AH2306"/>
      <c r="AO2306" s="2"/>
      <c r="AP2306" s="3"/>
      <c r="AQ2306" s="3"/>
      <c r="AR2306" s="3"/>
      <c r="AS2306" s="3"/>
    </row>
    <row r="2307" spans="1:45" ht="15">
      <c r="A2307"/>
      <c r="J2307"/>
      <c r="AA2307"/>
      <c r="AB2307"/>
      <c r="AC2307"/>
      <c r="AD2307"/>
      <c r="AE2307"/>
      <c r="AF2307"/>
      <c r="AG2307"/>
      <c r="AH2307"/>
      <c r="AO2307" s="2"/>
      <c r="AP2307" s="3"/>
      <c r="AQ2307" s="3"/>
      <c r="AR2307" s="3"/>
      <c r="AS2307" s="3"/>
    </row>
    <row r="2308" spans="1:45" ht="15">
      <c r="A2308"/>
      <c r="J2308"/>
      <c r="AA2308"/>
      <c r="AB2308"/>
      <c r="AC2308"/>
      <c r="AD2308"/>
      <c r="AE2308"/>
      <c r="AF2308"/>
      <c r="AG2308"/>
      <c r="AH2308"/>
      <c r="AO2308" s="2"/>
      <c r="AP2308" s="3"/>
      <c r="AQ2308" s="3"/>
      <c r="AR2308" s="3"/>
      <c r="AS2308" s="3"/>
    </row>
    <row r="2309" spans="1:45" ht="15">
      <c r="A2309"/>
      <c r="J2309"/>
      <c r="AA2309"/>
      <c r="AB2309"/>
      <c r="AC2309"/>
      <c r="AD2309"/>
      <c r="AE2309"/>
      <c r="AF2309"/>
      <c r="AG2309"/>
      <c r="AH2309"/>
      <c r="AO2309" s="2"/>
      <c r="AP2309" s="3"/>
      <c r="AQ2309" s="3"/>
      <c r="AR2309" s="3"/>
      <c r="AS2309" s="3"/>
    </row>
    <row r="2310" spans="1:45" ht="15">
      <c r="A2310"/>
      <c r="J2310"/>
      <c r="AA2310"/>
      <c r="AB2310"/>
      <c r="AC2310"/>
      <c r="AD2310"/>
      <c r="AE2310"/>
      <c r="AF2310"/>
      <c r="AG2310"/>
      <c r="AH2310"/>
      <c r="AO2310" s="2"/>
      <c r="AP2310" s="3"/>
      <c r="AQ2310" s="3"/>
      <c r="AR2310" s="3"/>
      <c r="AS2310" s="3"/>
    </row>
    <row r="2311" spans="1:45" ht="15">
      <c r="A2311"/>
      <c r="J2311"/>
      <c r="AA2311"/>
      <c r="AB2311"/>
      <c r="AC2311"/>
      <c r="AD2311"/>
      <c r="AE2311"/>
      <c r="AF2311"/>
      <c r="AG2311"/>
      <c r="AH2311"/>
      <c r="AO2311" s="2"/>
      <c r="AP2311" s="3"/>
      <c r="AQ2311" s="3"/>
      <c r="AR2311" s="3"/>
      <c r="AS2311" s="3"/>
    </row>
    <row r="2312" spans="1:45" ht="15">
      <c r="A2312"/>
      <c r="J2312"/>
      <c r="AA2312"/>
      <c r="AB2312"/>
      <c r="AC2312"/>
      <c r="AD2312"/>
      <c r="AE2312"/>
      <c r="AF2312"/>
      <c r="AG2312"/>
      <c r="AH2312"/>
      <c r="AO2312" s="2"/>
      <c r="AP2312" s="3"/>
      <c r="AQ2312" s="3"/>
      <c r="AR2312" s="3"/>
      <c r="AS2312" s="3"/>
    </row>
    <row r="2313" spans="1:45" ht="15">
      <c r="A2313"/>
      <c r="J2313"/>
      <c r="AA2313"/>
      <c r="AB2313"/>
      <c r="AC2313"/>
      <c r="AD2313"/>
      <c r="AE2313"/>
      <c r="AF2313"/>
      <c r="AG2313"/>
      <c r="AH2313"/>
      <c r="AO2313" s="2"/>
      <c r="AP2313" s="3"/>
      <c r="AQ2313" s="3"/>
      <c r="AR2313" s="3"/>
      <c r="AS2313" s="3"/>
    </row>
    <row r="2314" spans="1:45" ht="15">
      <c r="A2314"/>
      <c r="J2314"/>
      <c r="AA2314"/>
      <c r="AB2314"/>
      <c r="AC2314"/>
      <c r="AD2314"/>
      <c r="AE2314"/>
      <c r="AF2314"/>
      <c r="AG2314"/>
      <c r="AH2314"/>
      <c r="AO2314" s="2"/>
      <c r="AP2314" s="3"/>
      <c r="AQ2314" s="3"/>
      <c r="AR2314" s="3"/>
      <c r="AS2314" s="3"/>
    </row>
    <row r="2315" spans="1:45" ht="15">
      <c r="A2315"/>
      <c r="J2315"/>
      <c r="AA2315"/>
      <c r="AB2315"/>
      <c r="AC2315"/>
      <c r="AD2315"/>
      <c r="AE2315"/>
      <c r="AF2315"/>
      <c r="AG2315"/>
      <c r="AH2315"/>
      <c r="AO2315" s="2"/>
      <c r="AP2315" s="3"/>
      <c r="AQ2315" s="3"/>
      <c r="AR2315" s="3"/>
      <c r="AS2315" s="3"/>
    </row>
    <row r="2316" spans="1:45" ht="15">
      <c r="A2316"/>
      <c r="J2316"/>
      <c r="AA2316"/>
      <c r="AB2316"/>
      <c r="AC2316"/>
      <c r="AD2316"/>
      <c r="AE2316"/>
      <c r="AF2316"/>
      <c r="AG2316"/>
      <c r="AH2316"/>
      <c r="AO2316" s="2"/>
      <c r="AP2316" s="3"/>
      <c r="AQ2316" s="3"/>
      <c r="AR2316" s="3"/>
      <c r="AS2316" s="3"/>
    </row>
    <row r="2317" spans="1:45" ht="15">
      <c r="A2317"/>
      <c r="J2317"/>
      <c r="AA2317"/>
      <c r="AB2317"/>
      <c r="AC2317"/>
      <c r="AD2317"/>
      <c r="AE2317"/>
      <c r="AF2317"/>
      <c r="AG2317"/>
      <c r="AH2317"/>
      <c r="AO2317" s="2"/>
      <c r="AP2317" s="3"/>
      <c r="AQ2317" s="3"/>
      <c r="AR2317" s="3"/>
      <c r="AS2317" s="3"/>
    </row>
    <row r="2318" spans="1:45" ht="15">
      <c r="A2318"/>
      <c r="J2318"/>
      <c r="AA2318"/>
      <c r="AB2318"/>
      <c r="AC2318"/>
      <c r="AD2318"/>
      <c r="AE2318"/>
      <c r="AF2318"/>
      <c r="AG2318"/>
      <c r="AH2318"/>
      <c r="AO2318" s="2"/>
      <c r="AP2318" s="3"/>
      <c r="AQ2318" s="3"/>
      <c r="AR2318" s="3"/>
      <c r="AS2318" s="3"/>
    </row>
    <row r="2319" spans="1:45" ht="15">
      <c r="A2319"/>
      <c r="J2319"/>
      <c r="AA2319"/>
      <c r="AB2319"/>
      <c r="AC2319"/>
      <c r="AD2319"/>
      <c r="AE2319"/>
      <c r="AF2319"/>
      <c r="AG2319"/>
      <c r="AH2319"/>
      <c r="AO2319" s="2"/>
      <c r="AP2319" s="3"/>
      <c r="AQ2319" s="3"/>
      <c r="AR2319" s="3"/>
      <c r="AS2319" s="3"/>
    </row>
    <row r="2320" spans="1:45" ht="15">
      <c r="A2320"/>
      <c r="J2320"/>
      <c r="AA2320"/>
      <c r="AB2320"/>
      <c r="AC2320"/>
      <c r="AD2320"/>
      <c r="AE2320"/>
      <c r="AF2320"/>
      <c r="AG2320"/>
      <c r="AH2320"/>
      <c r="AO2320" s="2"/>
      <c r="AP2320" s="3"/>
      <c r="AQ2320" s="3"/>
      <c r="AR2320" s="3"/>
      <c r="AS2320" s="3"/>
    </row>
    <row r="2321" spans="1:45" ht="15">
      <c r="A2321"/>
      <c r="J2321"/>
      <c r="AA2321"/>
      <c r="AB2321"/>
      <c r="AC2321"/>
      <c r="AD2321"/>
      <c r="AE2321"/>
      <c r="AF2321"/>
      <c r="AG2321"/>
      <c r="AH2321"/>
      <c r="AO2321" s="2"/>
      <c r="AP2321" s="3"/>
      <c r="AQ2321" s="3"/>
      <c r="AR2321" s="3"/>
      <c r="AS2321" s="3"/>
    </row>
    <row r="2322" spans="1:45" ht="15">
      <c r="A2322"/>
      <c r="J2322"/>
      <c r="AA2322"/>
      <c r="AB2322"/>
      <c r="AC2322"/>
      <c r="AD2322"/>
      <c r="AE2322"/>
      <c r="AF2322"/>
      <c r="AG2322"/>
      <c r="AH2322"/>
      <c r="AO2322" s="2"/>
      <c r="AP2322" s="3"/>
      <c r="AQ2322" s="3"/>
      <c r="AR2322" s="3"/>
      <c r="AS2322" s="3"/>
    </row>
    <row r="2323" spans="1:45" ht="15">
      <c r="A2323"/>
      <c r="J2323"/>
      <c r="AA2323"/>
      <c r="AB2323"/>
      <c r="AC2323"/>
      <c r="AD2323"/>
      <c r="AE2323"/>
      <c r="AF2323"/>
      <c r="AG2323"/>
      <c r="AH2323"/>
      <c r="AO2323" s="2"/>
      <c r="AP2323" s="3"/>
      <c r="AQ2323" s="3"/>
      <c r="AR2323" s="3"/>
      <c r="AS2323" s="3"/>
    </row>
    <row r="2324" spans="1:45" ht="15">
      <c r="A2324"/>
      <c r="J2324"/>
      <c r="AA2324"/>
      <c r="AB2324"/>
      <c r="AC2324"/>
      <c r="AD2324"/>
      <c r="AE2324"/>
      <c r="AF2324"/>
      <c r="AG2324"/>
      <c r="AH2324"/>
      <c r="AO2324" s="2"/>
      <c r="AP2324" s="3"/>
      <c r="AQ2324" s="3"/>
      <c r="AR2324" s="3"/>
      <c r="AS2324" s="3"/>
    </row>
    <row r="2325" spans="1:45" ht="15">
      <c r="A2325"/>
      <c r="J2325"/>
      <c r="AA2325"/>
      <c r="AB2325"/>
      <c r="AC2325"/>
      <c r="AD2325"/>
      <c r="AE2325"/>
      <c r="AF2325"/>
      <c r="AG2325"/>
      <c r="AH2325"/>
      <c r="AO2325" s="2"/>
      <c r="AP2325" s="3"/>
      <c r="AQ2325" s="3"/>
      <c r="AR2325" s="3"/>
      <c r="AS2325" s="3"/>
    </row>
    <row r="2326" spans="1:45" ht="15">
      <c r="A2326"/>
      <c r="J2326"/>
      <c r="AA2326"/>
      <c r="AB2326"/>
      <c r="AC2326"/>
      <c r="AD2326"/>
      <c r="AE2326"/>
      <c r="AF2326"/>
      <c r="AG2326"/>
      <c r="AH2326"/>
      <c r="AO2326" s="2"/>
      <c r="AP2326" s="3"/>
      <c r="AQ2326" s="3"/>
      <c r="AR2326" s="3"/>
      <c r="AS2326" s="3"/>
    </row>
    <row r="2327" spans="1:45" ht="15">
      <c r="A2327"/>
      <c r="J2327"/>
      <c r="AA2327"/>
      <c r="AB2327"/>
      <c r="AC2327"/>
      <c r="AD2327"/>
      <c r="AE2327"/>
      <c r="AF2327"/>
      <c r="AG2327"/>
      <c r="AH2327"/>
      <c r="AO2327" s="2"/>
      <c r="AP2327" s="3"/>
      <c r="AQ2327" s="3"/>
      <c r="AR2327" s="3"/>
      <c r="AS2327" s="3"/>
    </row>
    <row r="2328" spans="1:45" ht="15">
      <c r="A2328"/>
      <c r="J2328"/>
      <c r="AA2328"/>
      <c r="AB2328"/>
      <c r="AC2328"/>
      <c r="AD2328"/>
      <c r="AE2328"/>
      <c r="AF2328"/>
      <c r="AG2328"/>
      <c r="AH2328"/>
      <c r="AO2328" s="2"/>
      <c r="AP2328" s="3"/>
      <c r="AQ2328" s="3"/>
      <c r="AR2328" s="3"/>
      <c r="AS2328" s="3"/>
    </row>
    <row r="2329" spans="1:45" ht="15">
      <c r="A2329"/>
      <c r="J2329"/>
      <c r="AA2329"/>
      <c r="AB2329"/>
      <c r="AC2329"/>
      <c r="AD2329"/>
      <c r="AE2329"/>
      <c r="AF2329"/>
      <c r="AG2329"/>
      <c r="AH2329"/>
      <c r="AO2329" s="2"/>
      <c r="AP2329" s="3"/>
      <c r="AQ2329" s="3"/>
      <c r="AR2329" s="3"/>
      <c r="AS2329" s="3"/>
    </row>
    <row r="2330" spans="1:45" ht="15">
      <c r="A2330"/>
      <c r="J2330"/>
      <c r="AA2330"/>
      <c r="AB2330"/>
      <c r="AC2330"/>
      <c r="AD2330"/>
      <c r="AE2330"/>
      <c r="AF2330"/>
      <c r="AG2330"/>
      <c r="AH2330"/>
      <c r="AO2330" s="2"/>
      <c r="AP2330" s="3"/>
      <c r="AQ2330" s="3"/>
      <c r="AR2330" s="3"/>
      <c r="AS2330" s="3"/>
    </row>
    <row r="2331" spans="1:45" ht="15">
      <c r="A2331"/>
      <c r="J2331"/>
      <c r="AA2331"/>
      <c r="AB2331"/>
      <c r="AC2331"/>
      <c r="AD2331"/>
      <c r="AE2331"/>
      <c r="AF2331"/>
      <c r="AG2331"/>
      <c r="AH2331"/>
      <c r="AO2331" s="2"/>
      <c r="AP2331" s="3"/>
      <c r="AQ2331" s="3"/>
      <c r="AR2331" s="3"/>
      <c r="AS2331" s="3"/>
    </row>
    <row r="2332" spans="1:45" ht="15">
      <c r="A2332"/>
      <c r="J2332"/>
      <c r="AA2332"/>
      <c r="AB2332"/>
      <c r="AC2332"/>
      <c r="AD2332"/>
      <c r="AE2332"/>
      <c r="AF2332"/>
      <c r="AG2332"/>
      <c r="AH2332"/>
      <c r="AO2332" s="2"/>
      <c r="AP2332" s="3"/>
      <c r="AQ2332" s="3"/>
      <c r="AR2332" s="3"/>
      <c r="AS2332" s="3"/>
    </row>
    <row r="2333" spans="1:45" ht="15">
      <c r="A2333"/>
      <c r="J2333"/>
      <c r="AA2333"/>
      <c r="AB2333"/>
      <c r="AC2333"/>
      <c r="AD2333"/>
      <c r="AE2333"/>
      <c r="AF2333"/>
      <c r="AG2333"/>
      <c r="AH2333"/>
      <c r="AO2333" s="2"/>
      <c r="AP2333" s="3"/>
      <c r="AQ2333" s="3"/>
      <c r="AR2333" s="3"/>
      <c r="AS2333" s="3"/>
    </row>
    <row r="2334" spans="1:45" ht="15">
      <c r="A2334"/>
      <c r="J2334"/>
      <c r="AA2334"/>
      <c r="AB2334"/>
      <c r="AC2334"/>
      <c r="AD2334"/>
      <c r="AE2334"/>
      <c r="AF2334"/>
      <c r="AG2334"/>
      <c r="AH2334"/>
      <c r="AO2334" s="2"/>
      <c r="AP2334" s="3"/>
      <c r="AQ2334" s="3"/>
      <c r="AR2334" s="3"/>
      <c r="AS2334" s="3"/>
    </row>
    <row r="2335" spans="1:45" ht="15">
      <c r="A2335"/>
      <c r="J2335"/>
      <c r="AA2335"/>
      <c r="AB2335"/>
      <c r="AC2335"/>
      <c r="AD2335"/>
      <c r="AE2335"/>
      <c r="AF2335"/>
      <c r="AG2335"/>
      <c r="AH2335"/>
      <c r="AO2335" s="2"/>
      <c r="AP2335" s="3"/>
      <c r="AQ2335" s="3"/>
      <c r="AR2335" s="3"/>
      <c r="AS2335" s="3"/>
    </row>
    <row r="2336" spans="1:45" ht="15">
      <c r="A2336"/>
      <c r="J2336"/>
      <c r="AA2336"/>
      <c r="AB2336"/>
      <c r="AC2336"/>
      <c r="AD2336"/>
      <c r="AE2336"/>
      <c r="AF2336"/>
      <c r="AG2336"/>
      <c r="AH2336"/>
      <c r="AO2336" s="2"/>
      <c r="AP2336" s="3"/>
      <c r="AQ2336" s="3"/>
      <c r="AR2336" s="3"/>
      <c r="AS2336" s="3"/>
    </row>
    <row r="2337" spans="1:45" ht="15">
      <c r="A2337"/>
      <c r="J2337"/>
      <c r="AA2337"/>
      <c r="AB2337"/>
      <c r="AC2337"/>
      <c r="AD2337"/>
      <c r="AE2337"/>
      <c r="AF2337"/>
      <c r="AG2337"/>
      <c r="AH2337"/>
      <c r="AO2337" s="2"/>
      <c r="AP2337" s="3"/>
      <c r="AQ2337" s="3"/>
      <c r="AR2337" s="3"/>
      <c r="AS2337" s="3"/>
    </row>
    <row r="2338" spans="1:45" ht="15">
      <c r="A2338"/>
      <c r="J2338"/>
      <c r="AA2338"/>
      <c r="AB2338"/>
      <c r="AC2338"/>
      <c r="AD2338"/>
      <c r="AE2338"/>
      <c r="AF2338"/>
      <c r="AG2338"/>
      <c r="AH2338"/>
      <c r="AO2338" s="2"/>
      <c r="AP2338" s="3"/>
      <c r="AQ2338" s="3"/>
      <c r="AR2338" s="3"/>
      <c r="AS2338" s="3"/>
    </row>
    <row r="2339" spans="1:45" ht="15">
      <c r="A2339"/>
      <c r="J2339"/>
      <c r="AA2339"/>
      <c r="AB2339"/>
      <c r="AC2339"/>
      <c r="AD2339"/>
      <c r="AE2339"/>
      <c r="AF2339"/>
      <c r="AG2339"/>
      <c r="AH2339"/>
      <c r="AO2339" s="2"/>
      <c r="AP2339" s="3"/>
      <c r="AQ2339" s="3"/>
      <c r="AR2339" s="3"/>
      <c r="AS2339" s="3"/>
    </row>
    <row r="2340" spans="1:45" ht="15">
      <c r="A2340"/>
      <c r="J2340"/>
      <c r="AA2340"/>
      <c r="AB2340"/>
      <c r="AC2340"/>
      <c r="AD2340"/>
      <c r="AE2340"/>
      <c r="AF2340"/>
      <c r="AG2340"/>
      <c r="AH2340"/>
      <c r="AO2340" s="2"/>
      <c r="AP2340" s="3"/>
      <c r="AQ2340" s="3"/>
      <c r="AR2340" s="3"/>
      <c r="AS2340" s="3"/>
    </row>
    <row r="2341" spans="1:45" ht="15">
      <c r="A2341"/>
      <c r="J2341"/>
      <c r="AA2341"/>
      <c r="AB2341"/>
      <c r="AC2341"/>
      <c r="AD2341"/>
      <c r="AE2341"/>
      <c r="AF2341"/>
      <c r="AG2341"/>
      <c r="AH2341"/>
      <c r="AO2341" s="2"/>
      <c r="AP2341" s="3"/>
      <c r="AQ2341" s="3"/>
      <c r="AR2341" s="3"/>
      <c r="AS2341" s="3"/>
    </row>
    <row r="2342" spans="1:45" ht="15">
      <c r="A2342"/>
      <c r="J2342"/>
      <c r="AA2342"/>
      <c r="AB2342"/>
      <c r="AC2342"/>
      <c r="AD2342"/>
      <c r="AE2342"/>
      <c r="AF2342"/>
      <c r="AG2342"/>
      <c r="AH2342"/>
      <c r="AO2342" s="2"/>
      <c r="AP2342" s="3"/>
      <c r="AQ2342" s="3"/>
      <c r="AR2342" s="3"/>
      <c r="AS2342" s="3"/>
    </row>
    <row r="2343" spans="1:45" ht="15">
      <c r="A2343"/>
      <c r="J2343"/>
      <c r="AA2343"/>
      <c r="AB2343"/>
      <c r="AC2343"/>
      <c r="AD2343"/>
      <c r="AE2343"/>
      <c r="AF2343"/>
      <c r="AG2343"/>
      <c r="AH2343"/>
      <c r="AO2343" s="2"/>
      <c r="AP2343" s="3"/>
      <c r="AQ2343" s="3"/>
      <c r="AR2343" s="3"/>
      <c r="AS2343" s="3"/>
    </row>
    <row r="2344" spans="1:45" ht="15">
      <c r="A2344"/>
      <c r="J2344"/>
      <c r="AA2344"/>
      <c r="AB2344"/>
      <c r="AC2344"/>
      <c r="AD2344"/>
      <c r="AE2344"/>
      <c r="AF2344"/>
      <c r="AG2344"/>
      <c r="AH2344"/>
      <c r="AO2344" s="2"/>
      <c r="AP2344" s="3"/>
      <c r="AQ2344" s="3"/>
      <c r="AR2344" s="3"/>
      <c r="AS2344" s="3"/>
    </row>
    <row r="2345" spans="1:45" ht="15">
      <c r="A2345"/>
      <c r="J2345"/>
      <c r="AA2345"/>
      <c r="AB2345"/>
      <c r="AC2345"/>
      <c r="AD2345"/>
      <c r="AE2345"/>
      <c r="AF2345"/>
      <c r="AG2345"/>
      <c r="AH2345"/>
      <c r="AO2345" s="2"/>
      <c r="AP2345" s="3"/>
      <c r="AQ2345" s="3"/>
      <c r="AR2345" s="3"/>
      <c r="AS2345" s="3"/>
    </row>
    <row r="2346" spans="1:45" ht="15">
      <c r="A2346"/>
      <c r="J2346"/>
      <c r="AA2346"/>
      <c r="AB2346"/>
      <c r="AC2346"/>
      <c r="AD2346"/>
      <c r="AE2346"/>
      <c r="AF2346"/>
      <c r="AG2346"/>
      <c r="AH2346"/>
      <c r="AO2346" s="2"/>
      <c r="AP2346" s="3"/>
      <c r="AQ2346" s="3"/>
      <c r="AR2346" s="3"/>
      <c r="AS2346" s="3"/>
    </row>
    <row r="2347" spans="1:45" ht="15">
      <c r="A2347"/>
      <c r="J2347"/>
      <c r="AA2347"/>
      <c r="AB2347"/>
      <c r="AC2347"/>
      <c r="AD2347"/>
      <c r="AE2347"/>
      <c r="AF2347"/>
      <c r="AG2347"/>
      <c r="AH2347"/>
      <c r="AO2347" s="2"/>
      <c r="AP2347" s="3"/>
      <c r="AQ2347" s="3"/>
      <c r="AR2347" s="3"/>
      <c r="AS2347" s="3"/>
    </row>
    <row r="2348" spans="1:45" ht="15">
      <c r="A2348"/>
      <c r="J2348"/>
      <c r="AA2348"/>
      <c r="AB2348"/>
      <c r="AC2348"/>
      <c r="AD2348"/>
      <c r="AE2348"/>
      <c r="AF2348"/>
      <c r="AG2348"/>
      <c r="AH2348"/>
      <c r="AO2348" s="2"/>
      <c r="AP2348" s="3"/>
      <c r="AQ2348" s="3"/>
      <c r="AR2348" s="3"/>
      <c r="AS2348" s="3"/>
    </row>
    <row r="2349" spans="1:45" ht="15">
      <c r="A2349"/>
      <c r="J2349"/>
      <c r="AA2349"/>
      <c r="AB2349"/>
      <c r="AC2349"/>
      <c r="AD2349"/>
      <c r="AE2349"/>
      <c r="AF2349"/>
      <c r="AG2349"/>
      <c r="AH2349"/>
      <c r="AO2349" s="2"/>
      <c r="AP2349" s="3"/>
      <c r="AQ2349" s="3"/>
      <c r="AR2349" s="3"/>
      <c r="AS2349" s="3"/>
    </row>
    <row r="2350" spans="1:45" ht="15">
      <c r="A2350"/>
      <c r="J2350"/>
      <c r="AA2350"/>
      <c r="AB2350"/>
      <c r="AC2350"/>
      <c r="AD2350"/>
      <c r="AE2350"/>
      <c r="AF2350"/>
      <c r="AG2350"/>
      <c r="AH2350"/>
      <c r="AO2350" s="2"/>
      <c r="AP2350" s="3"/>
      <c r="AQ2350" s="3"/>
      <c r="AR2350" s="3"/>
      <c r="AS2350" s="3"/>
    </row>
    <row r="2351" spans="1:45" ht="15">
      <c r="A2351"/>
      <c r="J2351"/>
      <c r="AA2351"/>
      <c r="AB2351"/>
      <c r="AC2351"/>
      <c r="AD2351"/>
      <c r="AE2351"/>
      <c r="AF2351"/>
      <c r="AG2351"/>
      <c r="AH2351"/>
      <c r="AO2351" s="2"/>
      <c r="AP2351" s="3"/>
      <c r="AQ2351" s="3"/>
      <c r="AR2351" s="3"/>
      <c r="AS2351" s="3"/>
    </row>
    <row r="2352" spans="1:45" ht="15">
      <c r="A2352"/>
      <c r="J2352"/>
      <c r="AA2352"/>
      <c r="AB2352"/>
      <c r="AC2352"/>
      <c r="AD2352"/>
      <c r="AE2352"/>
      <c r="AF2352"/>
      <c r="AG2352"/>
      <c r="AH2352"/>
      <c r="AO2352" s="2"/>
      <c r="AP2352" s="3"/>
      <c r="AQ2352" s="3"/>
      <c r="AR2352" s="3"/>
      <c r="AS2352" s="3"/>
    </row>
    <row r="2353" spans="1:45" ht="15">
      <c r="A2353"/>
      <c r="J2353"/>
      <c r="AA2353"/>
      <c r="AB2353"/>
      <c r="AC2353"/>
      <c r="AD2353"/>
      <c r="AE2353"/>
      <c r="AF2353"/>
      <c r="AG2353"/>
      <c r="AH2353"/>
      <c r="AO2353" s="2"/>
      <c r="AP2353" s="3"/>
      <c r="AQ2353" s="3"/>
      <c r="AR2353" s="3"/>
      <c r="AS2353" s="3"/>
    </row>
    <row r="2354" spans="1:45" ht="15">
      <c r="A2354"/>
      <c r="J2354"/>
      <c r="AA2354"/>
      <c r="AB2354"/>
      <c r="AC2354"/>
      <c r="AD2354"/>
      <c r="AE2354"/>
      <c r="AF2354"/>
      <c r="AG2354"/>
      <c r="AH2354"/>
      <c r="AO2354" s="2"/>
      <c r="AP2354" s="3"/>
      <c r="AQ2354" s="3"/>
      <c r="AR2354" s="3"/>
      <c r="AS2354" s="3"/>
    </row>
    <row r="2355" spans="1:45" ht="15">
      <c r="A2355"/>
      <c r="J2355"/>
      <c r="AA2355"/>
      <c r="AB2355"/>
      <c r="AC2355"/>
      <c r="AD2355"/>
      <c r="AE2355"/>
      <c r="AF2355"/>
      <c r="AG2355"/>
      <c r="AH2355"/>
      <c r="AO2355" s="2"/>
      <c r="AP2355" s="3"/>
      <c r="AQ2355" s="3"/>
      <c r="AR2355" s="3"/>
      <c r="AS2355" s="3"/>
    </row>
    <row r="2356" spans="1:45" ht="15">
      <c r="A2356"/>
      <c r="J2356"/>
      <c r="AA2356"/>
      <c r="AB2356"/>
      <c r="AC2356"/>
      <c r="AD2356"/>
      <c r="AE2356"/>
      <c r="AF2356"/>
      <c r="AG2356"/>
      <c r="AH2356"/>
      <c r="AO2356" s="2"/>
      <c r="AP2356" s="3"/>
      <c r="AQ2356" s="3"/>
      <c r="AR2356" s="3"/>
      <c r="AS2356" s="3"/>
    </row>
    <row r="2357" spans="1:45" ht="15">
      <c r="A2357"/>
      <c r="J2357"/>
      <c r="AA2357"/>
      <c r="AB2357"/>
      <c r="AC2357"/>
      <c r="AD2357"/>
      <c r="AE2357"/>
      <c r="AF2357"/>
      <c r="AG2357"/>
      <c r="AH2357"/>
      <c r="AO2357" s="2"/>
      <c r="AP2357" s="3"/>
      <c r="AQ2357" s="3"/>
      <c r="AR2357" s="3"/>
      <c r="AS2357" s="3"/>
    </row>
    <row r="2358" spans="1:45" ht="15">
      <c r="A2358"/>
      <c r="J2358"/>
      <c r="AA2358"/>
      <c r="AB2358"/>
      <c r="AC2358"/>
      <c r="AD2358"/>
      <c r="AE2358"/>
      <c r="AF2358"/>
      <c r="AG2358"/>
      <c r="AH2358"/>
      <c r="AO2358" s="2"/>
      <c r="AP2358" s="3"/>
      <c r="AQ2358" s="3"/>
      <c r="AR2358" s="3"/>
      <c r="AS2358" s="3"/>
    </row>
    <row r="2359" spans="1:45" ht="15">
      <c r="A2359"/>
      <c r="J2359"/>
      <c r="AA2359"/>
      <c r="AB2359"/>
      <c r="AC2359"/>
      <c r="AD2359"/>
      <c r="AE2359"/>
      <c r="AF2359"/>
      <c r="AG2359"/>
      <c r="AH2359"/>
      <c r="AO2359" s="2"/>
      <c r="AP2359" s="3"/>
      <c r="AQ2359" s="3"/>
      <c r="AR2359" s="3"/>
      <c r="AS2359" s="3"/>
    </row>
    <row r="2360" spans="1:45" ht="15">
      <c r="A2360"/>
      <c r="J2360"/>
      <c r="AA2360"/>
      <c r="AB2360"/>
      <c r="AC2360"/>
      <c r="AD2360"/>
      <c r="AE2360"/>
      <c r="AF2360"/>
      <c r="AG2360"/>
      <c r="AH2360"/>
      <c r="AO2360" s="2"/>
      <c r="AP2360" s="3"/>
      <c r="AQ2360" s="3"/>
      <c r="AR2360" s="3"/>
      <c r="AS2360" s="3"/>
    </row>
    <row r="2361" spans="1:45" ht="15">
      <c r="A2361"/>
      <c r="J2361"/>
      <c r="AA2361"/>
      <c r="AB2361"/>
      <c r="AC2361"/>
      <c r="AD2361"/>
      <c r="AE2361"/>
      <c r="AF2361"/>
      <c r="AG2361"/>
      <c r="AH2361"/>
      <c r="AO2361" s="2"/>
      <c r="AP2361" s="3"/>
      <c r="AQ2361" s="3"/>
      <c r="AR2361" s="3"/>
      <c r="AS2361" s="3"/>
    </row>
    <row r="2362" spans="1:45" ht="15">
      <c r="A2362"/>
      <c r="J2362"/>
      <c r="AA2362"/>
      <c r="AB2362"/>
      <c r="AC2362"/>
      <c r="AD2362"/>
      <c r="AE2362"/>
      <c r="AF2362"/>
      <c r="AG2362"/>
      <c r="AH2362"/>
      <c r="AO2362" s="2"/>
      <c r="AP2362" s="3"/>
      <c r="AQ2362" s="3"/>
      <c r="AR2362" s="3"/>
      <c r="AS2362" s="3"/>
    </row>
    <row r="2363" spans="1:45" ht="15">
      <c r="A2363"/>
      <c r="J2363"/>
      <c r="AA2363"/>
      <c r="AB2363"/>
      <c r="AC2363"/>
      <c r="AD2363"/>
      <c r="AE2363"/>
      <c r="AF2363"/>
      <c r="AG2363"/>
      <c r="AH2363"/>
      <c r="AO2363" s="2"/>
      <c r="AP2363" s="3"/>
      <c r="AQ2363" s="3"/>
      <c r="AR2363" s="3"/>
      <c r="AS2363" s="3"/>
    </row>
    <row r="2364" spans="1:45" ht="15">
      <c r="A2364"/>
      <c r="J2364"/>
      <c r="AA2364"/>
      <c r="AB2364"/>
      <c r="AC2364"/>
      <c r="AD2364"/>
      <c r="AE2364"/>
      <c r="AF2364"/>
      <c r="AG2364"/>
      <c r="AH2364"/>
      <c r="AO2364" s="2"/>
      <c r="AP2364" s="3"/>
      <c r="AQ2364" s="3"/>
      <c r="AR2364" s="3"/>
      <c r="AS2364" s="3"/>
    </row>
    <row r="2365" spans="1:45" ht="15">
      <c r="A2365"/>
      <c r="J2365"/>
      <c r="AA2365"/>
      <c r="AB2365"/>
      <c r="AC2365"/>
      <c r="AD2365"/>
      <c r="AE2365"/>
      <c r="AF2365"/>
      <c r="AG2365"/>
      <c r="AH2365"/>
      <c r="AO2365" s="2"/>
      <c r="AP2365" s="3"/>
      <c r="AQ2365" s="3"/>
      <c r="AR2365" s="3"/>
      <c r="AS2365" s="3"/>
    </row>
    <row r="2366" spans="1:45" ht="15">
      <c r="A2366"/>
      <c r="J2366"/>
      <c r="AA2366"/>
      <c r="AB2366"/>
      <c r="AC2366"/>
      <c r="AD2366"/>
      <c r="AE2366"/>
      <c r="AF2366"/>
      <c r="AG2366"/>
      <c r="AH2366"/>
      <c r="AO2366" s="2"/>
      <c r="AP2366" s="3"/>
      <c r="AQ2366" s="3"/>
      <c r="AR2366" s="3"/>
      <c r="AS2366" s="3"/>
    </row>
    <row r="2367" spans="1:45" ht="15">
      <c r="A2367"/>
      <c r="J2367"/>
      <c r="AA2367"/>
      <c r="AB2367"/>
      <c r="AC2367"/>
      <c r="AD2367"/>
      <c r="AE2367"/>
      <c r="AF2367"/>
      <c r="AG2367"/>
      <c r="AH2367"/>
      <c r="AO2367" s="2"/>
      <c r="AP2367" s="3"/>
      <c r="AQ2367" s="3"/>
      <c r="AR2367" s="3"/>
      <c r="AS2367" s="3"/>
    </row>
    <row r="2368" spans="1:45" ht="15">
      <c r="A2368"/>
      <c r="J2368"/>
      <c r="AA2368"/>
      <c r="AB2368"/>
      <c r="AC2368"/>
      <c r="AD2368"/>
      <c r="AE2368"/>
      <c r="AF2368"/>
      <c r="AG2368"/>
      <c r="AH2368"/>
      <c r="AO2368" s="2"/>
      <c r="AP2368" s="3"/>
      <c r="AQ2368" s="3"/>
      <c r="AR2368" s="3"/>
      <c r="AS2368" s="3"/>
    </row>
    <row r="2369" spans="1:45" ht="15">
      <c r="A2369"/>
      <c r="J2369"/>
      <c r="AA2369"/>
      <c r="AB2369"/>
      <c r="AC2369"/>
      <c r="AD2369"/>
      <c r="AE2369"/>
      <c r="AF2369"/>
      <c r="AG2369"/>
      <c r="AH2369"/>
      <c r="AO2369" s="2"/>
      <c r="AP2369" s="3"/>
      <c r="AQ2369" s="3"/>
      <c r="AR2369" s="3"/>
      <c r="AS2369" s="3"/>
    </row>
    <row r="2370" spans="1:45" ht="15">
      <c r="A2370"/>
      <c r="J2370"/>
      <c r="AA2370"/>
      <c r="AB2370"/>
      <c r="AC2370"/>
      <c r="AD2370"/>
      <c r="AE2370"/>
      <c r="AF2370"/>
      <c r="AG2370"/>
      <c r="AH2370"/>
      <c r="AO2370" s="2"/>
      <c r="AP2370" s="3"/>
      <c r="AQ2370" s="3"/>
      <c r="AR2370" s="3"/>
      <c r="AS2370" s="3"/>
    </row>
    <row r="2371" spans="1:45" ht="15">
      <c r="A2371"/>
      <c r="J2371"/>
      <c r="AA2371"/>
      <c r="AB2371"/>
      <c r="AC2371"/>
      <c r="AD2371"/>
      <c r="AE2371"/>
      <c r="AF2371"/>
      <c r="AG2371"/>
      <c r="AH2371"/>
      <c r="AO2371" s="2"/>
      <c r="AP2371" s="3"/>
      <c r="AQ2371" s="3"/>
      <c r="AR2371" s="3"/>
      <c r="AS2371" s="3"/>
    </row>
    <row r="2372" spans="1:45" ht="15">
      <c r="A2372"/>
      <c r="J2372"/>
      <c r="AA2372"/>
      <c r="AB2372"/>
      <c r="AC2372"/>
      <c r="AD2372"/>
      <c r="AE2372"/>
      <c r="AF2372"/>
      <c r="AG2372"/>
      <c r="AH2372"/>
      <c r="AO2372" s="2"/>
      <c r="AP2372" s="3"/>
      <c r="AQ2372" s="3"/>
      <c r="AR2372" s="3"/>
      <c r="AS2372" s="3"/>
    </row>
    <row r="2373" spans="1:45" ht="15">
      <c r="A2373"/>
      <c r="J2373"/>
      <c r="AA2373"/>
      <c r="AB2373"/>
      <c r="AC2373"/>
      <c r="AD2373"/>
      <c r="AE2373"/>
      <c r="AF2373"/>
      <c r="AG2373"/>
      <c r="AH2373"/>
      <c r="AO2373" s="2"/>
      <c r="AP2373" s="3"/>
      <c r="AQ2373" s="3"/>
      <c r="AR2373" s="3"/>
      <c r="AS2373" s="3"/>
    </row>
    <row r="2374" spans="1:45" ht="15">
      <c r="A2374"/>
      <c r="J2374"/>
      <c r="AA2374"/>
      <c r="AB2374"/>
      <c r="AC2374"/>
      <c r="AD2374"/>
      <c r="AE2374"/>
      <c r="AF2374"/>
      <c r="AG2374"/>
      <c r="AH2374"/>
      <c r="AO2374" s="2"/>
      <c r="AP2374" s="3"/>
      <c r="AQ2374" s="3"/>
      <c r="AR2374" s="3"/>
      <c r="AS2374" s="3"/>
    </row>
    <row r="2375" spans="1:45" ht="15">
      <c r="A2375"/>
      <c r="J2375"/>
      <c r="AA2375"/>
      <c r="AB2375"/>
      <c r="AC2375"/>
      <c r="AD2375"/>
      <c r="AE2375"/>
      <c r="AF2375"/>
      <c r="AG2375"/>
      <c r="AH2375"/>
      <c r="AO2375" s="2"/>
      <c r="AP2375" s="3"/>
      <c r="AQ2375" s="3"/>
      <c r="AR2375" s="3"/>
      <c r="AS2375" s="3"/>
    </row>
    <row r="2376" spans="1:45" ht="15">
      <c r="A2376"/>
      <c r="J2376"/>
      <c r="AA2376"/>
      <c r="AB2376"/>
      <c r="AC2376"/>
      <c r="AD2376"/>
      <c r="AE2376"/>
      <c r="AF2376"/>
      <c r="AG2376"/>
      <c r="AH2376"/>
      <c r="AO2376" s="2"/>
      <c r="AP2376" s="3"/>
      <c r="AQ2376" s="3"/>
      <c r="AR2376" s="3"/>
      <c r="AS2376" s="3"/>
    </row>
    <row r="2377" spans="1:45" ht="15">
      <c r="A2377"/>
      <c r="J2377"/>
      <c r="AA2377"/>
      <c r="AB2377"/>
      <c r="AC2377"/>
      <c r="AD2377"/>
      <c r="AE2377"/>
      <c r="AF2377"/>
      <c r="AG2377"/>
      <c r="AH2377"/>
      <c r="AO2377" s="2"/>
      <c r="AP2377" s="3"/>
      <c r="AQ2377" s="3"/>
      <c r="AR2377" s="3"/>
      <c r="AS2377" s="3"/>
    </row>
    <row r="2378" spans="1:45" ht="15">
      <c r="A2378"/>
      <c r="J2378"/>
      <c r="AA2378"/>
      <c r="AB2378"/>
      <c r="AC2378"/>
      <c r="AD2378"/>
      <c r="AE2378"/>
      <c r="AF2378"/>
      <c r="AG2378"/>
      <c r="AH2378"/>
      <c r="AO2378" s="2"/>
      <c r="AP2378" s="3"/>
      <c r="AQ2378" s="3"/>
      <c r="AR2378" s="3"/>
      <c r="AS2378" s="3"/>
    </row>
    <row r="2379" spans="1:45" ht="15">
      <c r="A2379"/>
      <c r="J2379"/>
      <c r="AA2379"/>
      <c r="AB2379"/>
      <c r="AC2379"/>
      <c r="AD2379"/>
      <c r="AE2379"/>
      <c r="AF2379"/>
      <c r="AG2379"/>
      <c r="AH2379"/>
      <c r="AO2379" s="2"/>
      <c r="AP2379" s="3"/>
      <c r="AQ2379" s="3"/>
      <c r="AR2379" s="3"/>
      <c r="AS2379" s="3"/>
    </row>
    <row r="2380" spans="1:45" ht="15">
      <c r="A2380"/>
      <c r="J2380"/>
      <c r="AA2380"/>
      <c r="AB2380"/>
      <c r="AC2380"/>
      <c r="AD2380"/>
      <c r="AE2380"/>
      <c r="AF2380"/>
      <c r="AG2380"/>
      <c r="AH2380"/>
      <c r="AO2380" s="2"/>
      <c r="AP2380" s="3"/>
      <c r="AQ2380" s="3"/>
      <c r="AR2380" s="3"/>
      <c r="AS2380" s="3"/>
    </row>
    <row r="2381" spans="1:45" ht="15">
      <c r="A2381"/>
      <c r="J2381"/>
      <c r="AA2381"/>
      <c r="AB2381"/>
      <c r="AC2381"/>
      <c r="AD2381"/>
      <c r="AE2381"/>
      <c r="AF2381"/>
      <c r="AG2381"/>
      <c r="AH2381"/>
      <c r="AO2381" s="2"/>
      <c r="AP2381" s="3"/>
      <c r="AQ2381" s="3"/>
      <c r="AR2381" s="3"/>
      <c r="AS2381" s="3"/>
    </row>
    <row r="2382" spans="1:45" ht="15">
      <c r="A2382"/>
      <c r="J2382"/>
      <c r="AA2382"/>
      <c r="AB2382"/>
      <c r="AC2382"/>
      <c r="AD2382"/>
      <c r="AE2382"/>
      <c r="AF2382"/>
      <c r="AG2382"/>
      <c r="AH2382"/>
      <c r="AO2382" s="2"/>
      <c r="AP2382" s="3"/>
      <c r="AQ2382" s="3"/>
      <c r="AR2382" s="3"/>
      <c r="AS2382" s="3"/>
    </row>
    <row r="2383" spans="1:45" ht="15">
      <c r="A2383"/>
      <c r="J2383"/>
      <c r="AA2383"/>
      <c r="AB2383"/>
      <c r="AC2383"/>
      <c r="AD2383"/>
      <c r="AE2383"/>
      <c r="AF2383"/>
      <c r="AG2383"/>
      <c r="AH2383"/>
      <c r="AO2383" s="2"/>
      <c r="AP2383" s="3"/>
      <c r="AQ2383" s="3"/>
      <c r="AR2383" s="3"/>
      <c r="AS2383" s="3"/>
    </row>
    <row r="2384" spans="1:45" ht="15">
      <c r="A2384"/>
      <c r="J2384"/>
      <c r="AA2384"/>
      <c r="AB2384"/>
      <c r="AC2384"/>
      <c r="AD2384"/>
      <c r="AE2384"/>
      <c r="AF2384"/>
      <c r="AG2384"/>
      <c r="AH2384"/>
      <c r="AO2384" s="2"/>
      <c r="AP2384" s="3"/>
      <c r="AQ2384" s="3"/>
      <c r="AR2384" s="3"/>
      <c r="AS2384" s="3"/>
    </row>
    <row r="2385" spans="1:45" ht="15">
      <c r="A2385"/>
      <c r="J2385"/>
      <c r="AA2385"/>
      <c r="AB2385"/>
      <c r="AC2385"/>
      <c r="AD2385"/>
      <c r="AE2385"/>
      <c r="AF2385"/>
      <c r="AG2385"/>
      <c r="AH2385"/>
      <c r="AO2385" s="2"/>
      <c r="AP2385" s="3"/>
      <c r="AQ2385" s="3"/>
      <c r="AR2385" s="3"/>
      <c r="AS2385" s="3"/>
    </row>
    <row r="2386" spans="1:45" ht="15">
      <c r="A2386"/>
      <c r="J2386"/>
      <c r="AA2386"/>
      <c r="AB2386"/>
      <c r="AC2386"/>
      <c r="AD2386"/>
      <c r="AE2386"/>
      <c r="AF2386"/>
      <c r="AG2386"/>
      <c r="AH2386"/>
      <c r="AO2386" s="2"/>
      <c r="AP2386" s="3"/>
      <c r="AQ2386" s="3"/>
      <c r="AR2386" s="3"/>
      <c r="AS2386" s="3"/>
    </row>
    <row r="2387" spans="1:45" ht="15">
      <c r="A2387"/>
      <c r="J2387"/>
      <c r="AA2387"/>
      <c r="AB2387"/>
      <c r="AC2387"/>
      <c r="AD2387"/>
      <c r="AE2387"/>
      <c r="AF2387"/>
      <c r="AG2387"/>
      <c r="AH2387"/>
      <c r="AO2387" s="2"/>
      <c r="AP2387" s="3"/>
      <c r="AQ2387" s="3"/>
      <c r="AR2387" s="3"/>
      <c r="AS2387" s="3"/>
    </row>
    <row r="2388" spans="1:45" ht="15">
      <c r="A2388"/>
      <c r="J2388"/>
      <c r="AA2388"/>
      <c r="AB2388"/>
      <c r="AC2388"/>
      <c r="AD2388"/>
      <c r="AE2388"/>
      <c r="AF2388"/>
      <c r="AG2388"/>
      <c r="AH2388"/>
      <c r="AO2388" s="2"/>
      <c r="AP2388" s="3"/>
      <c r="AQ2388" s="3"/>
      <c r="AR2388" s="3"/>
      <c r="AS2388" s="3"/>
    </row>
    <row r="2389" spans="1:45" ht="15">
      <c r="A2389"/>
      <c r="J2389"/>
      <c r="AA2389"/>
      <c r="AB2389"/>
      <c r="AC2389"/>
      <c r="AD2389"/>
      <c r="AE2389"/>
      <c r="AF2389"/>
      <c r="AG2389"/>
      <c r="AH2389"/>
      <c r="AO2389" s="2"/>
      <c r="AP2389" s="3"/>
      <c r="AQ2389" s="3"/>
      <c r="AR2389" s="3"/>
      <c r="AS2389" s="3"/>
    </row>
    <row r="2390" spans="1:45" ht="15">
      <c r="A2390"/>
      <c r="J2390"/>
      <c r="AA2390"/>
      <c r="AB2390"/>
      <c r="AC2390"/>
      <c r="AD2390"/>
      <c r="AE2390"/>
      <c r="AF2390"/>
      <c r="AG2390"/>
      <c r="AH2390"/>
      <c r="AO2390" s="2"/>
      <c r="AP2390" s="3"/>
      <c r="AQ2390" s="3"/>
      <c r="AR2390" s="3"/>
      <c r="AS2390" s="3"/>
    </row>
    <row r="2391" spans="1:45" ht="15">
      <c r="A2391"/>
      <c r="J2391"/>
      <c r="AA2391"/>
      <c r="AB2391"/>
      <c r="AC2391"/>
      <c r="AD2391"/>
      <c r="AE2391"/>
      <c r="AF2391"/>
      <c r="AG2391"/>
      <c r="AH2391"/>
      <c r="AO2391" s="2"/>
      <c r="AP2391" s="3"/>
      <c r="AQ2391" s="3"/>
      <c r="AR2391" s="3"/>
      <c r="AS2391" s="3"/>
    </row>
    <row r="2392" spans="1:45" ht="15">
      <c r="A2392"/>
      <c r="J2392"/>
      <c r="AA2392"/>
      <c r="AB2392"/>
      <c r="AC2392"/>
      <c r="AD2392"/>
      <c r="AE2392"/>
      <c r="AF2392"/>
      <c r="AG2392"/>
      <c r="AH2392"/>
      <c r="AO2392" s="2"/>
      <c r="AP2392" s="3"/>
      <c r="AQ2392" s="3"/>
      <c r="AR2392" s="3"/>
      <c r="AS2392" s="3"/>
    </row>
    <row r="2393" spans="1:45" ht="15">
      <c r="A2393"/>
      <c r="J2393"/>
      <c r="AA2393"/>
      <c r="AB2393"/>
      <c r="AC2393"/>
      <c r="AD2393"/>
      <c r="AE2393"/>
      <c r="AF2393"/>
      <c r="AG2393"/>
      <c r="AH2393"/>
      <c r="AO2393" s="2"/>
      <c r="AP2393" s="3"/>
      <c r="AQ2393" s="3"/>
      <c r="AR2393" s="3"/>
      <c r="AS2393" s="3"/>
    </row>
    <row r="2394" spans="1:45" ht="15">
      <c r="A2394"/>
      <c r="J2394"/>
      <c r="AA2394"/>
      <c r="AB2394"/>
      <c r="AC2394"/>
      <c r="AD2394"/>
      <c r="AE2394"/>
      <c r="AF2394"/>
      <c r="AG2394"/>
      <c r="AH2394"/>
      <c r="AO2394" s="2"/>
      <c r="AP2394" s="3"/>
      <c r="AQ2394" s="3"/>
      <c r="AR2394" s="3"/>
      <c r="AS2394" s="3"/>
    </row>
    <row r="2395" spans="1:45" ht="15">
      <c r="A2395"/>
      <c r="J2395"/>
      <c r="AA2395"/>
      <c r="AB2395"/>
      <c r="AC2395"/>
      <c r="AD2395"/>
      <c r="AE2395"/>
      <c r="AF2395"/>
      <c r="AG2395"/>
      <c r="AH2395"/>
      <c r="AO2395" s="2"/>
      <c r="AP2395" s="3"/>
      <c r="AQ2395" s="3"/>
      <c r="AR2395" s="3"/>
      <c r="AS2395" s="3"/>
    </row>
    <row r="2396" spans="1:45" ht="15">
      <c r="A2396"/>
      <c r="J2396"/>
      <c r="AA2396"/>
      <c r="AB2396"/>
      <c r="AC2396"/>
      <c r="AD2396"/>
      <c r="AE2396"/>
      <c r="AF2396"/>
      <c r="AG2396"/>
      <c r="AH2396"/>
      <c r="AO2396" s="2"/>
      <c r="AP2396" s="3"/>
      <c r="AQ2396" s="3"/>
      <c r="AR2396" s="3"/>
      <c r="AS2396" s="3"/>
    </row>
    <row r="2397" spans="1:45" ht="15">
      <c r="A2397"/>
      <c r="J2397"/>
      <c r="AA2397"/>
      <c r="AB2397"/>
      <c r="AC2397"/>
      <c r="AD2397"/>
      <c r="AE2397"/>
      <c r="AF2397"/>
      <c r="AG2397"/>
      <c r="AH2397"/>
      <c r="AO2397" s="2"/>
      <c r="AP2397" s="3"/>
      <c r="AQ2397" s="3"/>
      <c r="AR2397" s="3"/>
      <c r="AS2397" s="3"/>
    </row>
    <row r="2398" spans="1:45" ht="15">
      <c r="A2398"/>
      <c r="J2398"/>
      <c r="AA2398"/>
      <c r="AB2398"/>
      <c r="AC2398"/>
      <c r="AD2398"/>
      <c r="AE2398"/>
      <c r="AF2398"/>
      <c r="AG2398"/>
      <c r="AH2398"/>
      <c r="AO2398" s="2"/>
      <c r="AP2398" s="3"/>
      <c r="AQ2398" s="3"/>
      <c r="AR2398" s="3"/>
      <c r="AS2398" s="3"/>
    </row>
    <row r="2399" spans="1:45" ht="15">
      <c r="A2399"/>
      <c r="J2399"/>
      <c r="AA2399"/>
      <c r="AB2399"/>
      <c r="AC2399"/>
      <c r="AD2399"/>
      <c r="AE2399"/>
      <c r="AF2399"/>
      <c r="AG2399"/>
      <c r="AH2399"/>
      <c r="AO2399" s="2"/>
      <c r="AP2399" s="3"/>
      <c r="AQ2399" s="3"/>
      <c r="AR2399" s="3"/>
      <c r="AS2399" s="3"/>
    </row>
    <row r="2400" spans="1:45" ht="15">
      <c r="A2400"/>
      <c r="J2400"/>
      <c r="AA2400"/>
      <c r="AB2400"/>
      <c r="AC2400"/>
      <c r="AD2400"/>
      <c r="AE2400"/>
      <c r="AF2400"/>
      <c r="AG2400"/>
      <c r="AH2400"/>
      <c r="AO2400" s="2"/>
      <c r="AP2400" s="3"/>
      <c r="AQ2400" s="3"/>
      <c r="AR2400" s="3"/>
      <c r="AS2400" s="3"/>
    </row>
    <row r="2401" spans="1:45" ht="15">
      <c r="A2401"/>
      <c r="J2401"/>
      <c r="AA2401"/>
      <c r="AB2401"/>
      <c r="AC2401"/>
      <c r="AD2401"/>
      <c r="AE2401"/>
      <c r="AF2401"/>
      <c r="AG2401"/>
      <c r="AH2401"/>
      <c r="AO2401" s="2"/>
      <c r="AP2401" s="3"/>
      <c r="AQ2401" s="3"/>
      <c r="AR2401" s="3"/>
      <c r="AS2401" s="3"/>
    </row>
    <row r="2402" spans="1:45" ht="15">
      <c r="A2402"/>
      <c r="J2402"/>
      <c r="AA2402"/>
      <c r="AB2402"/>
      <c r="AC2402"/>
      <c r="AD2402"/>
      <c r="AE2402"/>
      <c r="AF2402"/>
      <c r="AG2402"/>
      <c r="AH2402"/>
      <c r="AO2402" s="2"/>
      <c r="AP2402" s="3"/>
      <c r="AQ2402" s="3"/>
      <c r="AR2402" s="3"/>
      <c r="AS2402" s="3"/>
    </row>
    <row r="2403" spans="1:45" ht="15">
      <c r="A2403"/>
      <c r="J2403"/>
      <c r="AA2403"/>
      <c r="AB2403"/>
      <c r="AC2403"/>
      <c r="AD2403"/>
      <c r="AE2403"/>
      <c r="AF2403"/>
      <c r="AG2403"/>
      <c r="AH2403"/>
      <c r="AO2403" s="2"/>
      <c r="AP2403" s="3"/>
      <c r="AQ2403" s="3"/>
      <c r="AR2403" s="3"/>
      <c r="AS2403" s="3"/>
    </row>
    <row r="2404" spans="1:45" ht="15">
      <c r="A2404"/>
      <c r="J2404"/>
      <c r="AA2404"/>
      <c r="AB2404"/>
      <c r="AC2404"/>
      <c r="AD2404"/>
      <c r="AE2404"/>
      <c r="AF2404"/>
      <c r="AG2404"/>
      <c r="AH2404"/>
      <c r="AO2404" s="2"/>
      <c r="AP2404" s="3"/>
      <c r="AQ2404" s="3"/>
      <c r="AR2404" s="3"/>
      <c r="AS2404" s="3"/>
    </row>
    <row r="2405" spans="1:45" ht="15">
      <c r="A2405"/>
      <c r="J2405"/>
      <c r="AA2405"/>
      <c r="AB2405"/>
      <c r="AC2405"/>
      <c r="AD2405"/>
      <c r="AE2405"/>
      <c r="AF2405"/>
      <c r="AG2405"/>
      <c r="AH2405"/>
      <c r="AO2405" s="2"/>
      <c r="AP2405" s="3"/>
      <c r="AQ2405" s="3"/>
      <c r="AR2405" s="3"/>
      <c r="AS2405" s="3"/>
    </row>
    <row r="2406" spans="1:45" ht="15">
      <c r="A2406"/>
      <c r="J2406"/>
      <c r="AA2406"/>
      <c r="AB2406"/>
      <c r="AC2406"/>
      <c r="AD2406"/>
      <c r="AE2406"/>
      <c r="AF2406"/>
      <c r="AG2406"/>
      <c r="AH2406"/>
      <c r="AO2406" s="2"/>
      <c r="AP2406" s="3"/>
      <c r="AQ2406" s="3"/>
      <c r="AR2406" s="3"/>
      <c r="AS2406" s="3"/>
    </row>
    <row r="2407" spans="1:45" ht="15">
      <c r="A2407"/>
      <c r="J2407"/>
      <c r="AA2407"/>
      <c r="AB2407"/>
      <c r="AC2407"/>
      <c r="AD2407"/>
      <c r="AE2407"/>
      <c r="AF2407"/>
      <c r="AG2407"/>
      <c r="AH2407"/>
      <c r="AO2407" s="2"/>
      <c r="AP2407" s="3"/>
      <c r="AQ2407" s="3"/>
      <c r="AR2407" s="3"/>
      <c r="AS2407" s="3"/>
    </row>
    <row r="2408" spans="1:45" ht="15">
      <c r="A2408"/>
      <c r="J2408"/>
      <c r="AA2408"/>
      <c r="AB2408"/>
      <c r="AC2408"/>
      <c r="AD2408"/>
      <c r="AE2408"/>
      <c r="AF2408"/>
      <c r="AG2408"/>
      <c r="AH2408"/>
      <c r="AO2408" s="2"/>
      <c r="AP2408" s="3"/>
      <c r="AQ2408" s="3"/>
      <c r="AR2408" s="3"/>
      <c r="AS2408" s="3"/>
    </row>
    <row r="2409" spans="1:45" ht="15">
      <c r="A2409"/>
      <c r="J2409"/>
      <c r="AA2409"/>
      <c r="AB2409"/>
      <c r="AC2409"/>
      <c r="AD2409"/>
      <c r="AE2409"/>
      <c r="AF2409"/>
      <c r="AG2409"/>
      <c r="AH2409"/>
      <c r="AO2409" s="2"/>
      <c r="AP2409" s="3"/>
      <c r="AQ2409" s="3"/>
      <c r="AR2409" s="3"/>
      <c r="AS2409" s="3"/>
    </row>
    <row r="2410" spans="1:45" ht="15">
      <c r="A2410"/>
      <c r="J2410"/>
      <c r="AA2410"/>
      <c r="AB2410"/>
      <c r="AC2410"/>
      <c r="AD2410"/>
      <c r="AE2410"/>
      <c r="AF2410"/>
      <c r="AG2410"/>
      <c r="AH2410"/>
      <c r="AO2410" s="2"/>
      <c r="AP2410" s="3"/>
      <c r="AQ2410" s="3"/>
      <c r="AR2410" s="3"/>
      <c r="AS2410" s="3"/>
    </row>
    <row r="2411" spans="1:45" ht="15">
      <c r="A2411"/>
      <c r="J2411"/>
      <c r="AA2411"/>
      <c r="AB2411"/>
      <c r="AC2411"/>
      <c r="AD2411"/>
      <c r="AE2411"/>
      <c r="AF2411"/>
      <c r="AG2411"/>
      <c r="AH2411"/>
      <c r="AO2411" s="2"/>
      <c r="AP2411" s="3"/>
      <c r="AQ2411" s="3"/>
      <c r="AR2411" s="3"/>
      <c r="AS2411" s="3"/>
    </row>
    <row r="2412" spans="1:45" ht="15">
      <c r="A2412"/>
      <c r="J2412"/>
      <c r="AA2412"/>
      <c r="AB2412"/>
      <c r="AC2412"/>
      <c r="AD2412"/>
      <c r="AE2412"/>
      <c r="AF2412"/>
      <c r="AG2412"/>
      <c r="AH2412"/>
      <c r="AO2412" s="2"/>
      <c r="AP2412" s="3"/>
      <c r="AQ2412" s="3"/>
      <c r="AR2412" s="3"/>
      <c r="AS2412" s="3"/>
    </row>
    <row r="2413" spans="1:45" ht="15">
      <c r="A2413"/>
      <c r="J2413"/>
      <c r="AA2413"/>
      <c r="AB2413"/>
      <c r="AC2413"/>
      <c r="AD2413"/>
      <c r="AE2413"/>
      <c r="AF2413"/>
      <c r="AG2413"/>
      <c r="AH2413"/>
      <c r="AO2413" s="2"/>
      <c r="AP2413" s="3"/>
      <c r="AQ2413" s="3"/>
      <c r="AR2413" s="3"/>
      <c r="AS2413" s="3"/>
    </row>
    <row r="2414" spans="1:45" ht="15">
      <c r="A2414"/>
      <c r="J2414"/>
      <c r="AA2414"/>
      <c r="AB2414"/>
      <c r="AC2414"/>
      <c r="AD2414"/>
      <c r="AE2414"/>
      <c r="AF2414"/>
      <c r="AG2414"/>
      <c r="AH2414"/>
      <c r="AO2414" s="2"/>
      <c r="AP2414" s="3"/>
      <c r="AQ2414" s="3"/>
      <c r="AR2414" s="3"/>
      <c r="AS2414" s="3"/>
    </row>
    <row r="2415" spans="1:45" ht="15">
      <c r="A2415"/>
      <c r="J2415"/>
      <c r="AA2415"/>
      <c r="AB2415"/>
      <c r="AC2415"/>
      <c r="AD2415"/>
      <c r="AE2415"/>
      <c r="AF2415"/>
      <c r="AG2415"/>
      <c r="AH2415"/>
      <c r="AO2415" s="2"/>
      <c r="AP2415" s="3"/>
      <c r="AQ2415" s="3"/>
      <c r="AR2415" s="3"/>
      <c r="AS2415" s="3"/>
    </row>
    <row r="2416" spans="1:45" ht="15">
      <c r="A2416"/>
      <c r="J2416"/>
      <c r="AA2416"/>
      <c r="AB2416"/>
      <c r="AC2416"/>
      <c r="AD2416"/>
      <c r="AE2416"/>
      <c r="AF2416"/>
      <c r="AG2416"/>
      <c r="AH2416"/>
      <c r="AO2416" s="2"/>
      <c r="AP2416" s="3"/>
      <c r="AQ2416" s="3"/>
      <c r="AR2416" s="3"/>
      <c r="AS2416" s="3"/>
    </row>
    <row r="2417" spans="1:45" ht="15">
      <c r="A2417"/>
      <c r="J2417"/>
      <c r="AA2417"/>
      <c r="AB2417"/>
      <c r="AC2417"/>
      <c r="AD2417"/>
      <c r="AE2417"/>
      <c r="AF2417"/>
      <c r="AG2417"/>
      <c r="AH2417"/>
      <c r="AO2417" s="2"/>
      <c r="AP2417" s="3"/>
      <c r="AQ2417" s="3"/>
      <c r="AR2417" s="3"/>
      <c r="AS2417" s="3"/>
    </row>
    <row r="2418" spans="1:45" ht="15">
      <c r="A2418"/>
      <c r="J2418"/>
      <c r="AA2418"/>
      <c r="AB2418"/>
      <c r="AC2418"/>
      <c r="AD2418"/>
      <c r="AE2418"/>
      <c r="AF2418"/>
      <c r="AG2418"/>
      <c r="AH2418"/>
      <c r="AO2418" s="2"/>
      <c r="AP2418" s="3"/>
      <c r="AQ2418" s="3"/>
      <c r="AR2418" s="3"/>
      <c r="AS2418" s="3"/>
    </row>
    <row r="2419" spans="1:45" ht="15">
      <c r="A2419"/>
      <c r="J2419"/>
      <c r="AA2419"/>
      <c r="AB2419"/>
      <c r="AC2419"/>
      <c r="AD2419"/>
      <c r="AE2419"/>
      <c r="AF2419"/>
      <c r="AG2419"/>
      <c r="AH2419"/>
      <c r="AO2419" s="2"/>
      <c r="AP2419" s="3"/>
      <c r="AQ2419" s="3"/>
      <c r="AR2419" s="3"/>
      <c r="AS2419" s="3"/>
    </row>
    <row r="2420" spans="1:45" ht="15">
      <c r="A2420"/>
      <c r="J2420"/>
      <c r="AA2420"/>
      <c r="AB2420"/>
      <c r="AC2420"/>
      <c r="AD2420"/>
      <c r="AE2420"/>
      <c r="AF2420"/>
      <c r="AG2420"/>
      <c r="AH2420"/>
      <c r="AO2420" s="2"/>
      <c r="AP2420" s="3"/>
      <c r="AQ2420" s="3"/>
      <c r="AR2420" s="3"/>
      <c r="AS2420" s="3"/>
    </row>
    <row r="2421" spans="1:45" ht="15">
      <c r="A2421"/>
      <c r="J2421"/>
      <c r="AA2421"/>
      <c r="AB2421"/>
      <c r="AC2421"/>
      <c r="AD2421"/>
      <c r="AE2421"/>
      <c r="AF2421"/>
      <c r="AG2421"/>
      <c r="AH2421"/>
      <c r="AO2421" s="2"/>
      <c r="AP2421" s="3"/>
      <c r="AQ2421" s="3"/>
      <c r="AR2421" s="3"/>
      <c r="AS2421" s="3"/>
    </row>
    <row r="2422" spans="1:45" ht="15">
      <c r="A2422"/>
      <c r="J2422"/>
      <c r="AA2422"/>
      <c r="AB2422"/>
      <c r="AC2422"/>
      <c r="AD2422"/>
      <c r="AE2422"/>
      <c r="AF2422"/>
      <c r="AG2422"/>
      <c r="AH2422"/>
      <c r="AO2422" s="2"/>
      <c r="AP2422" s="3"/>
      <c r="AQ2422" s="3"/>
      <c r="AR2422" s="3"/>
      <c r="AS2422" s="3"/>
    </row>
    <row r="2423" spans="1:45" ht="15">
      <c r="A2423"/>
      <c r="J2423"/>
      <c r="AA2423"/>
      <c r="AB2423"/>
      <c r="AC2423"/>
      <c r="AD2423"/>
      <c r="AE2423"/>
      <c r="AF2423"/>
      <c r="AG2423"/>
      <c r="AH2423"/>
      <c r="AO2423" s="2"/>
      <c r="AP2423" s="3"/>
      <c r="AQ2423" s="3"/>
      <c r="AR2423" s="3"/>
      <c r="AS2423" s="3"/>
    </row>
    <row r="2424" spans="1:45" ht="15">
      <c r="A2424"/>
      <c r="J2424"/>
      <c r="AA2424"/>
      <c r="AB2424"/>
      <c r="AC2424"/>
      <c r="AD2424"/>
      <c r="AE2424"/>
      <c r="AF2424"/>
      <c r="AG2424"/>
      <c r="AH2424"/>
      <c r="AO2424" s="2"/>
      <c r="AP2424" s="3"/>
      <c r="AQ2424" s="3"/>
      <c r="AR2424" s="3"/>
      <c r="AS2424" s="3"/>
    </row>
    <row r="2425" spans="1:45" ht="15">
      <c r="A2425"/>
      <c r="J2425"/>
      <c r="AA2425"/>
      <c r="AB2425"/>
      <c r="AC2425"/>
      <c r="AD2425"/>
      <c r="AE2425"/>
      <c r="AF2425"/>
      <c r="AG2425"/>
      <c r="AH2425"/>
      <c r="AO2425" s="2"/>
      <c r="AP2425" s="3"/>
      <c r="AQ2425" s="3"/>
      <c r="AR2425" s="3"/>
      <c r="AS2425" s="3"/>
    </row>
    <row r="2426" spans="1:45" ht="15">
      <c r="A2426"/>
      <c r="J2426"/>
      <c r="AA2426"/>
      <c r="AB2426"/>
      <c r="AC2426"/>
      <c r="AD2426"/>
      <c r="AE2426"/>
      <c r="AF2426"/>
      <c r="AG2426"/>
      <c r="AH2426"/>
      <c r="AO2426" s="2"/>
      <c r="AP2426" s="3"/>
      <c r="AQ2426" s="3"/>
      <c r="AR2426" s="3"/>
      <c r="AS2426" s="3"/>
    </row>
    <row r="2427" spans="1:45" ht="15">
      <c r="A2427"/>
      <c r="J2427"/>
      <c r="AA2427"/>
      <c r="AB2427"/>
      <c r="AC2427"/>
      <c r="AD2427"/>
      <c r="AE2427"/>
      <c r="AF2427"/>
      <c r="AG2427"/>
      <c r="AH2427"/>
      <c r="AO2427" s="2"/>
      <c r="AP2427" s="3"/>
      <c r="AQ2427" s="3"/>
      <c r="AR2427" s="3"/>
      <c r="AS2427" s="3"/>
    </row>
    <row r="2428" spans="1:45" ht="15">
      <c r="A2428"/>
      <c r="J2428"/>
      <c r="AA2428"/>
      <c r="AB2428"/>
      <c r="AC2428"/>
      <c r="AD2428"/>
      <c r="AE2428"/>
      <c r="AF2428"/>
      <c r="AG2428"/>
      <c r="AH2428"/>
      <c r="AO2428" s="2"/>
      <c r="AP2428" s="3"/>
      <c r="AQ2428" s="3"/>
      <c r="AR2428" s="3"/>
      <c r="AS2428" s="3"/>
    </row>
    <row r="2429" spans="1:45" ht="15">
      <c r="A2429"/>
      <c r="J2429"/>
      <c r="AA2429"/>
      <c r="AB2429"/>
      <c r="AC2429"/>
      <c r="AD2429"/>
      <c r="AE2429"/>
      <c r="AF2429"/>
      <c r="AG2429"/>
      <c r="AH2429"/>
      <c r="AO2429" s="2"/>
      <c r="AP2429" s="3"/>
      <c r="AQ2429" s="3"/>
      <c r="AR2429" s="3"/>
      <c r="AS2429" s="3"/>
    </row>
    <row r="2430" spans="1:45" ht="15">
      <c r="A2430"/>
      <c r="J2430"/>
      <c r="AA2430"/>
      <c r="AB2430"/>
      <c r="AC2430"/>
      <c r="AD2430"/>
      <c r="AE2430"/>
      <c r="AF2430"/>
      <c r="AG2430"/>
      <c r="AH2430"/>
      <c r="AO2430" s="2"/>
      <c r="AP2430" s="3"/>
      <c r="AQ2430" s="3"/>
      <c r="AR2430" s="3"/>
      <c r="AS2430" s="3"/>
    </row>
    <row r="2431" spans="1:45" ht="15">
      <c r="A2431"/>
      <c r="J2431"/>
      <c r="AA2431"/>
      <c r="AB2431"/>
      <c r="AC2431"/>
      <c r="AD2431"/>
      <c r="AE2431"/>
      <c r="AF2431"/>
      <c r="AG2431"/>
      <c r="AH2431"/>
      <c r="AO2431" s="2"/>
      <c r="AP2431" s="3"/>
      <c r="AQ2431" s="3"/>
      <c r="AR2431" s="3"/>
      <c r="AS2431" s="3"/>
    </row>
    <row r="2432" spans="1:45" ht="15">
      <c r="A2432"/>
      <c r="J2432"/>
      <c r="AA2432"/>
      <c r="AB2432"/>
      <c r="AC2432"/>
      <c r="AD2432"/>
      <c r="AE2432"/>
      <c r="AF2432"/>
      <c r="AG2432"/>
      <c r="AH2432"/>
      <c r="AO2432" s="2"/>
      <c r="AP2432" s="3"/>
      <c r="AQ2432" s="3"/>
      <c r="AR2432" s="3"/>
      <c r="AS2432" s="3"/>
    </row>
    <row r="2433" spans="1:45" ht="15">
      <c r="A2433"/>
      <c r="J2433"/>
      <c r="AA2433"/>
      <c r="AB2433"/>
      <c r="AC2433"/>
      <c r="AD2433"/>
      <c r="AE2433"/>
      <c r="AF2433"/>
      <c r="AG2433"/>
      <c r="AH2433"/>
      <c r="AO2433" s="2"/>
      <c r="AP2433" s="3"/>
      <c r="AQ2433" s="3"/>
      <c r="AR2433" s="3"/>
      <c r="AS2433" s="3"/>
    </row>
    <row r="2434" spans="1:45" ht="15">
      <c r="A2434"/>
      <c r="J2434"/>
      <c r="AA2434"/>
      <c r="AB2434"/>
      <c r="AC2434"/>
      <c r="AD2434"/>
      <c r="AE2434"/>
      <c r="AF2434"/>
      <c r="AG2434"/>
      <c r="AH2434"/>
      <c r="AO2434" s="2"/>
      <c r="AP2434" s="3"/>
      <c r="AQ2434" s="3"/>
      <c r="AR2434" s="3"/>
      <c r="AS2434" s="3"/>
    </row>
    <row r="2435" spans="1:45" ht="15">
      <c r="A2435"/>
      <c r="J2435"/>
      <c r="AA2435"/>
      <c r="AB2435"/>
      <c r="AC2435"/>
      <c r="AD2435"/>
      <c r="AE2435"/>
      <c r="AF2435"/>
      <c r="AG2435"/>
      <c r="AH2435"/>
      <c r="AO2435" s="2"/>
      <c r="AP2435" s="3"/>
      <c r="AQ2435" s="3"/>
      <c r="AR2435" s="3"/>
      <c r="AS2435" s="3"/>
    </row>
    <row r="2436" spans="1:45" ht="15">
      <c r="A2436"/>
      <c r="J2436"/>
      <c r="AA2436"/>
      <c r="AB2436"/>
      <c r="AC2436"/>
      <c r="AD2436"/>
      <c r="AE2436"/>
      <c r="AF2436"/>
      <c r="AG2436"/>
      <c r="AH2436"/>
      <c r="AO2436" s="2"/>
      <c r="AP2436" s="3"/>
      <c r="AQ2436" s="3"/>
      <c r="AR2436" s="3"/>
      <c r="AS2436" s="3"/>
    </row>
    <row r="2437" spans="1:45" ht="15">
      <c r="A2437"/>
      <c r="J2437"/>
      <c r="AA2437"/>
      <c r="AB2437"/>
      <c r="AC2437"/>
      <c r="AD2437"/>
      <c r="AE2437"/>
      <c r="AF2437"/>
      <c r="AG2437"/>
      <c r="AH2437"/>
      <c r="AO2437" s="2"/>
      <c r="AP2437" s="3"/>
      <c r="AQ2437" s="3"/>
      <c r="AR2437" s="3"/>
      <c r="AS2437" s="3"/>
    </row>
    <row r="2438" spans="1:45" ht="15">
      <c r="A2438"/>
      <c r="J2438"/>
      <c r="AA2438"/>
      <c r="AB2438"/>
      <c r="AC2438"/>
      <c r="AD2438"/>
      <c r="AE2438"/>
      <c r="AF2438"/>
      <c r="AG2438"/>
      <c r="AH2438"/>
      <c r="AO2438" s="2"/>
      <c r="AP2438" s="3"/>
      <c r="AQ2438" s="3"/>
      <c r="AR2438" s="3"/>
      <c r="AS2438" s="3"/>
    </row>
    <row r="2439" spans="1:45" ht="15">
      <c r="A2439"/>
      <c r="J2439"/>
      <c r="AA2439"/>
      <c r="AB2439"/>
      <c r="AC2439"/>
      <c r="AD2439"/>
      <c r="AE2439"/>
      <c r="AF2439"/>
      <c r="AG2439"/>
      <c r="AH2439"/>
      <c r="AO2439" s="2"/>
      <c r="AP2439" s="3"/>
      <c r="AQ2439" s="3"/>
      <c r="AR2439" s="3"/>
      <c r="AS2439" s="3"/>
    </row>
    <row r="2440" spans="1:45" ht="15">
      <c r="A2440"/>
      <c r="J2440"/>
      <c r="AA2440"/>
      <c r="AB2440"/>
      <c r="AC2440"/>
      <c r="AD2440"/>
      <c r="AE2440"/>
      <c r="AF2440"/>
      <c r="AG2440"/>
      <c r="AH2440"/>
      <c r="AO2440" s="2"/>
      <c r="AP2440" s="3"/>
      <c r="AQ2440" s="3"/>
      <c r="AR2440" s="3"/>
      <c r="AS2440" s="3"/>
    </row>
    <row r="2441" spans="1:45" ht="15">
      <c r="A2441"/>
      <c r="J2441"/>
      <c r="AA2441"/>
      <c r="AB2441"/>
      <c r="AC2441"/>
      <c r="AD2441"/>
      <c r="AE2441"/>
      <c r="AF2441"/>
      <c r="AG2441"/>
      <c r="AH2441"/>
      <c r="AO2441" s="2"/>
      <c r="AP2441" s="3"/>
      <c r="AQ2441" s="3"/>
      <c r="AR2441" s="3"/>
      <c r="AS2441" s="3"/>
    </row>
    <row r="2442" spans="1:45" ht="15">
      <c r="A2442"/>
      <c r="J2442"/>
      <c r="AA2442"/>
      <c r="AB2442"/>
      <c r="AC2442"/>
      <c r="AD2442"/>
      <c r="AE2442"/>
      <c r="AF2442"/>
      <c r="AG2442"/>
      <c r="AH2442"/>
      <c r="AO2442" s="2"/>
      <c r="AP2442" s="3"/>
      <c r="AQ2442" s="3"/>
      <c r="AR2442" s="3"/>
      <c r="AS2442" s="3"/>
    </row>
    <row r="2443" spans="1:45" ht="15">
      <c r="A2443"/>
      <c r="J2443"/>
      <c r="AA2443"/>
      <c r="AB2443"/>
      <c r="AC2443"/>
      <c r="AD2443"/>
      <c r="AE2443"/>
      <c r="AF2443"/>
      <c r="AG2443"/>
      <c r="AH2443"/>
      <c r="AO2443" s="2"/>
      <c r="AP2443" s="3"/>
      <c r="AQ2443" s="3"/>
      <c r="AR2443" s="3"/>
      <c r="AS2443" s="3"/>
    </row>
    <row r="2444" spans="1:45" ht="15">
      <c r="A2444"/>
      <c r="J2444"/>
      <c r="AA2444"/>
      <c r="AB2444"/>
      <c r="AC2444"/>
      <c r="AD2444"/>
      <c r="AE2444"/>
      <c r="AF2444"/>
      <c r="AG2444"/>
      <c r="AH2444"/>
      <c r="AO2444" s="2"/>
      <c r="AP2444" s="3"/>
      <c r="AQ2444" s="3"/>
      <c r="AR2444" s="3"/>
      <c r="AS2444" s="3"/>
    </row>
    <row r="2445" spans="1:45" ht="15">
      <c r="A2445"/>
      <c r="J2445"/>
      <c r="AA2445"/>
      <c r="AB2445"/>
      <c r="AC2445"/>
      <c r="AD2445"/>
      <c r="AE2445"/>
      <c r="AF2445"/>
      <c r="AG2445"/>
      <c r="AH2445"/>
      <c r="AO2445" s="2"/>
      <c r="AP2445" s="3"/>
      <c r="AQ2445" s="3"/>
      <c r="AR2445" s="3"/>
      <c r="AS2445" s="3"/>
    </row>
    <row r="2446" spans="1:45" ht="15">
      <c r="A2446"/>
      <c r="J2446"/>
      <c r="AA2446"/>
      <c r="AB2446"/>
      <c r="AC2446"/>
      <c r="AD2446"/>
      <c r="AE2446"/>
      <c r="AF2446"/>
      <c r="AG2446"/>
      <c r="AH2446"/>
      <c r="AO2446" s="2"/>
      <c r="AP2446" s="3"/>
      <c r="AQ2446" s="3"/>
      <c r="AR2446" s="3"/>
      <c r="AS2446" s="3"/>
    </row>
    <row r="2447" spans="1:45" ht="15">
      <c r="A2447"/>
      <c r="J2447"/>
      <c r="AA2447"/>
      <c r="AB2447"/>
      <c r="AC2447"/>
      <c r="AD2447"/>
      <c r="AE2447"/>
      <c r="AF2447"/>
      <c r="AG2447"/>
      <c r="AH2447"/>
      <c r="AO2447" s="2"/>
      <c r="AP2447" s="3"/>
      <c r="AQ2447" s="3"/>
      <c r="AR2447" s="3"/>
      <c r="AS2447" s="3"/>
    </row>
    <row r="2448" spans="1:45" ht="15">
      <c r="A2448"/>
      <c r="J2448"/>
      <c r="AA2448"/>
      <c r="AB2448"/>
      <c r="AC2448"/>
      <c r="AD2448"/>
      <c r="AE2448"/>
      <c r="AF2448"/>
      <c r="AG2448"/>
      <c r="AH2448"/>
      <c r="AO2448" s="2"/>
      <c r="AP2448" s="3"/>
      <c r="AQ2448" s="3"/>
      <c r="AR2448" s="3"/>
      <c r="AS2448" s="3"/>
    </row>
    <row r="2449" spans="1:45" ht="15">
      <c r="A2449"/>
      <c r="J2449"/>
      <c r="AA2449"/>
      <c r="AB2449"/>
      <c r="AC2449"/>
      <c r="AD2449"/>
      <c r="AE2449"/>
      <c r="AF2449"/>
      <c r="AG2449"/>
      <c r="AH2449"/>
      <c r="AO2449" s="2"/>
      <c r="AP2449" s="3"/>
      <c r="AQ2449" s="3"/>
      <c r="AR2449" s="3"/>
      <c r="AS2449" s="3"/>
    </row>
    <row r="2450" spans="1:45" ht="15">
      <c r="A2450"/>
      <c r="J2450"/>
      <c r="AA2450"/>
      <c r="AB2450"/>
      <c r="AC2450"/>
      <c r="AD2450"/>
      <c r="AE2450"/>
      <c r="AF2450"/>
      <c r="AG2450"/>
      <c r="AH2450"/>
      <c r="AO2450" s="2"/>
      <c r="AP2450" s="3"/>
      <c r="AQ2450" s="3"/>
      <c r="AR2450" s="3"/>
      <c r="AS2450" s="3"/>
    </row>
    <row r="2451" spans="1:45" ht="15">
      <c r="A2451"/>
      <c r="J2451"/>
      <c r="AA2451"/>
      <c r="AB2451"/>
      <c r="AC2451"/>
      <c r="AD2451"/>
      <c r="AE2451"/>
      <c r="AF2451"/>
      <c r="AG2451"/>
      <c r="AH2451"/>
      <c r="AO2451" s="2"/>
      <c r="AP2451" s="3"/>
      <c r="AQ2451" s="3"/>
      <c r="AR2451" s="3"/>
      <c r="AS2451" s="3"/>
    </row>
    <row r="2452" spans="1:45" ht="15">
      <c r="A2452"/>
      <c r="J2452"/>
      <c r="AA2452"/>
      <c r="AB2452"/>
      <c r="AC2452"/>
      <c r="AD2452"/>
      <c r="AE2452"/>
      <c r="AF2452"/>
      <c r="AG2452"/>
      <c r="AH2452"/>
      <c r="AO2452" s="2"/>
      <c r="AP2452" s="3"/>
      <c r="AQ2452" s="3"/>
      <c r="AR2452" s="3"/>
      <c r="AS2452" s="3"/>
    </row>
    <row r="2453" spans="1:45" ht="15">
      <c r="A2453"/>
      <c r="J2453"/>
      <c r="AA2453"/>
      <c r="AB2453"/>
      <c r="AC2453"/>
      <c r="AD2453"/>
      <c r="AE2453"/>
      <c r="AF2453"/>
      <c r="AG2453"/>
      <c r="AH2453"/>
      <c r="AO2453" s="2"/>
      <c r="AP2453" s="3"/>
      <c r="AQ2453" s="3"/>
      <c r="AR2453" s="3"/>
      <c r="AS2453" s="3"/>
    </row>
    <row r="2454" spans="1:45" ht="15">
      <c r="A2454"/>
      <c r="J2454"/>
      <c r="AA2454"/>
      <c r="AB2454"/>
      <c r="AC2454"/>
      <c r="AD2454"/>
      <c r="AE2454"/>
      <c r="AF2454"/>
      <c r="AG2454"/>
      <c r="AH2454"/>
      <c r="AO2454" s="2"/>
      <c r="AP2454" s="3"/>
      <c r="AQ2454" s="3"/>
      <c r="AR2454" s="3"/>
      <c r="AS2454" s="3"/>
    </row>
    <row r="2455" spans="1:45" ht="15">
      <c r="A2455"/>
      <c r="J2455"/>
      <c r="AA2455"/>
      <c r="AB2455"/>
      <c r="AC2455"/>
      <c r="AD2455"/>
      <c r="AE2455"/>
      <c r="AF2455"/>
      <c r="AG2455"/>
      <c r="AH2455"/>
      <c r="AO2455" s="2"/>
      <c r="AP2455" s="3"/>
      <c r="AQ2455" s="3"/>
      <c r="AR2455" s="3"/>
      <c r="AS2455" s="3"/>
    </row>
    <row r="2456" spans="1:45" ht="15">
      <c r="A2456"/>
      <c r="J2456"/>
      <c r="AA2456"/>
      <c r="AB2456"/>
      <c r="AC2456"/>
      <c r="AD2456"/>
      <c r="AE2456"/>
      <c r="AF2456"/>
      <c r="AG2456"/>
      <c r="AH2456"/>
      <c r="AO2456" s="2"/>
      <c r="AP2456" s="3"/>
      <c r="AQ2456" s="3"/>
      <c r="AR2456" s="3"/>
      <c r="AS2456" s="3"/>
    </row>
    <row r="2457" spans="1:45" ht="15">
      <c r="A2457"/>
      <c r="J2457"/>
      <c r="AA2457"/>
      <c r="AB2457"/>
      <c r="AC2457"/>
      <c r="AD2457"/>
      <c r="AE2457"/>
      <c r="AF2457"/>
      <c r="AG2457"/>
      <c r="AH2457"/>
      <c r="AO2457" s="2"/>
      <c r="AP2457" s="3"/>
      <c r="AQ2457" s="3"/>
      <c r="AR2457" s="3"/>
      <c r="AS2457" s="3"/>
    </row>
    <row r="2458" spans="1:45" ht="15">
      <c r="A2458"/>
      <c r="J2458"/>
      <c r="AA2458"/>
      <c r="AB2458"/>
      <c r="AC2458"/>
      <c r="AD2458"/>
      <c r="AE2458"/>
      <c r="AF2458"/>
      <c r="AG2458"/>
      <c r="AH2458"/>
      <c r="AO2458" s="2"/>
      <c r="AP2458" s="3"/>
      <c r="AQ2458" s="3"/>
      <c r="AR2458" s="3"/>
      <c r="AS2458" s="3"/>
    </row>
    <row r="2459" spans="1:45" ht="15">
      <c r="A2459"/>
      <c r="J2459"/>
      <c r="AA2459"/>
      <c r="AB2459"/>
      <c r="AC2459"/>
      <c r="AD2459"/>
      <c r="AE2459"/>
      <c r="AF2459"/>
      <c r="AG2459"/>
      <c r="AH2459"/>
      <c r="AO2459" s="2"/>
      <c r="AP2459" s="3"/>
      <c r="AQ2459" s="3"/>
      <c r="AR2459" s="3"/>
      <c r="AS2459" s="3"/>
    </row>
    <row r="2460" spans="1:45" ht="15">
      <c r="A2460"/>
      <c r="J2460"/>
      <c r="AA2460"/>
      <c r="AB2460"/>
      <c r="AC2460"/>
      <c r="AD2460"/>
      <c r="AE2460"/>
      <c r="AF2460"/>
      <c r="AG2460"/>
      <c r="AH2460"/>
      <c r="AO2460" s="2"/>
      <c r="AP2460" s="3"/>
      <c r="AQ2460" s="3"/>
      <c r="AR2460" s="3"/>
      <c r="AS2460" s="3"/>
    </row>
    <row r="2461" spans="1:45" ht="15">
      <c r="A2461"/>
      <c r="J2461"/>
      <c r="AA2461"/>
      <c r="AB2461"/>
      <c r="AC2461"/>
      <c r="AD2461"/>
      <c r="AE2461"/>
      <c r="AF2461"/>
      <c r="AG2461"/>
      <c r="AH2461"/>
      <c r="AO2461" s="2"/>
      <c r="AP2461" s="3"/>
      <c r="AQ2461" s="3"/>
      <c r="AR2461" s="3"/>
      <c r="AS2461" s="3"/>
    </row>
    <row r="2462" spans="1:45" ht="15">
      <c r="A2462"/>
      <c r="J2462"/>
      <c r="AA2462"/>
      <c r="AB2462"/>
      <c r="AC2462"/>
      <c r="AD2462"/>
      <c r="AE2462"/>
      <c r="AF2462"/>
      <c r="AG2462"/>
      <c r="AH2462"/>
      <c r="AO2462" s="2"/>
      <c r="AP2462" s="3"/>
      <c r="AQ2462" s="3"/>
      <c r="AR2462" s="3"/>
      <c r="AS2462" s="3"/>
    </row>
    <row r="2463" spans="1:45" ht="15">
      <c r="A2463"/>
      <c r="J2463"/>
      <c r="AA2463"/>
      <c r="AB2463"/>
      <c r="AC2463"/>
      <c r="AD2463"/>
      <c r="AE2463"/>
      <c r="AF2463"/>
      <c r="AG2463"/>
      <c r="AH2463"/>
      <c r="AO2463" s="2"/>
      <c r="AP2463" s="3"/>
      <c r="AQ2463" s="3"/>
      <c r="AR2463" s="3"/>
      <c r="AS2463" s="3"/>
    </row>
    <row r="2464" spans="1:45" ht="15">
      <c r="A2464"/>
      <c r="J2464"/>
      <c r="AA2464"/>
      <c r="AB2464"/>
      <c r="AC2464"/>
      <c r="AD2464"/>
      <c r="AE2464"/>
      <c r="AF2464"/>
      <c r="AG2464"/>
      <c r="AH2464"/>
      <c r="AO2464" s="2"/>
      <c r="AP2464" s="3"/>
      <c r="AQ2464" s="3"/>
      <c r="AR2464" s="3"/>
      <c r="AS2464" s="3"/>
    </row>
    <row r="2465" spans="1:45" ht="15">
      <c r="A2465"/>
      <c r="J2465"/>
      <c r="AA2465"/>
      <c r="AB2465"/>
      <c r="AC2465"/>
      <c r="AD2465"/>
      <c r="AE2465"/>
      <c r="AF2465"/>
      <c r="AG2465"/>
      <c r="AH2465"/>
      <c r="AO2465" s="2"/>
      <c r="AP2465" s="3"/>
      <c r="AQ2465" s="3"/>
      <c r="AR2465" s="3"/>
      <c r="AS2465" s="3"/>
    </row>
    <row r="2466" spans="1:45" ht="15">
      <c r="A2466"/>
      <c r="J2466"/>
      <c r="AA2466"/>
      <c r="AB2466"/>
      <c r="AC2466"/>
      <c r="AD2466"/>
      <c r="AE2466"/>
      <c r="AF2466"/>
      <c r="AG2466"/>
      <c r="AH2466"/>
      <c r="AO2466" s="2"/>
      <c r="AP2466" s="3"/>
      <c r="AQ2466" s="3"/>
      <c r="AR2466" s="3"/>
      <c r="AS2466" s="3"/>
    </row>
    <row r="2467" spans="1:45" ht="15">
      <c r="A2467"/>
      <c r="J2467"/>
      <c r="AA2467"/>
      <c r="AB2467"/>
      <c r="AC2467"/>
      <c r="AD2467"/>
      <c r="AE2467"/>
      <c r="AF2467"/>
      <c r="AG2467"/>
      <c r="AH2467"/>
      <c r="AO2467" s="2"/>
      <c r="AP2467" s="3"/>
      <c r="AQ2467" s="3"/>
      <c r="AR2467" s="3"/>
      <c r="AS2467" s="3"/>
    </row>
    <row r="2468" spans="1:45" ht="15">
      <c r="A2468"/>
      <c r="J2468"/>
      <c r="AA2468"/>
      <c r="AB2468"/>
      <c r="AC2468"/>
      <c r="AD2468"/>
      <c r="AE2468"/>
      <c r="AF2468"/>
      <c r="AG2468"/>
      <c r="AH2468"/>
      <c r="AO2468" s="2"/>
      <c r="AP2468" s="3"/>
      <c r="AQ2468" s="3"/>
      <c r="AR2468" s="3"/>
      <c r="AS2468" s="3"/>
    </row>
    <row r="2469" spans="1:45" ht="15">
      <c r="A2469"/>
      <c r="J2469"/>
      <c r="AA2469"/>
      <c r="AB2469"/>
      <c r="AC2469"/>
      <c r="AD2469"/>
      <c r="AE2469"/>
      <c r="AF2469"/>
      <c r="AG2469"/>
      <c r="AH2469"/>
      <c r="AO2469" s="2"/>
      <c r="AP2469" s="3"/>
      <c r="AQ2469" s="3"/>
      <c r="AR2469" s="3"/>
      <c r="AS2469" s="3"/>
    </row>
    <row r="2470" spans="1:45" ht="15">
      <c r="A2470"/>
      <c r="J2470"/>
      <c r="AA2470"/>
      <c r="AB2470"/>
      <c r="AC2470"/>
      <c r="AD2470"/>
      <c r="AE2470"/>
      <c r="AF2470"/>
      <c r="AG2470"/>
      <c r="AH2470"/>
      <c r="AO2470" s="2"/>
      <c r="AP2470" s="3"/>
      <c r="AQ2470" s="3"/>
      <c r="AR2470" s="3"/>
      <c r="AS2470" s="3"/>
    </row>
    <row r="2471" spans="1:45" ht="15">
      <c r="A2471"/>
      <c r="J2471"/>
      <c r="AA2471"/>
      <c r="AB2471"/>
      <c r="AC2471"/>
      <c r="AD2471"/>
      <c r="AE2471"/>
      <c r="AF2471"/>
      <c r="AG2471"/>
      <c r="AH2471"/>
      <c r="AO2471" s="2"/>
      <c r="AP2471" s="3"/>
      <c r="AQ2471" s="3"/>
      <c r="AR2471" s="3"/>
      <c r="AS2471" s="3"/>
    </row>
    <row r="2472" spans="1:45" ht="15">
      <c r="A2472"/>
      <c r="J2472"/>
      <c r="AA2472"/>
      <c r="AB2472"/>
      <c r="AC2472"/>
      <c r="AD2472"/>
      <c r="AE2472"/>
      <c r="AF2472"/>
      <c r="AG2472"/>
      <c r="AH2472"/>
      <c r="AO2472" s="2"/>
      <c r="AP2472" s="3"/>
      <c r="AQ2472" s="3"/>
      <c r="AR2472" s="3"/>
      <c r="AS2472" s="3"/>
    </row>
    <row r="2473" spans="1:45" ht="15">
      <c r="A2473"/>
      <c r="J2473"/>
      <c r="AA2473"/>
      <c r="AB2473"/>
      <c r="AC2473"/>
      <c r="AD2473"/>
      <c r="AE2473"/>
      <c r="AF2473"/>
      <c r="AG2473"/>
      <c r="AH2473"/>
      <c r="AO2473" s="2"/>
      <c r="AP2473" s="3"/>
      <c r="AQ2473" s="3"/>
      <c r="AR2473" s="3"/>
      <c r="AS2473" s="3"/>
    </row>
    <row r="2474" spans="1:45" ht="15">
      <c r="A2474"/>
      <c r="J2474"/>
      <c r="AA2474"/>
      <c r="AB2474"/>
      <c r="AC2474"/>
      <c r="AD2474"/>
      <c r="AE2474"/>
      <c r="AF2474"/>
      <c r="AG2474"/>
      <c r="AH2474"/>
      <c r="AO2474" s="2"/>
      <c r="AP2474" s="3"/>
      <c r="AQ2474" s="3"/>
      <c r="AR2474" s="3"/>
      <c r="AS2474" s="3"/>
    </row>
    <row r="2475" spans="1:45" ht="15">
      <c r="A2475"/>
      <c r="J2475"/>
      <c r="AA2475"/>
      <c r="AB2475"/>
      <c r="AC2475"/>
      <c r="AD2475"/>
      <c r="AE2475"/>
      <c r="AF2475"/>
      <c r="AG2475"/>
      <c r="AH2475"/>
      <c r="AO2475" s="2"/>
      <c r="AP2475" s="3"/>
      <c r="AQ2475" s="3"/>
      <c r="AR2475" s="3"/>
      <c r="AS2475" s="3"/>
    </row>
    <row r="2476" spans="1:45" ht="15">
      <c r="A2476"/>
      <c r="J2476"/>
      <c r="AA2476"/>
      <c r="AB2476"/>
      <c r="AC2476"/>
      <c r="AD2476"/>
      <c r="AE2476"/>
      <c r="AF2476"/>
      <c r="AG2476"/>
      <c r="AH2476"/>
      <c r="AO2476" s="2"/>
      <c r="AP2476" s="3"/>
      <c r="AQ2476" s="3"/>
      <c r="AR2476" s="3"/>
      <c r="AS2476" s="3"/>
    </row>
    <row r="2477" spans="1:45" ht="15">
      <c r="A2477"/>
      <c r="J2477"/>
      <c r="AA2477"/>
      <c r="AB2477"/>
      <c r="AC2477"/>
      <c r="AD2477"/>
      <c r="AE2477"/>
      <c r="AF2477"/>
      <c r="AG2477"/>
      <c r="AH2477"/>
      <c r="AO2477" s="2"/>
      <c r="AP2477" s="3"/>
      <c r="AQ2477" s="3"/>
      <c r="AR2477" s="3"/>
      <c r="AS2477" s="3"/>
    </row>
    <row r="2478" spans="1:45" ht="15">
      <c r="A2478"/>
      <c r="J2478"/>
      <c r="AA2478"/>
      <c r="AB2478"/>
      <c r="AC2478"/>
      <c r="AD2478"/>
      <c r="AE2478"/>
      <c r="AF2478"/>
      <c r="AG2478"/>
      <c r="AH2478"/>
      <c r="AO2478" s="2"/>
      <c r="AP2478" s="3"/>
      <c r="AQ2478" s="3"/>
      <c r="AR2478" s="3"/>
      <c r="AS2478" s="3"/>
    </row>
    <row r="2479" spans="1:45" ht="15">
      <c r="A2479"/>
      <c r="J2479"/>
      <c r="AA2479"/>
      <c r="AB2479"/>
      <c r="AC2479"/>
      <c r="AD2479"/>
      <c r="AE2479"/>
      <c r="AF2479"/>
      <c r="AG2479"/>
      <c r="AH2479"/>
      <c r="AO2479" s="2"/>
      <c r="AP2479" s="3"/>
      <c r="AQ2479" s="3"/>
      <c r="AR2479" s="3"/>
      <c r="AS2479" s="3"/>
    </row>
    <row r="2480" spans="1:45" ht="15">
      <c r="A2480"/>
      <c r="J2480"/>
      <c r="AA2480"/>
      <c r="AB2480"/>
      <c r="AC2480"/>
      <c r="AD2480"/>
      <c r="AE2480"/>
      <c r="AF2480"/>
      <c r="AG2480"/>
      <c r="AH2480"/>
      <c r="AO2480" s="2"/>
      <c r="AP2480" s="3"/>
      <c r="AQ2480" s="3"/>
      <c r="AR2480" s="3"/>
      <c r="AS2480" s="3"/>
    </row>
    <row r="2481" spans="1:45" ht="15">
      <c r="A2481"/>
      <c r="J2481"/>
      <c r="AA2481"/>
      <c r="AB2481"/>
      <c r="AC2481"/>
      <c r="AD2481"/>
      <c r="AE2481"/>
      <c r="AF2481"/>
      <c r="AG2481"/>
      <c r="AH2481"/>
      <c r="AO2481" s="2"/>
      <c r="AP2481" s="3"/>
      <c r="AQ2481" s="3"/>
      <c r="AR2481" s="3"/>
      <c r="AS2481" s="3"/>
    </row>
    <row r="2482" spans="1:45" ht="15">
      <c r="A2482"/>
      <c r="J2482"/>
      <c r="AA2482"/>
      <c r="AB2482"/>
      <c r="AC2482"/>
      <c r="AD2482"/>
      <c r="AE2482"/>
      <c r="AF2482"/>
      <c r="AG2482"/>
      <c r="AH2482"/>
      <c r="AO2482" s="2"/>
      <c r="AP2482" s="3"/>
      <c r="AQ2482" s="3"/>
      <c r="AR2482" s="3"/>
      <c r="AS2482" s="3"/>
    </row>
    <row r="2483" spans="1:45" ht="15">
      <c r="A2483"/>
      <c r="J2483"/>
      <c r="AA2483"/>
      <c r="AB2483"/>
      <c r="AC2483"/>
      <c r="AD2483"/>
      <c r="AE2483"/>
      <c r="AF2483"/>
      <c r="AG2483"/>
      <c r="AH2483"/>
      <c r="AO2483" s="2"/>
      <c r="AP2483" s="3"/>
      <c r="AQ2483" s="3"/>
      <c r="AR2483" s="3"/>
      <c r="AS2483" s="3"/>
    </row>
    <row r="2484" spans="1:45" ht="15">
      <c r="A2484"/>
      <c r="J2484"/>
      <c r="AA2484"/>
      <c r="AB2484"/>
      <c r="AC2484"/>
      <c r="AD2484"/>
      <c r="AE2484"/>
      <c r="AF2484"/>
      <c r="AG2484"/>
      <c r="AH2484"/>
      <c r="AO2484" s="2"/>
      <c r="AP2484" s="3"/>
      <c r="AQ2484" s="3"/>
      <c r="AR2484" s="3"/>
      <c r="AS2484" s="3"/>
    </row>
    <row r="2485" spans="1:45" ht="15">
      <c r="A2485"/>
      <c r="J2485"/>
      <c r="AA2485"/>
      <c r="AB2485"/>
      <c r="AC2485"/>
      <c r="AD2485"/>
      <c r="AE2485"/>
      <c r="AF2485"/>
      <c r="AG2485"/>
      <c r="AH2485"/>
      <c r="AO2485" s="2"/>
      <c r="AP2485" s="3"/>
      <c r="AQ2485" s="3"/>
      <c r="AR2485" s="3"/>
      <c r="AS2485" s="3"/>
    </row>
    <row r="2486" spans="1:45" ht="15">
      <c r="A2486"/>
      <c r="J2486"/>
      <c r="AA2486"/>
      <c r="AB2486"/>
      <c r="AC2486"/>
      <c r="AD2486"/>
      <c r="AE2486"/>
      <c r="AF2486"/>
      <c r="AG2486"/>
      <c r="AH2486"/>
      <c r="AO2486" s="2"/>
      <c r="AP2486" s="3"/>
      <c r="AQ2486" s="3"/>
      <c r="AR2486" s="3"/>
      <c r="AS2486" s="3"/>
    </row>
    <row r="2487" spans="1:45" ht="15">
      <c r="A2487"/>
      <c r="J2487"/>
      <c r="AA2487"/>
      <c r="AB2487"/>
      <c r="AC2487"/>
      <c r="AD2487"/>
      <c r="AE2487"/>
      <c r="AF2487"/>
      <c r="AG2487"/>
      <c r="AH2487"/>
      <c r="AO2487" s="2"/>
      <c r="AP2487" s="3"/>
      <c r="AQ2487" s="3"/>
      <c r="AR2487" s="3"/>
      <c r="AS2487" s="3"/>
    </row>
    <row r="2488" spans="1:45" ht="15">
      <c r="A2488"/>
      <c r="J2488"/>
      <c r="AA2488"/>
      <c r="AB2488"/>
      <c r="AC2488"/>
      <c r="AD2488"/>
      <c r="AE2488"/>
      <c r="AF2488"/>
      <c r="AG2488"/>
      <c r="AH2488"/>
      <c r="AO2488" s="2"/>
      <c r="AP2488" s="3"/>
      <c r="AQ2488" s="3"/>
      <c r="AR2488" s="3"/>
      <c r="AS2488" s="3"/>
    </row>
    <row r="2489" spans="1:45" ht="15">
      <c r="A2489"/>
      <c r="J2489"/>
      <c r="AA2489"/>
      <c r="AB2489"/>
      <c r="AC2489"/>
      <c r="AD2489"/>
      <c r="AE2489"/>
      <c r="AF2489"/>
      <c r="AG2489"/>
      <c r="AH2489"/>
      <c r="AO2489" s="2"/>
      <c r="AP2489" s="3"/>
      <c r="AQ2489" s="3"/>
      <c r="AR2489" s="3"/>
      <c r="AS2489" s="3"/>
    </row>
    <row r="2490" spans="1:45" ht="15">
      <c r="A2490"/>
      <c r="J2490"/>
      <c r="AA2490"/>
      <c r="AB2490"/>
      <c r="AC2490"/>
      <c r="AD2490"/>
      <c r="AE2490"/>
      <c r="AF2490"/>
      <c r="AG2490"/>
      <c r="AH2490"/>
      <c r="AO2490" s="2"/>
      <c r="AP2490" s="3"/>
      <c r="AQ2490" s="3"/>
      <c r="AR2490" s="3"/>
      <c r="AS2490" s="3"/>
    </row>
    <row r="2491" spans="1:45" ht="15">
      <c r="A2491"/>
      <c r="J2491"/>
      <c r="AA2491"/>
      <c r="AB2491"/>
      <c r="AC2491"/>
      <c r="AD2491"/>
      <c r="AE2491"/>
      <c r="AF2491"/>
      <c r="AG2491"/>
      <c r="AH2491"/>
      <c r="AO2491" s="2"/>
      <c r="AP2491" s="3"/>
      <c r="AQ2491" s="3"/>
      <c r="AR2491" s="3"/>
      <c r="AS2491" s="3"/>
    </row>
    <row r="2492" spans="1:45" ht="15">
      <c r="A2492"/>
      <c r="J2492"/>
      <c r="AA2492"/>
      <c r="AB2492"/>
      <c r="AC2492"/>
      <c r="AD2492"/>
      <c r="AE2492"/>
      <c r="AF2492"/>
      <c r="AG2492"/>
      <c r="AH2492"/>
      <c r="AO2492" s="2"/>
      <c r="AP2492" s="3"/>
      <c r="AQ2492" s="3"/>
      <c r="AR2492" s="3"/>
      <c r="AS2492" s="3"/>
    </row>
    <row r="2493" spans="1:45" ht="15">
      <c r="A2493"/>
      <c r="J2493"/>
      <c r="AA2493"/>
      <c r="AB2493"/>
      <c r="AC2493"/>
      <c r="AD2493"/>
      <c r="AE2493"/>
      <c r="AF2493"/>
      <c r="AG2493"/>
      <c r="AH2493"/>
      <c r="AO2493" s="2"/>
      <c r="AP2493" s="3"/>
      <c r="AQ2493" s="3"/>
      <c r="AR2493" s="3"/>
      <c r="AS2493" s="3"/>
    </row>
    <row r="2494" spans="1:45" ht="15">
      <c r="A2494"/>
      <c r="J2494"/>
      <c r="AA2494"/>
      <c r="AB2494"/>
      <c r="AC2494"/>
      <c r="AD2494"/>
      <c r="AE2494"/>
      <c r="AF2494"/>
      <c r="AG2494"/>
      <c r="AH2494"/>
      <c r="AO2494" s="2"/>
      <c r="AP2494" s="3"/>
      <c r="AQ2494" s="3"/>
      <c r="AR2494" s="3"/>
      <c r="AS2494" s="3"/>
    </row>
    <row r="2495" spans="1:45" ht="15">
      <c r="A2495"/>
      <c r="J2495"/>
      <c r="AA2495"/>
      <c r="AB2495"/>
      <c r="AC2495"/>
      <c r="AD2495"/>
      <c r="AE2495"/>
      <c r="AF2495"/>
      <c r="AG2495"/>
      <c r="AH2495"/>
      <c r="AO2495" s="2"/>
      <c r="AP2495" s="3"/>
      <c r="AQ2495" s="3"/>
      <c r="AR2495" s="3"/>
      <c r="AS2495" s="3"/>
    </row>
    <row r="2496" spans="1:45" ht="15">
      <c r="A2496"/>
      <c r="J2496"/>
      <c r="AA2496"/>
      <c r="AB2496"/>
      <c r="AC2496"/>
      <c r="AD2496"/>
      <c r="AE2496"/>
      <c r="AF2496"/>
      <c r="AG2496"/>
      <c r="AH2496"/>
      <c r="AO2496" s="2"/>
      <c r="AP2496" s="3"/>
      <c r="AQ2496" s="3"/>
      <c r="AR2496" s="3"/>
      <c r="AS2496" s="3"/>
    </row>
    <row r="2497" spans="1:45" ht="15">
      <c r="A2497"/>
      <c r="J2497"/>
      <c r="AA2497"/>
      <c r="AB2497"/>
      <c r="AC2497"/>
      <c r="AD2497"/>
      <c r="AE2497"/>
      <c r="AF2497"/>
      <c r="AG2497"/>
      <c r="AH2497"/>
      <c r="AO2497" s="2"/>
      <c r="AP2497" s="3"/>
      <c r="AQ2497" s="3"/>
      <c r="AR2497" s="3"/>
      <c r="AS2497" s="3"/>
    </row>
    <row r="2498" spans="1:45" ht="15">
      <c r="A2498"/>
      <c r="J2498"/>
      <c r="AA2498"/>
      <c r="AB2498"/>
      <c r="AC2498"/>
      <c r="AD2498"/>
      <c r="AE2498"/>
      <c r="AF2498"/>
      <c r="AG2498"/>
      <c r="AH2498"/>
      <c r="AO2498" s="2"/>
      <c r="AP2498" s="3"/>
      <c r="AQ2498" s="3"/>
      <c r="AR2498" s="3"/>
      <c r="AS2498" s="3"/>
    </row>
    <row r="2499" spans="1:45" ht="15">
      <c r="A2499"/>
      <c r="J2499"/>
      <c r="AA2499"/>
      <c r="AB2499"/>
      <c r="AC2499"/>
      <c r="AD2499"/>
      <c r="AE2499"/>
      <c r="AF2499"/>
      <c r="AG2499"/>
      <c r="AH2499"/>
      <c r="AO2499" s="2"/>
      <c r="AP2499" s="3"/>
      <c r="AQ2499" s="3"/>
      <c r="AR2499" s="3"/>
      <c r="AS2499" s="3"/>
    </row>
    <row r="2500" spans="1:45" ht="15">
      <c r="A2500"/>
      <c r="J2500"/>
      <c r="AA2500"/>
      <c r="AB2500"/>
      <c r="AC2500"/>
      <c r="AD2500"/>
      <c r="AE2500"/>
      <c r="AF2500"/>
      <c r="AG2500"/>
      <c r="AH2500"/>
      <c r="AO2500" s="2"/>
      <c r="AP2500" s="3"/>
      <c r="AQ2500" s="3"/>
      <c r="AR2500" s="3"/>
      <c r="AS2500" s="3"/>
    </row>
    <row r="2501" spans="1:45" ht="15">
      <c r="A2501"/>
      <c r="J2501"/>
      <c r="AA2501"/>
      <c r="AB2501"/>
      <c r="AC2501"/>
      <c r="AD2501"/>
      <c r="AE2501"/>
      <c r="AF2501"/>
      <c r="AG2501"/>
      <c r="AH2501"/>
      <c r="AO2501" s="2"/>
      <c r="AP2501" s="3"/>
      <c r="AQ2501" s="3"/>
      <c r="AR2501" s="3"/>
      <c r="AS2501" s="3"/>
    </row>
    <row r="2502" spans="1:45" ht="15">
      <c r="A2502"/>
      <c r="J2502"/>
      <c r="AA2502"/>
      <c r="AB2502"/>
      <c r="AC2502"/>
      <c r="AD2502"/>
      <c r="AE2502"/>
      <c r="AF2502"/>
      <c r="AG2502"/>
      <c r="AH2502"/>
      <c r="AO2502" s="2"/>
      <c r="AP2502" s="3"/>
      <c r="AQ2502" s="3"/>
      <c r="AR2502" s="3"/>
      <c r="AS2502" s="3"/>
    </row>
    <row r="2503" spans="1:45" ht="15">
      <c r="A2503"/>
      <c r="J2503"/>
      <c r="AA2503"/>
      <c r="AB2503"/>
      <c r="AC2503"/>
      <c r="AD2503"/>
      <c r="AE2503"/>
      <c r="AF2503"/>
      <c r="AG2503"/>
      <c r="AH2503"/>
      <c r="AO2503" s="2"/>
      <c r="AP2503" s="3"/>
      <c r="AQ2503" s="3"/>
      <c r="AR2503" s="3"/>
      <c r="AS2503" s="3"/>
    </row>
    <row r="2504" spans="1:45" ht="15">
      <c r="A2504"/>
      <c r="J2504"/>
      <c r="AA2504"/>
      <c r="AB2504"/>
      <c r="AC2504"/>
      <c r="AD2504"/>
      <c r="AE2504"/>
      <c r="AF2504"/>
      <c r="AG2504"/>
      <c r="AH2504"/>
      <c r="AO2504" s="2"/>
      <c r="AP2504" s="3"/>
      <c r="AQ2504" s="3"/>
      <c r="AR2504" s="3"/>
      <c r="AS2504" s="3"/>
    </row>
    <row r="2505" spans="1:45" ht="15">
      <c r="A2505"/>
      <c r="J2505"/>
      <c r="AA2505"/>
      <c r="AB2505"/>
      <c r="AC2505"/>
      <c r="AD2505"/>
      <c r="AE2505"/>
      <c r="AF2505"/>
      <c r="AG2505"/>
      <c r="AH2505"/>
      <c r="AO2505" s="2"/>
      <c r="AP2505" s="3"/>
      <c r="AQ2505" s="3"/>
      <c r="AR2505" s="3"/>
      <c r="AS2505" s="3"/>
    </row>
    <row r="2506" spans="1:45" ht="15">
      <c r="A2506"/>
      <c r="J2506"/>
      <c r="AA2506"/>
      <c r="AB2506"/>
      <c r="AC2506"/>
      <c r="AD2506"/>
      <c r="AE2506"/>
      <c r="AF2506"/>
      <c r="AG2506"/>
      <c r="AH2506"/>
      <c r="AO2506" s="2"/>
      <c r="AP2506" s="3"/>
      <c r="AQ2506" s="3"/>
      <c r="AR2506" s="3"/>
      <c r="AS2506" s="3"/>
    </row>
    <row r="2507" spans="1:45" ht="15">
      <c r="A2507"/>
      <c r="J2507"/>
      <c r="AA2507"/>
      <c r="AB2507"/>
      <c r="AC2507"/>
      <c r="AD2507"/>
      <c r="AE2507"/>
      <c r="AF2507"/>
      <c r="AG2507"/>
      <c r="AH2507"/>
      <c r="AO2507" s="2"/>
      <c r="AP2507" s="3"/>
      <c r="AQ2507" s="3"/>
      <c r="AR2507" s="3"/>
      <c r="AS2507" s="3"/>
    </row>
    <row r="2508" spans="1:45" ht="15">
      <c r="A2508"/>
      <c r="J2508"/>
      <c r="AA2508"/>
      <c r="AB2508"/>
      <c r="AC2508"/>
      <c r="AD2508"/>
      <c r="AE2508"/>
      <c r="AF2508"/>
      <c r="AG2508"/>
      <c r="AH2508"/>
      <c r="AO2508" s="2"/>
      <c r="AP2508" s="3"/>
      <c r="AQ2508" s="3"/>
      <c r="AR2508" s="3"/>
      <c r="AS2508" s="3"/>
    </row>
    <row r="2509" spans="1:45" ht="15">
      <c r="A2509"/>
      <c r="J2509"/>
      <c r="AA2509"/>
      <c r="AB2509"/>
      <c r="AC2509"/>
      <c r="AD2509"/>
      <c r="AE2509"/>
      <c r="AF2509"/>
      <c r="AG2509"/>
      <c r="AH2509"/>
      <c r="AO2509" s="2"/>
      <c r="AP2509" s="3"/>
      <c r="AQ2509" s="3"/>
      <c r="AR2509" s="3"/>
      <c r="AS2509" s="3"/>
    </row>
    <row r="2510" spans="1:45" ht="15">
      <c r="A2510"/>
      <c r="J2510"/>
      <c r="AA2510"/>
      <c r="AB2510"/>
      <c r="AC2510"/>
      <c r="AD2510"/>
      <c r="AE2510"/>
      <c r="AF2510"/>
      <c r="AG2510"/>
      <c r="AH2510"/>
      <c r="AO2510" s="2"/>
      <c r="AP2510" s="3"/>
      <c r="AQ2510" s="3"/>
      <c r="AR2510" s="3"/>
      <c r="AS2510" s="3"/>
    </row>
    <row r="2511" spans="1:45" ht="15">
      <c r="A2511"/>
      <c r="J2511"/>
      <c r="AA2511"/>
      <c r="AB2511"/>
      <c r="AC2511"/>
      <c r="AD2511"/>
      <c r="AE2511"/>
      <c r="AF2511"/>
      <c r="AG2511"/>
      <c r="AH2511"/>
      <c r="AO2511" s="2"/>
      <c r="AP2511" s="3"/>
      <c r="AQ2511" s="3"/>
      <c r="AR2511" s="3"/>
      <c r="AS2511" s="3"/>
    </row>
    <row r="2512" spans="1:45" ht="15">
      <c r="A2512"/>
      <c r="J2512"/>
      <c r="AA2512"/>
      <c r="AB2512"/>
      <c r="AC2512"/>
      <c r="AD2512"/>
      <c r="AE2512"/>
      <c r="AF2512"/>
      <c r="AG2512"/>
      <c r="AH2512"/>
      <c r="AO2512" s="2"/>
      <c r="AP2512" s="3"/>
      <c r="AQ2512" s="3"/>
      <c r="AR2512" s="3"/>
      <c r="AS2512" s="3"/>
    </row>
    <row r="2513" spans="1:45" ht="15">
      <c r="A2513"/>
      <c r="J2513"/>
      <c r="AA2513"/>
      <c r="AB2513"/>
      <c r="AC2513"/>
      <c r="AD2513"/>
      <c r="AE2513"/>
      <c r="AF2513"/>
      <c r="AG2513"/>
      <c r="AH2513"/>
      <c r="AO2513" s="2"/>
      <c r="AP2513" s="3"/>
      <c r="AQ2513" s="3"/>
      <c r="AR2513" s="3"/>
      <c r="AS2513" s="3"/>
    </row>
    <row r="2514" spans="1:45" ht="15">
      <c r="A2514"/>
      <c r="J2514"/>
      <c r="AA2514"/>
      <c r="AB2514"/>
      <c r="AC2514"/>
      <c r="AD2514"/>
      <c r="AE2514"/>
      <c r="AF2514"/>
      <c r="AG2514"/>
      <c r="AH2514"/>
      <c r="AO2514" s="2"/>
      <c r="AP2514" s="3"/>
      <c r="AQ2514" s="3"/>
      <c r="AR2514" s="3"/>
      <c r="AS2514" s="3"/>
    </row>
    <row r="2515" spans="1:45" ht="15">
      <c r="A2515"/>
      <c r="J2515"/>
      <c r="AA2515"/>
      <c r="AB2515"/>
      <c r="AC2515"/>
      <c r="AD2515"/>
      <c r="AE2515"/>
      <c r="AF2515"/>
      <c r="AG2515"/>
      <c r="AH2515"/>
      <c r="AO2515" s="2"/>
      <c r="AP2515" s="3"/>
      <c r="AQ2515" s="3"/>
      <c r="AR2515" s="3"/>
      <c r="AS2515" s="3"/>
    </row>
    <row r="2516" spans="1:45" ht="15">
      <c r="A2516"/>
      <c r="J2516"/>
      <c r="AA2516"/>
      <c r="AB2516"/>
      <c r="AC2516"/>
      <c r="AD2516"/>
      <c r="AE2516"/>
      <c r="AF2516"/>
      <c r="AG2516"/>
      <c r="AH2516"/>
      <c r="AO2516" s="2"/>
      <c r="AP2516" s="3"/>
      <c r="AQ2516" s="3"/>
      <c r="AR2516" s="3"/>
      <c r="AS2516" s="3"/>
    </row>
    <row r="2517" spans="1:45" ht="15">
      <c r="A2517"/>
      <c r="J2517"/>
      <c r="AA2517"/>
      <c r="AB2517"/>
      <c r="AC2517"/>
      <c r="AD2517"/>
      <c r="AE2517"/>
      <c r="AF2517"/>
      <c r="AG2517"/>
      <c r="AH2517"/>
      <c r="AO2517" s="2"/>
      <c r="AP2517" s="3"/>
      <c r="AQ2517" s="3"/>
      <c r="AR2517" s="3"/>
      <c r="AS2517" s="3"/>
    </row>
    <row r="2518" spans="1:45" ht="15">
      <c r="A2518"/>
      <c r="J2518"/>
      <c r="AA2518"/>
      <c r="AB2518"/>
      <c r="AC2518"/>
      <c r="AD2518"/>
      <c r="AE2518"/>
      <c r="AF2518"/>
      <c r="AG2518"/>
      <c r="AH2518"/>
      <c r="AO2518" s="2"/>
      <c r="AP2518" s="3"/>
      <c r="AQ2518" s="3"/>
      <c r="AR2518" s="3"/>
      <c r="AS2518" s="3"/>
    </row>
    <row r="2519" spans="1:45" ht="15">
      <c r="A2519"/>
      <c r="J2519"/>
      <c r="AA2519"/>
      <c r="AB2519"/>
      <c r="AC2519"/>
      <c r="AD2519"/>
      <c r="AE2519"/>
      <c r="AF2519"/>
      <c r="AG2519"/>
      <c r="AH2519"/>
      <c r="AO2519" s="2"/>
      <c r="AP2519" s="3"/>
      <c r="AQ2519" s="3"/>
      <c r="AR2519" s="3"/>
      <c r="AS2519" s="3"/>
    </row>
    <row r="2520" spans="1:45" ht="15">
      <c r="A2520"/>
      <c r="J2520"/>
      <c r="AA2520"/>
      <c r="AB2520"/>
      <c r="AC2520"/>
      <c r="AD2520"/>
      <c r="AE2520"/>
      <c r="AF2520"/>
      <c r="AG2520"/>
      <c r="AH2520"/>
      <c r="AO2520" s="2"/>
      <c r="AP2520" s="3"/>
      <c r="AQ2520" s="3"/>
      <c r="AR2520" s="3"/>
      <c r="AS2520" s="3"/>
    </row>
    <row r="2521" spans="1:45" ht="15">
      <c r="A2521"/>
      <c r="J2521"/>
      <c r="AA2521"/>
      <c r="AB2521"/>
      <c r="AC2521"/>
      <c r="AD2521"/>
      <c r="AE2521"/>
      <c r="AF2521"/>
      <c r="AG2521"/>
      <c r="AH2521"/>
      <c r="AO2521" s="2"/>
      <c r="AP2521" s="3"/>
      <c r="AQ2521" s="3"/>
      <c r="AR2521" s="3"/>
      <c r="AS2521" s="3"/>
    </row>
    <row r="2522" spans="1:45" ht="15">
      <c r="A2522"/>
      <c r="J2522"/>
      <c r="AA2522"/>
      <c r="AB2522"/>
      <c r="AC2522"/>
      <c r="AD2522"/>
      <c r="AE2522"/>
      <c r="AF2522"/>
      <c r="AG2522"/>
      <c r="AH2522"/>
      <c r="AO2522" s="2"/>
      <c r="AP2522" s="3"/>
      <c r="AQ2522" s="3"/>
      <c r="AR2522" s="3"/>
      <c r="AS2522" s="3"/>
    </row>
    <row r="2523" spans="1:45" ht="15">
      <c r="A2523"/>
      <c r="J2523"/>
      <c r="AA2523"/>
      <c r="AB2523"/>
      <c r="AC2523"/>
      <c r="AD2523"/>
      <c r="AE2523"/>
      <c r="AF2523"/>
      <c r="AG2523"/>
      <c r="AH2523"/>
      <c r="AO2523" s="2"/>
      <c r="AP2523" s="3"/>
      <c r="AQ2523" s="3"/>
      <c r="AR2523" s="3"/>
      <c r="AS2523" s="3"/>
    </row>
    <row r="2524" spans="1:45" ht="15">
      <c r="A2524"/>
      <c r="J2524"/>
      <c r="AA2524"/>
      <c r="AB2524"/>
      <c r="AC2524"/>
      <c r="AD2524"/>
      <c r="AE2524"/>
      <c r="AF2524"/>
      <c r="AG2524"/>
      <c r="AH2524"/>
      <c r="AO2524" s="2"/>
      <c r="AP2524" s="3"/>
      <c r="AQ2524" s="3"/>
      <c r="AR2524" s="3"/>
      <c r="AS2524" s="3"/>
    </row>
    <row r="2525" spans="1:45" ht="15">
      <c r="A2525"/>
      <c r="J2525"/>
      <c r="AA2525"/>
      <c r="AB2525"/>
      <c r="AC2525"/>
      <c r="AD2525"/>
      <c r="AE2525"/>
      <c r="AF2525"/>
      <c r="AG2525"/>
      <c r="AH2525"/>
      <c r="AO2525" s="2"/>
      <c r="AP2525" s="3"/>
      <c r="AQ2525" s="3"/>
      <c r="AR2525" s="3"/>
      <c r="AS2525" s="3"/>
    </row>
    <row r="2526" spans="1:45" ht="15">
      <c r="A2526"/>
      <c r="J2526"/>
      <c r="AA2526"/>
      <c r="AB2526"/>
      <c r="AC2526"/>
      <c r="AD2526"/>
      <c r="AE2526"/>
      <c r="AF2526"/>
      <c r="AG2526"/>
      <c r="AH2526"/>
      <c r="AO2526" s="2"/>
      <c r="AP2526" s="3"/>
      <c r="AQ2526" s="3"/>
      <c r="AR2526" s="3"/>
      <c r="AS2526" s="3"/>
    </row>
    <row r="2527" spans="1:45" ht="15">
      <c r="A2527"/>
      <c r="J2527"/>
      <c r="AA2527"/>
      <c r="AB2527"/>
      <c r="AC2527"/>
      <c r="AD2527"/>
      <c r="AE2527"/>
      <c r="AF2527"/>
      <c r="AG2527"/>
      <c r="AH2527"/>
      <c r="AO2527" s="2"/>
      <c r="AP2527" s="3"/>
      <c r="AQ2527" s="3"/>
      <c r="AR2527" s="3"/>
      <c r="AS2527" s="3"/>
    </row>
    <row r="2528" spans="1:45" ht="15">
      <c r="A2528"/>
      <c r="J2528"/>
      <c r="AA2528"/>
      <c r="AB2528"/>
      <c r="AC2528"/>
      <c r="AD2528"/>
      <c r="AE2528"/>
      <c r="AF2528"/>
      <c r="AG2528"/>
      <c r="AH2528"/>
      <c r="AO2528" s="2"/>
      <c r="AP2528" s="3"/>
      <c r="AQ2528" s="3"/>
      <c r="AR2528" s="3"/>
      <c r="AS2528" s="3"/>
    </row>
    <row r="2529" spans="1:45" ht="15">
      <c r="A2529"/>
      <c r="J2529"/>
      <c r="AA2529"/>
      <c r="AB2529"/>
      <c r="AC2529"/>
      <c r="AD2529"/>
      <c r="AE2529"/>
      <c r="AF2529"/>
      <c r="AG2529"/>
      <c r="AH2529"/>
      <c r="AO2529" s="2"/>
      <c r="AP2529" s="3"/>
      <c r="AQ2529" s="3"/>
      <c r="AR2529" s="3"/>
      <c r="AS2529" s="3"/>
    </row>
    <row r="2530" spans="1:45" ht="15">
      <c r="A2530"/>
      <c r="J2530"/>
      <c r="AA2530"/>
      <c r="AB2530"/>
      <c r="AC2530"/>
      <c r="AD2530"/>
      <c r="AE2530"/>
      <c r="AF2530"/>
      <c r="AG2530"/>
      <c r="AH2530"/>
      <c r="AO2530" s="2"/>
      <c r="AP2530" s="3"/>
      <c r="AQ2530" s="3"/>
      <c r="AR2530" s="3"/>
      <c r="AS2530" s="3"/>
    </row>
    <row r="2531" spans="1:45" ht="15">
      <c r="A2531"/>
      <c r="J2531"/>
      <c r="AA2531"/>
      <c r="AB2531"/>
      <c r="AC2531"/>
      <c r="AD2531"/>
      <c r="AE2531"/>
      <c r="AF2531"/>
      <c r="AG2531"/>
      <c r="AH2531"/>
      <c r="AO2531" s="2"/>
      <c r="AP2531" s="3"/>
      <c r="AQ2531" s="3"/>
      <c r="AR2531" s="3"/>
      <c r="AS2531" s="3"/>
    </row>
    <row r="2532" spans="1:45" ht="15">
      <c r="A2532"/>
      <c r="J2532"/>
      <c r="AA2532"/>
      <c r="AB2532"/>
      <c r="AC2532"/>
      <c r="AD2532"/>
      <c r="AE2532"/>
      <c r="AF2532"/>
      <c r="AG2532"/>
      <c r="AH2532"/>
      <c r="AO2532" s="2"/>
      <c r="AP2532" s="3"/>
      <c r="AQ2532" s="3"/>
      <c r="AR2532" s="3"/>
      <c r="AS2532" s="3"/>
    </row>
    <row r="2533" spans="1:45" ht="15">
      <c r="A2533"/>
      <c r="J2533"/>
      <c r="AA2533"/>
      <c r="AB2533"/>
      <c r="AC2533"/>
      <c r="AD2533"/>
      <c r="AE2533"/>
      <c r="AF2533"/>
      <c r="AG2533"/>
      <c r="AH2533"/>
      <c r="AO2533" s="2"/>
      <c r="AP2533" s="3"/>
      <c r="AQ2533" s="3"/>
      <c r="AR2533" s="3"/>
      <c r="AS2533" s="3"/>
    </row>
    <row r="2534" spans="1:45" ht="15">
      <c r="A2534"/>
      <c r="J2534"/>
      <c r="AA2534"/>
      <c r="AB2534"/>
      <c r="AC2534"/>
      <c r="AD2534"/>
      <c r="AE2534"/>
      <c r="AF2534"/>
      <c r="AG2534"/>
      <c r="AH2534"/>
      <c r="AO2534" s="2"/>
      <c r="AP2534" s="3"/>
      <c r="AQ2534" s="3"/>
      <c r="AR2534" s="3"/>
      <c r="AS2534" s="3"/>
    </row>
    <row r="2535" spans="1:45" ht="15">
      <c r="A2535"/>
      <c r="J2535"/>
      <c r="AA2535"/>
      <c r="AB2535"/>
      <c r="AC2535"/>
      <c r="AD2535"/>
      <c r="AE2535"/>
      <c r="AF2535"/>
      <c r="AG2535"/>
      <c r="AH2535"/>
      <c r="AO2535" s="2"/>
      <c r="AP2535" s="3"/>
      <c r="AQ2535" s="3"/>
      <c r="AR2535" s="3"/>
      <c r="AS2535" s="3"/>
    </row>
    <row r="2536" spans="1:45" ht="15">
      <c r="A2536"/>
      <c r="J2536"/>
      <c r="AA2536"/>
      <c r="AB2536"/>
      <c r="AC2536"/>
      <c r="AD2536"/>
      <c r="AE2536"/>
      <c r="AF2536"/>
      <c r="AG2536"/>
      <c r="AH2536"/>
      <c r="AO2536" s="2"/>
      <c r="AP2536" s="3"/>
      <c r="AQ2536" s="3"/>
      <c r="AR2536" s="3"/>
      <c r="AS2536" s="3"/>
    </row>
    <row r="2537" spans="1:45" ht="15">
      <c r="A2537"/>
      <c r="J2537"/>
      <c r="AA2537"/>
      <c r="AB2537"/>
      <c r="AC2537"/>
      <c r="AD2537"/>
      <c r="AE2537"/>
      <c r="AF2537"/>
      <c r="AG2537"/>
      <c r="AH2537"/>
      <c r="AO2537" s="2"/>
      <c r="AP2537" s="3"/>
      <c r="AQ2537" s="3"/>
      <c r="AR2537" s="3"/>
      <c r="AS2537" s="3"/>
    </row>
    <row r="2538" spans="1:45" ht="15">
      <c r="A2538"/>
      <c r="J2538"/>
      <c r="AA2538"/>
      <c r="AB2538"/>
      <c r="AC2538"/>
      <c r="AD2538"/>
      <c r="AE2538"/>
      <c r="AF2538"/>
      <c r="AG2538"/>
      <c r="AH2538"/>
      <c r="AO2538" s="2"/>
      <c r="AP2538" s="3"/>
      <c r="AQ2538" s="3"/>
      <c r="AR2538" s="3"/>
      <c r="AS2538" s="3"/>
    </row>
    <row r="2539" spans="1:45" ht="15">
      <c r="A2539"/>
      <c r="J2539"/>
      <c r="AA2539"/>
      <c r="AB2539"/>
      <c r="AC2539"/>
      <c r="AD2539"/>
      <c r="AE2539"/>
      <c r="AF2539"/>
      <c r="AG2539"/>
      <c r="AH2539"/>
      <c r="AO2539" s="2"/>
      <c r="AP2539" s="3"/>
      <c r="AQ2539" s="3"/>
      <c r="AR2539" s="3"/>
      <c r="AS2539" s="3"/>
    </row>
    <row r="2540" spans="1:45" ht="15">
      <c r="A2540"/>
      <c r="J2540"/>
      <c r="AA2540"/>
      <c r="AB2540"/>
      <c r="AC2540"/>
      <c r="AD2540"/>
      <c r="AE2540"/>
      <c r="AF2540"/>
      <c r="AG2540"/>
      <c r="AH2540"/>
      <c r="AO2540" s="2"/>
      <c r="AP2540" s="3"/>
      <c r="AQ2540" s="3"/>
      <c r="AR2540" s="3"/>
      <c r="AS2540" s="3"/>
    </row>
    <row r="2541" spans="1:45" ht="15">
      <c r="A2541"/>
      <c r="J2541"/>
      <c r="AA2541"/>
      <c r="AB2541"/>
      <c r="AC2541"/>
      <c r="AD2541"/>
      <c r="AE2541"/>
      <c r="AF2541"/>
      <c r="AG2541"/>
      <c r="AH2541"/>
      <c r="AO2541" s="2"/>
      <c r="AP2541" s="3"/>
      <c r="AQ2541" s="3"/>
      <c r="AR2541" s="3"/>
      <c r="AS2541" s="3"/>
    </row>
    <row r="2542" spans="1:45" ht="15">
      <c r="A2542"/>
      <c r="J2542"/>
      <c r="AA2542"/>
      <c r="AB2542"/>
      <c r="AC2542"/>
      <c r="AD2542"/>
      <c r="AE2542"/>
      <c r="AF2542"/>
      <c r="AG2542"/>
      <c r="AH2542"/>
      <c r="AO2542" s="2"/>
      <c r="AP2542" s="3"/>
      <c r="AQ2542" s="3"/>
      <c r="AR2542" s="3"/>
      <c r="AS2542" s="3"/>
    </row>
    <row r="2543" spans="1:45" ht="15">
      <c r="A2543"/>
      <c r="J2543"/>
      <c r="AA2543"/>
      <c r="AB2543"/>
      <c r="AC2543"/>
      <c r="AD2543"/>
      <c r="AE2543"/>
      <c r="AF2543"/>
      <c r="AG2543"/>
      <c r="AH2543"/>
      <c r="AO2543" s="2"/>
      <c r="AP2543" s="3"/>
      <c r="AQ2543" s="3"/>
      <c r="AR2543" s="3"/>
      <c r="AS2543" s="3"/>
    </row>
    <row r="2544" spans="1:45" ht="15">
      <c r="A2544"/>
      <c r="J2544"/>
      <c r="AA2544"/>
      <c r="AB2544"/>
      <c r="AC2544"/>
      <c r="AD2544"/>
      <c r="AE2544"/>
      <c r="AF2544"/>
      <c r="AG2544"/>
      <c r="AH2544"/>
      <c r="AO2544" s="2"/>
      <c r="AP2544" s="3"/>
      <c r="AQ2544" s="3"/>
      <c r="AR2544" s="3"/>
      <c r="AS2544" s="3"/>
    </row>
    <row r="2545" spans="1:45" ht="15">
      <c r="A2545"/>
      <c r="J2545"/>
      <c r="AA2545"/>
      <c r="AB2545"/>
      <c r="AC2545"/>
      <c r="AD2545"/>
      <c r="AE2545"/>
      <c r="AF2545"/>
      <c r="AG2545"/>
      <c r="AH2545"/>
      <c r="AO2545" s="2"/>
      <c r="AP2545" s="3"/>
      <c r="AQ2545" s="3"/>
      <c r="AR2545" s="3"/>
      <c r="AS2545" s="3"/>
    </row>
    <row r="2546" spans="1:45" ht="15">
      <c r="A2546"/>
      <c r="J2546"/>
      <c r="AA2546"/>
      <c r="AB2546"/>
      <c r="AC2546"/>
      <c r="AD2546"/>
      <c r="AE2546"/>
      <c r="AF2546"/>
      <c r="AG2546"/>
      <c r="AH2546"/>
      <c r="AO2546" s="2"/>
      <c r="AP2546" s="3"/>
      <c r="AQ2546" s="3"/>
      <c r="AR2546" s="3"/>
      <c r="AS2546" s="3"/>
    </row>
    <row r="2547" spans="1:45" ht="15">
      <c r="A2547"/>
      <c r="J2547"/>
      <c r="AA2547"/>
      <c r="AB2547"/>
      <c r="AC2547"/>
      <c r="AD2547"/>
      <c r="AE2547"/>
      <c r="AF2547"/>
      <c r="AG2547"/>
      <c r="AH2547"/>
      <c r="AO2547" s="2"/>
      <c r="AP2547" s="3"/>
      <c r="AQ2547" s="3"/>
      <c r="AR2547" s="3"/>
      <c r="AS2547" s="3"/>
    </row>
    <row r="2548" spans="1:45" ht="15">
      <c r="A2548"/>
      <c r="J2548"/>
      <c r="AA2548"/>
      <c r="AB2548"/>
      <c r="AC2548"/>
      <c r="AD2548"/>
      <c r="AE2548"/>
      <c r="AF2548"/>
      <c r="AG2548"/>
      <c r="AH2548"/>
      <c r="AO2548" s="2"/>
      <c r="AP2548" s="3"/>
      <c r="AQ2548" s="3"/>
      <c r="AR2548" s="3"/>
      <c r="AS2548" s="3"/>
    </row>
    <row r="2549" spans="1:45" ht="15">
      <c r="A2549"/>
      <c r="J2549"/>
      <c r="AA2549"/>
      <c r="AB2549"/>
      <c r="AC2549"/>
      <c r="AD2549"/>
      <c r="AE2549"/>
      <c r="AF2549"/>
      <c r="AG2549"/>
      <c r="AH2549"/>
      <c r="AO2549" s="2"/>
      <c r="AP2549" s="3"/>
      <c r="AQ2549" s="3"/>
      <c r="AR2549" s="3"/>
      <c r="AS2549" s="3"/>
    </row>
    <row r="2550" spans="1:45" ht="15">
      <c r="A2550"/>
      <c r="J2550"/>
      <c r="AA2550"/>
      <c r="AB2550"/>
      <c r="AC2550"/>
      <c r="AD2550"/>
      <c r="AE2550"/>
      <c r="AF2550"/>
      <c r="AG2550"/>
      <c r="AH2550"/>
      <c r="AO2550" s="2"/>
      <c r="AP2550" s="3"/>
      <c r="AQ2550" s="3"/>
      <c r="AR2550" s="3"/>
      <c r="AS2550" s="3"/>
    </row>
    <row r="2551" spans="1:45" ht="15">
      <c r="A2551"/>
      <c r="J2551"/>
      <c r="AA2551"/>
      <c r="AB2551"/>
      <c r="AC2551"/>
      <c r="AD2551"/>
      <c r="AE2551"/>
      <c r="AF2551"/>
      <c r="AG2551"/>
      <c r="AH2551"/>
      <c r="AO2551" s="2"/>
      <c r="AP2551" s="3"/>
      <c r="AQ2551" s="3"/>
      <c r="AR2551" s="3"/>
      <c r="AS2551" s="3"/>
    </row>
    <row r="2552" spans="1:45" ht="15">
      <c r="A2552"/>
      <c r="J2552"/>
      <c r="AA2552"/>
      <c r="AB2552"/>
      <c r="AC2552"/>
      <c r="AD2552"/>
      <c r="AE2552"/>
      <c r="AF2552"/>
      <c r="AG2552"/>
      <c r="AH2552"/>
      <c r="AO2552" s="2"/>
      <c r="AP2552" s="3"/>
      <c r="AQ2552" s="3"/>
      <c r="AR2552" s="3"/>
      <c r="AS2552" s="3"/>
    </row>
    <row r="2553" spans="1:45" ht="15">
      <c r="A2553"/>
      <c r="J2553"/>
      <c r="AA2553"/>
      <c r="AB2553"/>
      <c r="AC2553"/>
      <c r="AD2553"/>
      <c r="AE2553"/>
      <c r="AF2553"/>
      <c r="AG2553"/>
      <c r="AH2553"/>
      <c r="AO2553" s="2"/>
      <c r="AP2553" s="3"/>
      <c r="AQ2553" s="3"/>
      <c r="AR2553" s="3"/>
      <c r="AS2553" s="3"/>
    </row>
    <row r="2554" spans="1:45" ht="15">
      <c r="A2554"/>
      <c r="J2554"/>
      <c r="AA2554"/>
      <c r="AB2554"/>
      <c r="AC2554"/>
      <c r="AD2554"/>
      <c r="AE2554"/>
      <c r="AF2554"/>
      <c r="AG2554"/>
      <c r="AH2554"/>
      <c r="AO2554" s="2"/>
      <c r="AP2554" s="3"/>
      <c r="AQ2554" s="3"/>
      <c r="AR2554" s="3"/>
      <c r="AS2554" s="3"/>
    </row>
    <row r="2555" spans="1:45" ht="15">
      <c r="A2555"/>
      <c r="J2555"/>
      <c r="AA2555"/>
      <c r="AB2555"/>
      <c r="AC2555"/>
      <c r="AD2555"/>
      <c r="AE2555"/>
      <c r="AF2555"/>
      <c r="AG2555"/>
      <c r="AH2555"/>
      <c r="AO2555" s="2"/>
      <c r="AP2555" s="3"/>
      <c r="AQ2555" s="3"/>
      <c r="AR2555" s="3"/>
      <c r="AS2555" s="3"/>
    </row>
    <row r="2556" spans="1:45" ht="15">
      <c r="A2556"/>
      <c r="J2556"/>
      <c r="AA2556"/>
      <c r="AB2556"/>
      <c r="AC2556"/>
      <c r="AD2556"/>
      <c r="AE2556"/>
      <c r="AF2556"/>
      <c r="AG2556"/>
      <c r="AH2556"/>
      <c r="AO2556" s="2"/>
      <c r="AP2556" s="3"/>
      <c r="AQ2556" s="3"/>
      <c r="AR2556" s="3"/>
      <c r="AS2556" s="3"/>
    </row>
    <row r="2557" spans="1:45" ht="15">
      <c r="A2557"/>
      <c r="J2557"/>
      <c r="AA2557"/>
      <c r="AB2557"/>
      <c r="AC2557"/>
      <c r="AD2557"/>
      <c r="AE2557"/>
      <c r="AF2557"/>
      <c r="AG2557"/>
      <c r="AH2557"/>
      <c r="AO2557" s="2"/>
      <c r="AP2557" s="3"/>
      <c r="AQ2557" s="3"/>
      <c r="AR2557" s="3"/>
      <c r="AS2557" s="3"/>
    </row>
    <row r="2558" spans="1:45" ht="15">
      <c r="A2558"/>
      <c r="J2558"/>
      <c r="AA2558"/>
      <c r="AB2558"/>
      <c r="AC2558"/>
      <c r="AD2558"/>
      <c r="AE2558"/>
      <c r="AF2558"/>
      <c r="AG2558"/>
      <c r="AH2558"/>
      <c r="AO2558" s="2"/>
      <c r="AP2558" s="3"/>
      <c r="AQ2558" s="3"/>
      <c r="AR2558" s="3"/>
      <c r="AS2558" s="3"/>
    </row>
    <row r="2559" spans="1:45" ht="15">
      <c r="A2559"/>
      <c r="J2559"/>
      <c r="AA2559"/>
      <c r="AB2559"/>
      <c r="AC2559"/>
      <c r="AD2559"/>
      <c r="AE2559"/>
      <c r="AF2559"/>
      <c r="AG2559"/>
      <c r="AH2559"/>
      <c r="AO2559" s="2"/>
      <c r="AP2559" s="3"/>
      <c r="AQ2559" s="3"/>
      <c r="AR2559" s="3"/>
      <c r="AS2559" s="3"/>
    </row>
    <row r="2560" spans="1:45" ht="15">
      <c r="A2560"/>
      <c r="J2560"/>
      <c r="AA2560"/>
      <c r="AB2560"/>
      <c r="AC2560"/>
      <c r="AD2560"/>
      <c r="AE2560"/>
      <c r="AF2560"/>
      <c r="AG2560"/>
      <c r="AH2560"/>
      <c r="AO2560" s="2"/>
      <c r="AP2560" s="3"/>
      <c r="AQ2560" s="3"/>
      <c r="AR2560" s="3"/>
      <c r="AS2560" s="3"/>
    </row>
    <row r="2561" spans="1:45" ht="15">
      <c r="A2561"/>
      <c r="J2561"/>
      <c r="AA2561"/>
      <c r="AB2561"/>
      <c r="AC2561"/>
      <c r="AD2561"/>
      <c r="AE2561"/>
      <c r="AF2561"/>
      <c r="AG2561"/>
      <c r="AH2561"/>
      <c r="AO2561" s="2"/>
      <c r="AP2561" s="3"/>
      <c r="AQ2561" s="3"/>
      <c r="AR2561" s="3"/>
      <c r="AS2561" s="3"/>
    </row>
    <row r="2562" spans="1:45" ht="15">
      <c r="A2562"/>
      <c r="J2562"/>
      <c r="AA2562"/>
      <c r="AB2562"/>
      <c r="AC2562"/>
      <c r="AD2562"/>
      <c r="AE2562"/>
      <c r="AF2562"/>
      <c r="AG2562"/>
      <c r="AH2562"/>
      <c r="AO2562" s="2"/>
      <c r="AP2562" s="3"/>
      <c r="AQ2562" s="3"/>
      <c r="AR2562" s="3"/>
      <c r="AS2562" s="3"/>
    </row>
    <row r="2563" spans="1:45" ht="15">
      <c r="A2563"/>
      <c r="J2563"/>
      <c r="AA2563"/>
      <c r="AB2563"/>
      <c r="AC2563"/>
      <c r="AD2563"/>
      <c r="AE2563"/>
      <c r="AF2563"/>
      <c r="AG2563"/>
      <c r="AH2563"/>
      <c r="AO2563" s="2"/>
      <c r="AP2563" s="3"/>
      <c r="AQ2563" s="3"/>
      <c r="AR2563" s="3"/>
      <c r="AS2563" s="3"/>
    </row>
    <row r="2564" spans="1:45" ht="15">
      <c r="A2564"/>
      <c r="J2564"/>
      <c r="AA2564"/>
      <c r="AB2564"/>
      <c r="AC2564"/>
      <c r="AD2564"/>
      <c r="AE2564"/>
      <c r="AF2564"/>
      <c r="AG2564"/>
      <c r="AH2564"/>
      <c r="AO2564" s="2"/>
      <c r="AP2564" s="3"/>
      <c r="AQ2564" s="3"/>
      <c r="AR2564" s="3"/>
      <c r="AS2564" s="3"/>
    </row>
    <row r="2565" spans="1:45" ht="15">
      <c r="A2565"/>
      <c r="J2565"/>
      <c r="AA2565"/>
      <c r="AB2565"/>
      <c r="AC2565"/>
      <c r="AD2565"/>
      <c r="AE2565"/>
      <c r="AF2565"/>
      <c r="AG2565"/>
      <c r="AH2565"/>
      <c r="AO2565" s="2"/>
      <c r="AP2565" s="3"/>
      <c r="AQ2565" s="3"/>
      <c r="AR2565" s="3"/>
      <c r="AS2565" s="3"/>
    </row>
    <row r="2566" spans="1:45" ht="15">
      <c r="A2566"/>
      <c r="J2566"/>
      <c r="AA2566"/>
      <c r="AB2566"/>
      <c r="AC2566"/>
      <c r="AD2566"/>
      <c r="AE2566"/>
      <c r="AF2566"/>
      <c r="AG2566"/>
      <c r="AH2566"/>
      <c r="AO2566" s="2"/>
      <c r="AP2566" s="3"/>
      <c r="AQ2566" s="3"/>
      <c r="AR2566" s="3"/>
      <c r="AS2566" s="3"/>
    </row>
    <row r="2567" spans="1:45" ht="15">
      <c r="A2567"/>
      <c r="J2567"/>
      <c r="AA2567"/>
      <c r="AB2567"/>
      <c r="AC2567"/>
      <c r="AD2567"/>
      <c r="AE2567"/>
      <c r="AF2567"/>
      <c r="AG2567"/>
      <c r="AH2567"/>
      <c r="AO2567" s="2"/>
      <c r="AP2567" s="3"/>
      <c r="AQ2567" s="3"/>
      <c r="AR2567" s="3"/>
      <c r="AS2567" s="3"/>
    </row>
    <row r="2568" spans="1:45" ht="15">
      <c r="A2568"/>
      <c r="J2568"/>
      <c r="AA2568"/>
      <c r="AB2568"/>
      <c r="AC2568"/>
      <c r="AD2568"/>
      <c r="AE2568"/>
      <c r="AF2568"/>
      <c r="AG2568"/>
      <c r="AH2568"/>
      <c r="AO2568" s="2"/>
      <c r="AP2568" s="3"/>
      <c r="AQ2568" s="3"/>
      <c r="AR2568" s="3"/>
      <c r="AS2568" s="3"/>
    </row>
    <row r="2569" spans="1:45" ht="15">
      <c r="A2569"/>
      <c r="J2569"/>
      <c r="AA2569"/>
      <c r="AB2569"/>
      <c r="AC2569"/>
      <c r="AD2569"/>
      <c r="AE2569"/>
      <c r="AF2569"/>
      <c r="AG2569"/>
      <c r="AH2569"/>
      <c r="AO2569" s="2"/>
      <c r="AP2569" s="3"/>
      <c r="AQ2569" s="3"/>
      <c r="AR2569" s="3"/>
      <c r="AS2569" s="3"/>
    </row>
    <row r="2570" spans="1:45" ht="15">
      <c r="A2570"/>
      <c r="J2570"/>
      <c r="AA2570"/>
      <c r="AB2570"/>
      <c r="AC2570"/>
      <c r="AD2570"/>
      <c r="AE2570"/>
      <c r="AF2570"/>
      <c r="AG2570"/>
      <c r="AH2570"/>
      <c r="AO2570" s="2"/>
      <c r="AP2570" s="3"/>
      <c r="AQ2570" s="3"/>
      <c r="AR2570" s="3"/>
      <c r="AS2570" s="3"/>
    </row>
    <row r="2571" spans="1:45" ht="15">
      <c r="A2571"/>
      <c r="J2571"/>
      <c r="AA2571"/>
      <c r="AB2571"/>
      <c r="AC2571"/>
      <c r="AD2571"/>
      <c r="AE2571"/>
      <c r="AF2571"/>
      <c r="AG2571"/>
      <c r="AH2571"/>
      <c r="AO2571" s="2"/>
      <c r="AP2571" s="3"/>
      <c r="AQ2571" s="3"/>
      <c r="AR2571" s="3"/>
      <c r="AS2571" s="3"/>
    </row>
    <row r="2572" spans="1:45" ht="15">
      <c r="A2572"/>
      <c r="J2572"/>
      <c r="AA2572"/>
      <c r="AB2572"/>
      <c r="AC2572"/>
      <c r="AD2572"/>
      <c r="AE2572"/>
      <c r="AF2572"/>
      <c r="AG2572"/>
      <c r="AH2572"/>
      <c r="AO2572" s="2"/>
      <c r="AP2572" s="3"/>
      <c r="AQ2572" s="3"/>
      <c r="AR2572" s="3"/>
      <c r="AS2572" s="3"/>
    </row>
    <row r="2573" spans="1:45" ht="15">
      <c r="A2573"/>
      <c r="J2573"/>
      <c r="AA2573"/>
      <c r="AB2573"/>
      <c r="AC2573"/>
      <c r="AD2573"/>
      <c r="AE2573"/>
      <c r="AF2573"/>
      <c r="AG2573"/>
      <c r="AH2573"/>
      <c r="AO2573" s="2"/>
      <c r="AP2573" s="3"/>
      <c r="AQ2573" s="3"/>
      <c r="AR2573" s="3"/>
      <c r="AS2573" s="3"/>
    </row>
    <row r="2574" spans="1:45" ht="15">
      <c r="A2574"/>
      <c r="J2574"/>
      <c r="AA2574"/>
      <c r="AB2574"/>
      <c r="AC2574"/>
      <c r="AD2574"/>
      <c r="AE2574"/>
      <c r="AF2574"/>
      <c r="AG2574"/>
      <c r="AH2574"/>
      <c r="AO2574" s="2"/>
      <c r="AP2574" s="3"/>
      <c r="AQ2574" s="3"/>
      <c r="AR2574" s="3"/>
      <c r="AS2574" s="3"/>
    </row>
    <row r="2575" spans="1:45" ht="15">
      <c r="A2575"/>
      <c r="J2575"/>
      <c r="AA2575"/>
      <c r="AB2575"/>
      <c r="AC2575"/>
      <c r="AD2575"/>
      <c r="AE2575"/>
      <c r="AF2575"/>
      <c r="AG2575"/>
      <c r="AH2575"/>
      <c r="AO2575" s="2"/>
      <c r="AP2575" s="3"/>
      <c r="AQ2575" s="3"/>
      <c r="AR2575" s="3"/>
      <c r="AS2575" s="3"/>
    </row>
    <row r="2576" spans="1:45" ht="15">
      <c r="A2576"/>
      <c r="J2576"/>
      <c r="AA2576"/>
      <c r="AB2576"/>
      <c r="AC2576"/>
      <c r="AD2576"/>
      <c r="AE2576"/>
      <c r="AF2576"/>
      <c r="AG2576"/>
      <c r="AH2576"/>
      <c r="AO2576" s="2"/>
      <c r="AP2576" s="3"/>
      <c r="AQ2576" s="3"/>
      <c r="AR2576" s="3"/>
      <c r="AS2576" s="3"/>
    </row>
    <row r="2577" spans="1:45" ht="15">
      <c r="A2577"/>
      <c r="J2577"/>
      <c r="AA2577"/>
      <c r="AB2577"/>
      <c r="AC2577"/>
      <c r="AD2577"/>
      <c r="AE2577"/>
      <c r="AF2577"/>
      <c r="AG2577"/>
      <c r="AH2577"/>
      <c r="AO2577" s="2"/>
      <c r="AP2577" s="3"/>
      <c r="AQ2577" s="3"/>
      <c r="AR2577" s="3"/>
      <c r="AS2577" s="3"/>
    </row>
    <row r="2578" spans="1:45" ht="15">
      <c r="A2578"/>
      <c r="J2578"/>
      <c r="AA2578"/>
      <c r="AB2578"/>
      <c r="AC2578"/>
      <c r="AD2578"/>
      <c r="AE2578"/>
      <c r="AF2578"/>
      <c r="AG2578"/>
      <c r="AH2578"/>
      <c r="AO2578" s="2"/>
      <c r="AP2578" s="3"/>
      <c r="AQ2578" s="3"/>
      <c r="AR2578" s="3"/>
      <c r="AS2578" s="3"/>
    </row>
    <row r="2579" spans="1:45" ht="15">
      <c r="A2579"/>
      <c r="J2579"/>
      <c r="AA2579"/>
      <c r="AB2579"/>
      <c r="AC2579"/>
      <c r="AD2579"/>
      <c r="AE2579"/>
      <c r="AF2579"/>
      <c r="AG2579"/>
      <c r="AH2579"/>
      <c r="AO2579" s="2"/>
      <c r="AP2579" s="3"/>
      <c r="AQ2579" s="3"/>
      <c r="AR2579" s="3"/>
      <c r="AS2579" s="3"/>
    </row>
    <row r="2580" spans="1:45" ht="15">
      <c r="A2580"/>
      <c r="J2580"/>
      <c r="AA2580"/>
      <c r="AB2580"/>
      <c r="AC2580"/>
      <c r="AD2580"/>
      <c r="AE2580"/>
      <c r="AF2580"/>
      <c r="AG2580"/>
      <c r="AH2580"/>
      <c r="AO2580" s="2"/>
      <c r="AP2580" s="3"/>
      <c r="AQ2580" s="3"/>
      <c r="AR2580" s="3"/>
      <c r="AS2580" s="3"/>
    </row>
    <row r="2581" spans="1:45" ht="15">
      <c r="A2581"/>
      <c r="J2581"/>
      <c r="AA2581"/>
      <c r="AB2581"/>
      <c r="AC2581"/>
      <c r="AD2581"/>
      <c r="AE2581"/>
      <c r="AF2581"/>
      <c r="AG2581"/>
      <c r="AH2581"/>
      <c r="AO2581" s="2"/>
      <c r="AP2581" s="3"/>
      <c r="AQ2581" s="3"/>
      <c r="AR2581" s="3"/>
      <c r="AS2581" s="3"/>
    </row>
    <row r="2582" spans="1:45" ht="15">
      <c r="A2582"/>
      <c r="J2582"/>
      <c r="AA2582"/>
      <c r="AB2582"/>
      <c r="AC2582"/>
      <c r="AD2582"/>
      <c r="AE2582"/>
      <c r="AF2582"/>
      <c r="AG2582"/>
      <c r="AH2582"/>
      <c r="AO2582" s="2"/>
      <c r="AP2582" s="3"/>
      <c r="AQ2582" s="3"/>
      <c r="AR2582" s="3"/>
      <c r="AS2582" s="3"/>
    </row>
    <row r="2583" spans="1:45" ht="15">
      <c r="A2583"/>
      <c r="J2583"/>
      <c r="AA2583"/>
      <c r="AB2583"/>
      <c r="AC2583"/>
      <c r="AD2583"/>
      <c r="AE2583"/>
      <c r="AF2583"/>
      <c r="AG2583"/>
      <c r="AH2583"/>
      <c r="AO2583" s="2"/>
      <c r="AP2583" s="3"/>
      <c r="AQ2583" s="3"/>
      <c r="AR2583" s="3"/>
      <c r="AS2583" s="3"/>
    </row>
    <row r="2584" spans="1:45" ht="15">
      <c r="A2584"/>
      <c r="J2584"/>
      <c r="AA2584"/>
      <c r="AB2584"/>
      <c r="AC2584"/>
      <c r="AD2584"/>
      <c r="AE2584"/>
      <c r="AF2584"/>
      <c r="AG2584"/>
      <c r="AH2584"/>
      <c r="AO2584" s="2"/>
      <c r="AP2584" s="3"/>
      <c r="AQ2584" s="3"/>
      <c r="AR2584" s="3"/>
      <c r="AS2584" s="3"/>
    </row>
    <row r="2585" spans="1:45" ht="15">
      <c r="A2585"/>
      <c r="J2585"/>
      <c r="AA2585"/>
      <c r="AB2585"/>
      <c r="AC2585"/>
      <c r="AD2585"/>
      <c r="AE2585"/>
      <c r="AF2585"/>
      <c r="AG2585"/>
      <c r="AH2585"/>
      <c r="AO2585" s="2"/>
      <c r="AP2585" s="3"/>
      <c r="AQ2585" s="3"/>
      <c r="AR2585" s="3"/>
      <c r="AS2585" s="3"/>
    </row>
    <row r="2586" spans="1:45" ht="15">
      <c r="A2586"/>
      <c r="J2586"/>
      <c r="AA2586"/>
      <c r="AB2586"/>
      <c r="AC2586"/>
      <c r="AD2586"/>
      <c r="AE2586"/>
      <c r="AF2586"/>
      <c r="AG2586"/>
      <c r="AH2586"/>
      <c r="AO2586" s="2"/>
      <c r="AP2586" s="3"/>
      <c r="AQ2586" s="3"/>
      <c r="AR2586" s="3"/>
      <c r="AS2586" s="3"/>
    </row>
    <row r="2587" spans="1:45" ht="15">
      <c r="A2587"/>
      <c r="J2587"/>
      <c r="AA2587"/>
      <c r="AB2587"/>
      <c r="AC2587"/>
      <c r="AD2587"/>
      <c r="AE2587"/>
      <c r="AF2587"/>
      <c r="AG2587"/>
      <c r="AH2587"/>
      <c r="AO2587" s="2"/>
      <c r="AP2587" s="3"/>
      <c r="AQ2587" s="3"/>
      <c r="AR2587" s="3"/>
      <c r="AS2587" s="3"/>
    </row>
    <row r="2588" spans="1:45" ht="15">
      <c r="A2588"/>
      <c r="J2588"/>
      <c r="AA2588"/>
      <c r="AB2588"/>
      <c r="AC2588"/>
      <c r="AD2588"/>
      <c r="AE2588"/>
      <c r="AF2588"/>
      <c r="AG2588"/>
      <c r="AH2588"/>
      <c r="AO2588" s="2"/>
      <c r="AP2588" s="3"/>
      <c r="AQ2588" s="3"/>
      <c r="AR2588" s="3"/>
      <c r="AS2588" s="3"/>
    </row>
    <row r="2589" spans="1:45" ht="15">
      <c r="A2589"/>
      <c r="J2589"/>
      <c r="AA2589"/>
      <c r="AB2589"/>
      <c r="AC2589"/>
      <c r="AD2589"/>
      <c r="AE2589"/>
      <c r="AF2589"/>
      <c r="AG2589"/>
      <c r="AH2589"/>
      <c r="AO2589" s="2"/>
      <c r="AP2589" s="3"/>
      <c r="AQ2589" s="3"/>
      <c r="AR2589" s="3"/>
      <c r="AS2589" s="3"/>
    </row>
    <row r="2590" spans="1:45" ht="15">
      <c r="A2590"/>
      <c r="J2590"/>
      <c r="AA2590"/>
      <c r="AB2590"/>
      <c r="AC2590"/>
      <c r="AD2590"/>
      <c r="AE2590"/>
      <c r="AF2590"/>
      <c r="AG2590"/>
      <c r="AH2590"/>
      <c r="AO2590" s="2"/>
      <c r="AP2590" s="3"/>
      <c r="AQ2590" s="3"/>
      <c r="AR2590" s="3"/>
      <c r="AS2590" s="3"/>
    </row>
    <row r="2591" spans="1:45" ht="15">
      <c r="A2591"/>
      <c r="J2591"/>
      <c r="AA2591"/>
      <c r="AB2591"/>
      <c r="AC2591"/>
      <c r="AD2591"/>
      <c r="AE2591"/>
      <c r="AF2591"/>
      <c r="AG2591"/>
      <c r="AH2591"/>
      <c r="AO2591" s="2"/>
      <c r="AP2591" s="3"/>
      <c r="AQ2591" s="3"/>
      <c r="AR2591" s="3"/>
      <c r="AS2591" s="3"/>
    </row>
    <row r="2592" spans="1:45" ht="15">
      <c r="A2592"/>
      <c r="J2592"/>
      <c r="AA2592"/>
      <c r="AB2592"/>
      <c r="AC2592"/>
      <c r="AD2592"/>
      <c r="AE2592"/>
      <c r="AF2592"/>
      <c r="AG2592"/>
      <c r="AH2592"/>
      <c r="AO2592" s="2"/>
      <c r="AP2592" s="3"/>
      <c r="AQ2592" s="3"/>
      <c r="AR2592" s="3"/>
      <c r="AS2592" s="3"/>
    </row>
    <row r="2593" spans="1:45" ht="15">
      <c r="A2593"/>
      <c r="J2593"/>
      <c r="AA2593"/>
      <c r="AB2593"/>
      <c r="AC2593"/>
      <c r="AD2593"/>
      <c r="AE2593"/>
      <c r="AF2593"/>
      <c r="AG2593"/>
      <c r="AH2593"/>
      <c r="AO2593" s="2"/>
      <c r="AP2593" s="3"/>
      <c r="AQ2593" s="3"/>
      <c r="AR2593" s="3"/>
      <c r="AS2593" s="3"/>
    </row>
    <row r="2594" spans="1:45" ht="15">
      <c r="A2594"/>
      <c r="J2594"/>
      <c r="AA2594"/>
      <c r="AB2594"/>
      <c r="AC2594"/>
      <c r="AD2594"/>
      <c r="AE2594"/>
      <c r="AF2594"/>
      <c r="AG2594"/>
      <c r="AH2594"/>
      <c r="AO2594" s="2"/>
      <c r="AP2594" s="3"/>
      <c r="AQ2594" s="3"/>
      <c r="AR2594" s="3"/>
      <c r="AS2594" s="3"/>
    </row>
    <row r="2595" spans="1:45" ht="15">
      <c r="A2595"/>
      <c r="J2595"/>
      <c r="AA2595"/>
      <c r="AB2595"/>
      <c r="AC2595"/>
      <c r="AD2595"/>
      <c r="AE2595"/>
      <c r="AF2595"/>
      <c r="AG2595"/>
      <c r="AH2595"/>
      <c r="AO2595" s="2"/>
      <c r="AP2595" s="3"/>
      <c r="AQ2595" s="3"/>
      <c r="AR2595" s="3"/>
      <c r="AS2595" s="3"/>
    </row>
    <row r="2596" spans="1:45" ht="15">
      <c r="A2596"/>
      <c r="J2596"/>
      <c r="AA2596"/>
      <c r="AB2596"/>
      <c r="AC2596"/>
      <c r="AD2596"/>
      <c r="AE2596"/>
      <c r="AF2596"/>
      <c r="AG2596"/>
      <c r="AH2596"/>
      <c r="AO2596" s="2"/>
      <c r="AP2596" s="3"/>
      <c r="AQ2596" s="3"/>
      <c r="AR2596" s="3"/>
      <c r="AS2596" s="3"/>
    </row>
    <row r="2597" spans="1:45" ht="15">
      <c r="A2597"/>
      <c r="J2597"/>
      <c r="AA2597"/>
      <c r="AB2597"/>
      <c r="AC2597"/>
      <c r="AD2597"/>
      <c r="AE2597"/>
      <c r="AF2597"/>
      <c r="AG2597"/>
      <c r="AH2597"/>
      <c r="AO2597" s="2"/>
      <c r="AP2597" s="3"/>
      <c r="AQ2597" s="3"/>
      <c r="AR2597" s="3"/>
      <c r="AS2597" s="3"/>
    </row>
    <row r="2598" spans="1:45" ht="15">
      <c r="A2598"/>
      <c r="J2598"/>
      <c r="AA2598"/>
      <c r="AB2598"/>
      <c r="AC2598"/>
      <c r="AD2598"/>
      <c r="AE2598"/>
      <c r="AF2598"/>
      <c r="AG2598"/>
      <c r="AH2598"/>
      <c r="AO2598" s="2"/>
      <c r="AP2598" s="3"/>
      <c r="AQ2598" s="3"/>
      <c r="AR2598" s="3"/>
      <c r="AS2598" s="3"/>
    </row>
    <row r="2599" spans="1:45" ht="15">
      <c r="A2599"/>
      <c r="J2599"/>
      <c r="AA2599"/>
      <c r="AB2599"/>
      <c r="AC2599"/>
      <c r="AD2599"/>
      <c r="AE2599"/>
      <c r="AF2599"/>
      <c r="AG2599"/>
      <c r="AH2599"/>
      <c r="AO2599" s="2"/>
      <c r="AP2599" s="3"/>
      <c r="AQ2599" s="3"/>
      <c r="AR2599" s="3"/>
      <c r="AS2599" s="3"/>
    </row>
    <row r="2600" spans="1:45" ht="15">
      <c r="A2600"/>
      <c r="J2600"/>
      <c r="AA2600"/>
      <c r="AB2600"/>
      <c r="AC2600"/>
      <c r="AD2600"/>
      <c r="AE2600"/>
      <c r="AF2600"/>
      <c r="AG2600"/>
      <c r="AH2600"/>
      <c r="AO2600" s="2"/>
      <c r="AP2600" s="3"/>
      <c r="AQ2600" s="3"/>
      <c r="AR2600" s="3"/>
      <c r="AS2600" s="3"/>
    </row>
    <row r="2601" spans="1:45" ht="15">
      <c r="A2601"/>
      <c r="J2601"/>
      <c r="AA2601"/>
      <c r="AB2601"/>
      <c r="AC2601"/>
      <c r="AD2601"/>
      <c r="AE2601"/>
      <c r="AF2601"/>
      <c r="AG2601"/>
      <c r="AH2601"/>
      <c r="AO2601" s="2"/>
      <c r="AP2601" s="3"/>
      <c r="AQ2601" s="3"/>
      <c r="AR2601" s="3"/>
      <c r="AS2601" s="3"/>
    </row>
    <row r="2602" spans="1:45" ht="15">
      <c r="A2602"/>
      <c r="J2602"/>
      <c r="AA2602"/>
      <c r="AB2602"/>
      <c r="AC2602"/>
      <c r="AD2602"/>
      <c r="AE2602"/>
      <c r="AF2602"/>
      <c r="AG2602"/>
      <c r="AH2602"/>
      <c r="AO2602" s="2"/>
      <c r="AP2602" s="3"/>
      <c r="AQ2602" s="3"/>
      <c r="AR2602" s="3"/>
      <c r="AS2602" s="3"/>
    </row>
    <row r="2603" spans="1:45" ht="15">
      <c r="A2603"/>
      <c r="J2603"/>
      <c r="AA2603"/>
      <c r="AB2603"/>
      <c r="AC2603"/>
      <c r="AD2603"/>
      <c r="AE2603"/>
      <c r="AF2603"/>
      <c r="AG2603"/>
      <c r="AH2603"/>
      <c r="AO2603" s="2"/>
      <c r="AP2603" s="3"/>
      <c r="AQ2603" s="3"/>
      <c r="AR2603" s="3"/>
      <c r="AS2603" s="3"/>
    </row>
    <row r="2604" spans="1:45" ht="15">
      <c r="A2604"/>
      <c r="J2604"/>
      <c r="AA2604"/>
      <c r="AB2604"/>
      <c r="AC2604"/>
      <c r="AD2604"/>
      <c r="AE2604"/>
      <c r="AF2604"/>
      <c r="AG2604"/>
      <c r="AH2604"/>
      <c r="AO2604" s="2"/>
      <c r="AP2604" s="3"/>
      <c r="AQ2604" s="3"/>
      <c r="AR2604" s="3"/>
      <c r="AS2604" s="3"/>
    </row>
    <row r="2605" spans="1:45" ht="15">
      <c r="A2605"/>
      <c r="J2605"/>
      <c r="AA2605"/>
      <c r="AB2605"/>
      <c r="AC2605"/>
      <c r="AD2605"/>
      <c r="AE2605"/>
      <c r="AF2605"/>
      <c r="AG2605"/>
      <c r="AH2605"/>
      <c r="AO2605" s="2"/>
      <c r="AP2605" s="3"/>
      <c r="AQ2605" s="3"/>
      <c r="AR2605" s="3"/>
      <c r="AS2605" s="3"/>
    </row>
    <row r="2606" spans="1:45" ht="15">
      <c r="A2606"/>
      <c r="J2606"/>
      <c r="AA2606"/>
      <c r="AB2606"/>
      <c r="AC2606"/>
      <c r="AD2606"/>
      <c r="AE2606"/>
      <c r="AF2606"/>
      <c r="AG2606"/>
      <c r="AH2606"/>
      <c r="AO2606" s="2"/>
      <c r="AP2606" s="3"/>
      <c r="AQ2606" s="3"/>
      <c r="AR2606" s="3"/>
      <c r="AS2606" s="3"/>
    </row>
    <row r="2607" spans="1:45" ht="15">
      <c r="A2607"/>
      <c r="J2607"/>
      <c r="AA2607"/>
      <c r="AB2607"/>
      <c r="AC2607"/>
      <c r="AD2607"/>
      <c r="AE2607"/>
      <c r="AF2607"/>
      <c r="AG2607"/>
      <c r="AH2607"/>
      <c r="AO2607" s="2"/>
      <c r="AP2607" s="3"/>
      <c r="AQ2607" s="3"/>
      <c r="AR2607" s="3"/>
      <c r="AS2607" s="3"/>
    </row>
    <row r="2608" spans="1:45" ht="15">
      <c r="A2608"/>
      <c r="J2608"/>
      <c r="AA2608"/>
      <c r="AB2608"/>
      <c r="AC2608"/>
      <c r="AD2608"/>
      <c r="AE2608"/>
      <c r="AF2608"/>
      <c r="AG2608"/>
      <c r="AH2608"/>
      <c r="AO2608" s="2"/>
      <c r="AP2608" s="3"/>
      <c r="AQ2608" s="3"/>
      <c r="AR2608" s="3"/>
      <c r="AS2608" s="3"/>
    </row>
    <row r="2609" spans="1:45" ht="15">
      <c r="A2609"/>
      <c r="J2609"/>
      <c r="AA2609"/>
      <c r="AB2609"/>
      <c r="AC2609"/>
      <c r="AD2609"/>
      <c r="AE2609"/>
      <c r="AF2609"/>
      <c r="AG2609"/>
      <c r="AH2609"/>
      <c r="AO2609" s="2"/>
      <c r="AP2609" s="3"/>
      <c r="AQ2609" s="3"/>
      <c r="AR2609" s="3"/>
      <c r="AS2609" s="3"/>
    </row>
    <row r="2610" spans="1:45" ht="15">
      <c r="A2610"/>
      <c r="J2610"/>
      <c r="AA2610"/>
      <c r="AB2610"/>
      <c r="AC2610"/>
      <c r="AD2610"/>
      <c r="AE2610"/>
      <c r="AF2610"/>
      <c r="AG2610"/>
      <c r="AH2610"/>
      <c r="AO2610" s="2"/>
      <c r="AP2610" s="3"/>
      <c r="AQ2610" s="3"/>
      <c r="AR2610" s="3"/>
      <c r="AS2610" s="3"/>
    </row>
    <row r="2611" spans="1:45" ht="15">
      <c r="A2611"/>
      <c r="J2611"/>
      <c r="AA2611"/>
      <c r="AB2611"/>
      <c r="AC2611"/>
      <c r="AD2611"/>
      <c r="AE2611"/>
      <c r="AF2611"/>
      <c r="AG2611"/>
      <c r="AH2611"/>
      <c r="AO2611" s="2"/>
      <c r="AP2611" s="3"/>
      <c r="AQ2611" s="3"/>
      <c r="AR2611" s="3"/>
      <c r="AS2611" s="3"/>
    </row>
    <row r="2612" spans="1:45" ht="15">
      <c r="A2612"/>
      <c r="J2612"/>
      <c r="AA2612"/>
      <c r="AB2612"/>
      <c r="AC2612"/>
      <c r="AD2612"/>
      <c r="AE2612"/>
      <c r="AF2612"/>
      <c r="AG2612"/>
      <c r="AH2612"/>
      <c r="AO2612" s="2"/>
      <c r="AP2612" s="3"/>
      <c r="AQ2612" s="3"/>
      <c r="AR2612" s="3"/>
      <c r="AS2612" s="3"/>
    </row>
    <row r="2613" spans="1:45" ht="15">
      <c r="A2613"/>
      <c r="J2613"/>
      <c r="AA2613"/>
      <c r="AB2613"/>
      <c r="AC2613"/>
      <c r="AD2613"/>
      <c r="AE2613"/>
      <c r="AF2613"/>
      <c r="AG2613"/>
      <c r="AH2613"/>
      <c r="AO2613" s="2"/>
      <c r="AP2613" s="3"/>
      <c r="AQ2613" s="3"/>
      <c r="AR2613" s="3"/>
      <c r="AS2613" s="3"/>
    </row>
    <row r="2614" spans="1:45" ht="15">
      <c r="A2614"/>
      <c r="J2614"/>
      <c r="AA2614"/>
      <c r="AB2614"/>
      <c r="AC2614"/>
      <c r="AD2614"/>
      <c r="AE2614"/>
      <c r="AF2614"/>
      <c r="AG2614"/>
      <c r="AH2614"/>
      <c r="AO2614" s="2"/>
      <c r="AP2614" s="3"/>
      <c r="AQ2614" s="3"/>
      <c r="AR2614" s="3"/>
      <c r="AS2614" s="3"/>
    </row>
    <row r="2615" spans="1:45" ht="15">
      <c r="A2615"/>
      <c r="J2615"/>
      <c r="AA2615"/>
      <c r="AB2615"/>
      <c r="AC2615"/>
      <c r="AD2615"/>
      <c r="AE2615"/>
      <c r="AF2615"/>
      <c r="AG2615"/>
      <c r="AH2615"/>
      <c r="AO2615" s="2"/>
      <c r="AP2615" s="3"/>
      <c r="AQ2615" s="3"/>
      <c r="AR2615" s="3"/>
      <c r="AS2615" s="3"/>
    </row>
    <row r="2616" spans="1:45" ht="15">
      <c r="A2616"/>
      <c r="J2616"/>
      <c r="AA2616"/>
      <c r="AB2616"/>
      <c r="AC2616"/>
      <c r="AD2616"/>
      <c r="AE2616"/>
      <c r="AF2616"/>
      <c r="AG2616"/>
      <c r="AH2616"/>
      <c r="AO2616" s="2"/>
      <c r="AP2616" s="3"/>
      <c r="AQ2616" s="3"/>
      <c r="AR2616" s="3"/>
      <c r="AS2616" s="3"/>
    </row>
    <row r="2617" spans="1:45" ht="15">
      <c r="A2617"/>
      <c r="J2617"/>
      <c r="AA2617"/>
      <c r="AB2617"/>
      <c r="AC2617"/>
      <c r="AD2617"/>
      <c r="AE2617"/>
      <c r="AF2617"/>
      <c r="AG2617"/>
      <c r="AH2617"/>
      <c r="AO2617" s="2"/>
      <c r="AP2617" s="3"/>
      <c r="AQ2617" s="3"/>
      <c r="AR2617" s="3"/>
      <c r="AS2617" s="3"/>
    </row>
    <row r="2618" spans="1:45" ht="15">
      <c r="A2618"/>
      <c r="J2618"/>
      <c r="AA2618"/>
      <c r="AB2618"/>
      <c r="AC2618"/>
      <c r="AD2618"/>
      <c r="AE2618"/>
      <c r="AF2618"/>
      <c r="AG2618"/>
      <c r="AH2618"/>
      <c r="AO2618" s="2"/>
      <c r="AP2618" s="3"/>
      <c r="AQ2618" s="3"/>
      <c r="AR2618" s="3"/>
      <c r="AS2618" s="3"/>
    </row>
    <row r="2619" spans="1:45" ht="15">
      <c r="A2619"/>
      <c r="J2619"/>
      <c r="AA2619"/>
      <c r="AB2619"/>
      <c r="AC2619"/>
      <c r="AD2619"/>
      <c r="AE2619"/>
      <c r="AF2619"/>
      <c r="AG2619"/>
      <c r="AH2619"/>
      <c r="AO2619" s="2"/>
      <c r="AP2619" s="3"/>
      <c r="AQ2619" s="3"/>
      <c r="AR2619" s="3"/>
      <c r="AS2619" s="3"/>
    </row>
    <row r="2620" spans="1:45" ht="15">
      <c r="A2620"/>
      <c r="J2620"/>
      <c r="AA2620"/>
      <c r="AB2620"/>
      <c r="AC2620"/>
      <c r="AD2620"/>
      <c r="AE2620"/>
      <c r="AF2620"/>
      <c r="AG2620"/>
      <c r="AH2620"/>
      <c r="AO2620" s="2"/>
      <c r="AP2620" s="3"/>
      <c r="AQ2620" s="3"/>
      <c r="AR2620" s="3"/>
      <c r="AS2620" s="3"/>
    </row>
    <row r="2621" spans="1:45" ht="15">
      <c r="A2621"/>
      <c r="J2621"/>
      <c r="AA2621"/>
      <c r="AB2621"/>
      <c r="AC2621"/>
      <c r="AD2621"/>
      <c r="AE2621"/>
      <c r="AF2621"/>
      <c r="AG2621"/>
      <c r="AH2621"/>
      <c r="AO2621" s="2"/>
      <c r="AP2621" s="3"/>
      <c r="AQ2621" s="3"/>
      <c r="AR2621" s="3"/>
      <c r="AS2621" s="3"/>
    </row>
    <row r="2622" spans="1:45" ht="15">
      <c r="A2622"/>
      <c r="J2622"/>
      <c r="AA2622"/>
      <c r="AB2622"/>
      <c r="AC2622"/>
      <c r="AD2622"/>
      <c r="AE2622"/>
      <c r="AF2622"/>
      <c r="AG2622"/>
      <c r="AH2622"/>
      <c r="AO2622" s="2"/>
      <c r="AP2622" s="3"/>
      <c r="AQ2622" s="3"/>
      <c r="AR2622" s="3"/>
      <c r="AS2622" s="3"/>
    </row>
    <row r="2623" spans="1:45" ht="15">
      <c r="A2623"/>
      <c r="J2623"/>
      <c r="AA2623"/>
      <c r="AB2623"/>
      <c r="AC2623"/>
      <c r="AD2623"/>
      <c r="AE2623"/>
      <c r="AF2623"/>
      <c r="AG2623"/>
      <c r="AH2623"/>
      <c r="AO2623" s="2"/>
      <c r="AP2623" s="3"/>
      <c r="AQ2623" s="3"/>
      <c r="AR2623" s="3"/>
      <c r="AS2623" s="3"/>
    </row>
    <row r="2624" spans="1:45" ht="15">
      <c r="A2624"/>
      <c r="J2624"/>
      <c r="AA2624"/>
      <c r="AB2624"/>
      <c r="AC2624"/>
      <c r="AD2624"/>
      <c r="AE2624"/>
      <c r="AF2624"/>
      <c r="AG2624"/>
      <c r="AH2624"/>
      <c r="AO2624" s="2"/>
      <c r="AP2624" s="3"/>
      <c r="AQ2624" s="3"/>
      <c r="AR2624" s="3"/>
      <c r="AS2624" s="3"/>
    </row>
    <row r="2625" spans="1:45" ht="15">
      <c r="A2625"/>
      <c r="J2625"/>
      <c r="AA2625"/>
      <c r="AB2625"/>
      <c r="AC2625"/>
      <c r="AD2625"/>
      <c r="AE2625"/>
      <c r="AF2625"/>
      <c r="AG2625"/>
      <c r="AH2625"/>
      <c r="AO2625" s="2"/>
      <c r="AP2625" s="3"/>
      <c r="AQ2625" s="3"/>
      <c r="AR2625" s="3"/>
      <c r="AS2625" s="3"/>
    </row>
    <row r="2626" spans="1:45" ht="15">
      <c r="A2626"/>
      <c r="J2626"/>
      <c r="AA2626"/>
      <c r="AB2626"/>
      <c r="AC2626"/>
      <c r="AD2626"/>
      <c r="AE2626"/>
      <c r="AF2626"/>
      <c r="AG2626"/>
      <c r="AH2626"/>
      <c r="AO2626" s="2"/>
      <c r="AP2626" s="3"/>
      <c r="AQ2626" s="3"/>
      <c r="AR2626" s="3"/>
      <c r="AS2626" s="3"/>
    </row>
    <row r="2627" spans="1:45" ht="15">
      <c r="A2627"/>
      <c r="J2627"/>
      <c r="AA2627"/>
      <c r="AB2627"/>
      <c r="AC2627"/>
      <c r="AD2627"/>
      <c r="AE2627"/>
      <c r="AF2627"/>
      <c r="AG2627"/>
      <c r="AH2627"/>
      <c r="AO2627" s="2"/>
      <c r="AP2627" s="3"/>
      <c r="AQ2627" s="3"/>
      <c r="AR2627" s="3"/>
      <c r="AS2627" s="3"/>
    </row>
    <row r="2628" spans="1:45" ht="15">
      <c r="A2628"/>
      <c r="J2628"/>
      <c r="AA2628"/>
      <c r="AB2628"/>
      <c r="AC2628"/>
      <c r="AD2628"/>
      <c r="AE2628"/>
      <c r="AF2628"/>
      <c r="AG2628"/>
      <c r="AH2628"/>
      <c r="AO2628" s="2"/>
      <c r="AP2628" s="3"/>
      <c r="AQ2628" s="3"/>
      <c r="AR2628" s="3"/>
      <c r="AS2628" s="3"/>
    </row>
    <row r="2629" spans="1:45" ht="15">
      <c r="A2629"/>
      <c r="J2629"/>
      <c r="AA2629"/>
      <c r="AB2629"/>
      <c r="AC2629"/>
      <c r="AD2629"/>
      <c r="AE2629"/>
      <c r="AF2629"/>
      <c r="AG2629"/>
      <c r="AH2629"/>
      <c r="AO2629" s="2"/>
      <c r="AP2629" s="3"/>
      <c r="AQ2629" s="3"/>
      <c r="AR2629" s="3"/>
      <c r="AS2629" s="3"/>
    </row>
    <row r="2630" spans="1:45" ht="15">
      <c r="A2630"/>
      <c r="J2630"/>
      <c r="AA2630"/>
      <c r="AB2630"/>
      <c r="AC2630"/>
      <c r="AD2630"/>
      <c r="AE2630"/>
      <c r="AF2630"/>
      <c r="AG2630"/>
      <c r="AH2630"/>
      <c r="AO2630" s="2"/>
      <c r="AP2630" s="3"/>
      <c r="AQ2630" s="3"/>
      <c r="AR2630" s="3"/>
      <c r="AS2630" s="3"/>
    </row>
    <row r="2631" spans="1:45" ht="15">
      <c r="A2631"/>
      <c r="J2631"/>
      <c r="AA2631"/>
      <c r="AB2631"/>
      <c r="AC2631"/>
      <c r="AD2631"/>
      <c r="AE2631"/>
      <c r="AF2631"/>
      <c r="AG2631"/>
      <c r="AH2631"/>
      <c r="AO2631" s="2"/>
      <c r="AP2631" s="3"/>
      <c r="AQ2631" s="3"/>
      <c r="AR2631" s="3"/>
      <c r="AS2631" s="3"/>
    </row>
    <row r="2632" spans="1:45" ht="15">
      <c r="A2632"/>
      <c r="J2632"/>
      <c r="AA2632"/>
      <c r="AB2632"/>
      <c r="AC2632"/>
      <c r="AD2632"/>
      <c r="AE2632"/>
      <c r="AF2632"/>
      <c r="AG2632"/>
      <c r="AH2632"/>
      <c r="AO2632" s="2"/>
      <c r="AP2632" s="3"/>
      <c r="AQ2632" s="3"/>
      <c r="AR2632" s="3"/>
      <c r="AS2632" s="3"/>
    </row>
    <row r="2633" spans="1:45" ht="15">
      <c r="A2633"/>
      <c r="J2633"/>
      <c r="AA2633"/>
      <c r="AB2633"/>
      <c r="AC2633"/>
      <c r="AD2633"/>
      <c r="AE2633"/>
      <c r="AF2633"/>
      <c r="AG2633"/>
      <c r="AH2633"/>
      <c r="AO2633" s="2"/>
      <c r="AP2633" s="3"/>
      <c r="AQ2633" s="3"/>
      <c r="AR2633" s="3"/>
      <c r="AS2633" s="3"/>
    </row>
    <row r="2634" spans="1:45" ht="15">
      <c r="A2634"/>
      <c r="J2634"/>
      <c r="AA2634"/>
      <c r="AB2634"/>
      <c r="AC2634"/>
      <c r="AD2634"/>
      <c r="AE2634"/>
      <c r="AF2634"/>
      <c r="AG2634"/>
      <c r="AH2634"/>
      <c r="AO2634" s="2"/>
      <c r="AP2634" s="3"/>
      <c r="AQ2634" s="3"/>
      <c r="AR2634" s="3"/>
      <c r="AS2634" s="3"/>
    </row>
    <row r="2635" spans="1:45" ht="15">
      <c r="A2635"/>
      <c r="J2635"/>
      <c r="AA2635"/>
      <c r="AB2635"/>
      <c r="AC2635"/>
      <c r="AD2635"/>
      <c r="AE2635"/>
      <c r="AF2635"/>
      <c r="AG2635"/>
      <c r="AH2635"/>
      <c r="AO2635" s="2"/>
      <c r="AP2635" s="3"/>
      <c r="AQ2635" s="3"/>
      <c r="AR2635" s="3"/>
      <c r="AS2635" s="3"/>
    </row>
    <row r="2636" spans="1:45" ht="15">
      <c r="A2636"/>
      <c r="J2636"/>
      <c r="AA2636"/>
      <c r="AB2636"/>
      <c r="AC2636"/>
      <c r="AD2636"/>
      <c r="AE2636"/>
      <c r="AF2636"/>
      <c r="AG2636"/>
      <c r="AH2636"/>
      <c r="AO2636" s="2"/>
      <c r="AP2636" s="3"/>
      <c r="AQ2636" s="3"/>
      <c r="AR2636" s="3"/>
      <c r="AS2636" s="3"/>
    </row>
    <row r="2637" spans="1:45" ht="15">
      <c r="A2637"/>
      <c r="J2637"/>
      <c r="AA2637"/>
      <c r="AB2637"/>
      <c r="AC2637"/>
      <c r="AD2637"/>
      <c r="AE2637"/>
      <c r="AF2637"/>
      <c r="AG2637"/>
      <c r="AH2637"/>
      <c r="AO2637" s="2"/>
      <c r="AP2637" s="3"/>
      <c r="AQ2637" s="3"/>
      <c r="AR2637" s="3"/>
      <c r="AS2637" s="3"/>
    </row>
    <row r="2638" spans="1:45" ht="15">
      <c r="A2638"/>
      <c r="J2638"/>
      <c r="AA2638"/>
      <c r="AB2638"/>
      <c r="AC2638"/>
      <c r="AD2638"/>
      <c r="AE2638"/>
      <c r="AF2638"/>
      <c r="AG2638"/>
      <c r="AH2638"/>
      <c r="AO2638" s="2"/>
      <c r="AP2638" s="3"/>
      <c r="AQ2638" s="3"/>
      <c r="AR2638" s="3"/>
      <c r="AS2638" s="3"/>
    </row>
    <row r="2639" spans="1:45" ht="15">
      <c r="A2639"/>
      <c r="J2639"/>
      <c r="AA2639"/>
      <c r="AB2639"/>
      <c r="AC2639"/>
      <c r="AD2639"/>
      <c r="AE2639"/>
      <c r="AF2639"/>
      <c r="AG2639"/>
      <c r="AH2639"/>
      <c r="AO2639" s="2"/>
      <c r="AP2639" s="3"/>
      <c r="AQ2639" s="3"/>
      <c r="AR2639" s="3"/>
      <c r="AS2639" s="3"/>
    </row>
    <row r="2640" spans="1:45" ht="15">
      <c r="A2640"/>
      <c r="J2640"/>
      <c r="AA2640"/>
      <c r="AB2640"/>
      <c r="AC2640"/>
      <c r="AD2640"/>
      <c r="AE2640"/>
      <c r="AF2640"/>
      <c r="AG2640"/>
      <c r="AH2640"/>
      <c r="AO2640" s="2"/>
      <c r="AP2640" s="3"/>
      <c r="AQ2640" s="3"/>
      <c r="AR2640" s="3"/>
      <c r="AS2640" s="3"/>
    </row>
    <row r="2641" spans="1:45" ht="15">
      <c r="A2641"/>
      <c r="J2641"/>
      <c r="AA2641"/>
      <c r="AB2641"/>
      <c r="AC2641"/>
      <c r="AD2641"/>
      <c r="AE2641"/>
      <c r="AF2641"/>
      <c r="AG2641"/>
      <c r="AH2641"/>
      <c r="AO2641" s="2"/>
      <c r="AP2641" s="3"/>
      <c r="AQ2641" s="3"/>
      <c r="AR2641" s="3"/>
      <c r="AS2641" s="3"/>
    </row>
    <row r="2642" spans="1:45" ht="15">
      <c r="A2642"/>
      <c r="J2642"/>
      <c r="AA2642"/>
      <c r="AB2642"/>
      <c r="AC2642"/>
      <c r="AD2642"/>
      <c r="AE2642"/>
      <c r="AF2642"/>
      <c r="AG2642"/>
      <c r="AH2642"/>
      <c r="AO2642" s="2"/>
      <c r="AP2642" s="3"/>
      <c r="AQ2642" s="3"/>
      <c r="AR2642" s="3"/>
      <c r="AS2642" s="3"/>
    </row>
    <row r="2643" spans="1:45" ht="15">
      <c r="A2643"/>
      <c r="J2643"/>
      <c r="AA2643"/>
      <c r="AB2643"/>
      <c r="AC2643"/>
      <c r="AD2643"/>
      <c r="AE2643"/>
      <c r="AF2643"/>
      <c r="AG2643"/>
      <c r="AH2643"/>
      <c r="AO2643" s="2"/>
      <c r="AP2643" s="3"/>
      <c r="AQ2643" s="3"/>
      <c r="AR2643" s="3"/>
      <c r="AS2643" s="3"/>
    </row>
    <row r="2644" spans="1:45" ht="15">
      <c r="A2644"/>
      <c r="J2644"/>
      <c r="AA2644"/>
      <c r="AB2644"/>
      <c r="AC2644"/>
      <c r="AD2644"/>
      <c r="AE2644"/>
      <c r="AF2644"/>
      <c r="AG2644"/>
      <c r="AH2644"/>
      <c r="AO2644" s="2"/>
      <c r="AP2644" s="3"/>
      <c r="AQ2644" s="3"/>
      <c r="AR2644" s="3"/>
      <c r="AS2644" s="3"/>
    </row>
    <row r="2645" spans="1:45" ht="15">
      <c r="A2645"/>
      <c r="J2645"/>
      <c r="AA2645"/>
      <c r="AB2645"/>
      <c r="AC2645"/>
      <c r="AD2645"/>
      <c r="AE2645"/>
      <c r="AF2645"/>
      <c r="AG2645"/>
      <c r="AH2645"/>
      <c r="AO2645" s="2"/>
      <c r="AP2645" s="3"/>
      <c r="AQ2645" s="3"/>
      <c r="AR2645" s="3"/>
      <c r="AS2645" s="3"/>
    </row>
    <row r="2646" spans="1:45" ht="15">
      <c r="A2646"/>
      <c r="J2646"/>
      <c r="AA2646"/>
      <c r="AB2646"/>
      <c r="AC2646"/>
      <c r="AD2646"/>
      <c r="AE2646"/>
      <c r="AF2646"/>
      <c r="AG2646"/>
      <c r="AH2646"/>
      <c r="AO2646" s="2"/>
      <c r="AP2646" s="3"/>
      <c r="AQ2646" s="3"/>
      <c r="AR2646" s="3"/>
      <c r="AS2646" s="3"/>
    </row>
    <row r="2647" spans="1:45" ht="15">
      <c r="A2647"/>
      <c r="J2647"/>
      <c r="AA2647"/>
      <c r="AB2647"/>
      <c r="AC2647"/>
      <c r="AD2647"/>
      <c r="AE2647"/>
      <c r="AF2647"/>
      <c r="AG2647"/>
      <c r="AH2647"/>
      <c r="AO2647" s="2"/>
      <c r="AP2647" s="3"/>
      <c r="AQ2647" s="3"/>
      <c r="AR2647" s="3"/>
      <c r="AS2647" s="3"/>
    </row>
    <row r="2648" spans="1:45" ht="15">
      <c r="A2648"/>
      <c r="J2648"/>
      <c r="AA2648"/>
      <c r="AB2648"/>
      <c r="AC2648"/>
      <c r="AD2648"/>
      <c r="AE2648"/>
      <c r="AF2648"/>
      <c r="AG2648"/>
      <c r="AH2648"/>
      <c r="AO2648" s="2"/>
      <c r="AP2648" s="3"/>
      <c r="AQ2648" s="3"/>
      <c r="AR2648" s="3"/>
      <c r="AS2648" s="3"/>
    </row>
    <row r="2649" spans="1:45" ht="15">
      <c r="A2649"/>
      <c r="J2649"/>
      <c r="AA2649"/>
      <c r="AB2649"/>
      <c r="AC2649"/>
      <c r="AD2649"/>
      <c r="AE2649"/>
      <c r="AF2649"/>
      <c r="AG2649"/>
      <c r="AH2649"/>
      <c r="AO2649" s="2"/>
      <c r="AP2649" s="3"/>
      <c r="AQ2649" s="3"/>
      <c r="AR2649" s="3"/>
      <c r="AS2649" s="3"/>
    </row>
    <row r="2650" spans="1:45" ht="15">
      <c r="A2650"/>
      <c r="J2650"/>
      <c r="AA2650"/>
      <c r="AB2650"/>
      <c r="AC2650"/>
      <c r="AD2650"/>
      <c r="AE2650"/>
      <c r="AF2650"/>
      <c r="AG2650"/>
      <c r="AH2650"/>
      <c r="AO2650" s="2"/>
      <c r="AP2650" s="3"/>
      <c r="AQ2650" s="3"/>
      <c r="AR2650" s="3"/>
      <c r="AS2650" s="3"/>
    </row>
    <row r="2651" spans="1:45" ht="15">
      <c r="A2651"/>
      <c r="J2651"/>
      <c r="AA2651"/>
      <c r="AB2651"/>
      <c r="AC2651"/>
      <c r="AD2651"/>
      <c r="AE2651"/>
      <c r="AF2651"/>
      <c r="AG2651"/>
      <c r="AH2651"/>
      <c r="AO2651" s="2"/>
      <c r="AP2651" s="3"/>
      <c r="AQ2651" s="3"/>
      <c r="AR2651" s="3"/>
      <c r="AS2651" s="3"/>
    </row>
    <row r="2652" spans="1:45" ht="15">
      <c r="A2652"/>
      <c r="J2652"/>
      <c r="AA2652"/>
      <c r="AB2652"/>
      <c r="AC2652"/>
      <c r="AD2652"/>
      <c r="AE2652"/>
      <c r="AF2652"/>
      <c r="AG2652"/>
      <c r="AH2652"/>
      <c r="AO2652" s="2"/>
      <c r="AP2652" s="3"/>
      <c r="AQ2652" s="3"/>
      <c r="AR2652" s="3"/>
      <c r="AS2652" s="3"/>
    </row>
    <row r="2653" spans="1:45" ht="15">
      <c r="A2653"/>
      <c r="J2653"/>
      <c r="AA2653"/>
      <c r="AB2653"/>
      <c r="AC2653"/>
      <c r="AD2653"/>
      <c r="AE2653"/>
      <c r="AF2653"/>
      <c r="AG2653"/>
      <c r="AH2653"/>
      <c r="AO2653" s="2"/>
      <c r="AP2653" s="3"/>
      <c r="AQ2653" s="3"/>
      <c r="AR2653" s="3"/>
      <c r="AS2653" s="3"/>
    </row>
    <row r="2654" spans="1:45" ht="15">
      <c r="A2654"/>
      <c r="J2654"/>
      <c r="AA2654"/>
      <c r="AB2654"/>
      <c r="AC2654"/>
      <c r="AD2654"/>
      <c r="AE2654"/>
      <c r="AF2654"/>
      <c r="AG2654"/>
      <c r="AH2654"/>
      <c r="AO2654" s="2"/>
      <c r="AP2654" s="3"/>
      <c r="AQ2654" s="3"/>
      <c r="AR2654" s="3"/>
      <c r="AS2654" s="3"/>
    </row>
    <row r="2655" spans="1:45" ht="15">
      <c r="A2655"/>
      <c r="J2655"/>
      <c r="AA2655"/>
      <c r="AB2655"/>
      <c r="AC2655"/>
      <c r="AD2655"/>
      <c r="AE2655"/>
      <c r="AF2655"/>
      <c r="AG2655"/>
      <c r="AH2655"/>
      <c r="AO2655" s="2"/>
      <c r="AP2655" s="3"/>
      <c r="AQ2655" s="3"/>
      <c r="AR2655" s="3"/>
      <c r="AS2655" s="3"/>
    </row>
    <row r="2656" spans="1:45" ht="15">
      <c r="A2656"/>
      <c r="J2656"/>
      <c r="AA2656"/>
      <c r="AB2656"/>
      <c r="AC2656"/>
      <c r="AD2656"/>
      <c r="AE2656"/>
      <c r="AF2656"/>
      <c r="AG2656"/>
      <c r="AH2656"/>
      <c r="AO2656" s="2"/>
      <c r="AP2656" s="3"/>
      <c r="AQ2656" s="3"/>
      <c r="AR2656" s="3"/>
      <c r="AS2656" s="3"/>
    </row>
    <row r="2657" spans="1:45" ht="15">
      <c r="A2657"/>
      <c r="J2657"/>
      <c r="AA2657"/>
      <c r="AB2657"/>
      <c r="AC2657"/>
      <c r="AD2657"/>
      <c r="AE2657"/>
      <c r="AF2657"/>
      <c r="AG2657"/>
      <c r="AH2657"/>
      <c r="AO2657" s="2"/>
      <c r="AP2657" s="3"/>
      <c r="AQ2657" s="3"/>
      <c r="AR2657" s="3"/>
      <c r="AS2657" s="3"/>
    </row>
    <row r="2658" spans="1:45" ht="15">
      <c r="A2658"/>
      <c r="J2658"/>
      <c r="AA2658"/>
      <c r="AB2658"/>
      <c r="AC2658"/>
      <c r="AD2658"/>
      <c r="AE2658"/>
      <c r="AF2658"/>
      <c r="AG2658"/>
      <c r="AH2658"/>
      <c r="AO2658" s="2"/>
      <c r="AP2658" s="3"/>
      <c r="AQ2658" s="3"/>
      <c r="AR2658" s="3"/>
      <c r="AS2658" s="3"/>
    </row>
    <row r="2659" spans="1:45" ht="15">
      <c r="A2659"/>
      <c r="J2659"/>
      <c r="AA2659"/>
      <c r="AB2659"/>
      <c r="AC2659"/>
      <c r="AD2659"/>
      <c r="AE2659"/>
      <c r="AF2659"/>
      <c r="AG2659"/>
      <c r="AH2659"/>
      <c r="AO2659" s="2"/>
      <c r="AP2659" s="3"/>
      <c r="AQ2659" s="3"/>
      <c r="AR2659" s="3"/>
      <c r="AS2659" s="3"/>
    </row>
    <row r="2660" spans="1:45" ht="15">
      <c r="A2660"/>
      <c r="J2660"/>
      <c r="AA2660"/>
      <c r="AB2660"/>
      <c r="AC2660"/>
      <c r="AD2660"/>
      <c r="AE2660"/>
      <c r="AF2660"/>
      <c r="AG2660"/>
      <c r="AH2660"/>
      <c r="AO2660" s="2"/>
      <c r="AP2660" s="3"/>
      <c r="AQ2660" s="3"/>
      <c r="AR2660" s="3"/>
      <c r="AS2660" s="3"/>
    </row>
    <row r="2661" spans="1:45" ht="15">
      <c r="A2661"/>
      <c r="J2661"/>
      <c r="AA2661"/>
      <c r="AB2661"/>
      <c r="AC2661"/>
      <c r="AD2661"/>
      <c r="AE2661"/>
      <c r="AF2661"/>
      <c r="AG2661"/>
      <c r="AH2661"/>
      <c r="AO2661" s="2"/>
      <c r="AP2661" s="3"/>
      <c r="AQ2661" s="3"/>
      <c r="AR2661" s="3"/>
      <c r="AS2661" s="3"/>
    </row>
    <row r="2662" spans="1:45" ht="15">
      <c r="A2662"/>
      <c r="J2662"/>
      <c r="AA2662"/>
      <c r="AB2662"/>
      <c r="AC2662"/>
      <c r="AD2662"/>
      <c r="AE2662"/>
      <c r="AF2662"/>
      <c r="AG2662"/>
      <c r="AH2662"/>
      <c r="AO2662" s="2"/>
      <c r="AP2662" s="3"/>
      <c r="AQ2662" s="3"/>
      <c r="AR2662" s="3"/>
      <c r="AS2662" s="3"/>
    </row>
    <row r="2663" spans="1:45" ht="15">
      <c r="A2663"/>
      <c r="J2663"/>
      <c r="AA2663"/>
      <c r="AB2663"/>
      <c r="AC2663"/>
      <c r="AD2663"/>
      <c r="AE2663"/>
      <c r="AF2663"/>
      <c r="AG2663"/>
      <c r="AH2663"/>
      <c r="AO2663" s="2"/>
      <c r="AP2663" s="3"/>
      <c r="AQ2663" s="3"/>
      <c r="AR2663" s="3"/>
      <c r="AS2663" s="3"/>
    </row>
    <row r="2664" spans="1:45" ht="15">
      <c r="A2664"/>
      <c r="J2664"/>
      <c r="AA2664"/>
      <c r="AB2664"/>
      <c r="AC2664"/>
      <c r="AD2664"/>
      <c r="AE2664"/>
      <c r="AF2664"/>
      <c r="AG2664"/>
      <c r="AH2664"/>
      <c r="AO2664" s="2"/>
      <c r="AP2664" s="3"/>
      <c r="AQ2664" s="3"/>
      <c r="AR2664" s="3"/>
      <c r="AS2664" s="3"/>
    </row>
    <row r="2665" spans="1:45" ht="15">
      <c r="A2665"/>
      <c r="J2665"/>
      <c r="AA2665"/>
      <c r="AB2665"/>
      <c r="AC2665"/>
      <c r="AD2665"/>
      <c r="AE2665"/>
      <c r="AF2665"/>
      <c r="AG2665"/>
      <c r="AH2665"/>
      <c r="AO2665" s="2"/>
      <c r="AP2665" s="3"/>
      <c r="AQ2665" s="3"/>
      <c r="AR2665" s="3"/>
      <c r="AS2665" s="3"/>
    </row>
    <row r="2666" spans="1:45" ht="15">
      <c r="A2666"/>
      <c r="J2666"/>
      <c r="AA2666"/>
      <c r="AB2666"/>
      <c r="AC2666"/>
      <c r="AD2666"/>
      <c r="AE2666"/>
      <c r="AF2666"/>
      <c r="AG2666"/>
      <c r="AH2666"/>
      <c r="AO2666" s="2"/>
      <c r="AP2666" s="3"/>
      <c r="AQ2666" s="3"/>
      <c r="AR2666" s="3"/>
      <c r="AS2666" s="3"/>
    </row>
    <row r="2667" spans="1:45" ht="15">
      <c r="A2667"/>
      <c r="J2667"/>
      <c r="AA2667"/>
      <c r="AB2667"/>
      <c r="AC2667"/>
      <c r="AD2667"/>
      <c r="AE2667"/>
      <c r="AF2667"/>
      <c r="AG2667"/>
      <c r="AH2667"/>
      <c r="AO2667" s="2"/>
      <c r="AP2667" s="3"/>
      <c r="AQ2667" s="3"/>
      <c r="AR2667" s="3"/>
      <c r="AS2667" s="3"/>
    </row>
    <row r="2668" spans="1:45" ht="15">
      <c r="A2668"/>
      <c r="J2668"/>
      <c r="AA2668"/>
      <c r="AB2668"/>
      <c r="AC2668"/>
      <c r="AD2668"/>
      <c r="AE2668"/>
      <c r="AF2668"/>
      <c r="AG2668"/>
      <c r="AH2668"/>
      <c r="AO2668" s="2"/>
      <c r="AP2668" s="3"/>
      <c r="AQ2668" s="3"/>
      <c r="AR2668" s="3"/>
      <c r="AS2668" s="3"/>
    </row>
    <row r="2669" spans="1:45" ht="15">
      <c r="A2669"/>
      <c r="J2669"/>
      <c r="AA2669"/>
      <c r="AB2669"/>
      <c r="AC2669"/>
      <c r="AD2669"/>
      <c r="AE2669"/>
      <c r="AF2669"/>
      <c r="AG2669"/>
      <c r="AH2669"/>
      <c r="AO2669" s="2"/>
      <c r="AP2669" s="3"/>
      <c r="AQ2669" s="3"/>
      <c r="AR2669" s="3"/>
      <c r="AS2669" s="3"/>
    </row>
    <row r="2670" spans="1:45" ht="15">
      <c r="A2670"/>
      <c r="J2670"/>
      <c r="AA2670"/>
      <c r="AB2670"/>
      <c r="AC2670"/>
      <c r="AD2670"/>
      <c r="AE2670"/>
      <c r="AF2670"/>
      <c r="AG2670"/>
      <c r="AH2670"/>
      <c r="AO2670" s="2"/>
      <c r="AP2670" s="3"/>
      <c r="AQ2670" s="3"/>
      <c r="AR2670" s="3"/>
      <c r="AS2670" s="3"/>
    </row>
    <row r="2671" spans="1:45" ht="15">
      <c r="A2671"/>
      <c r="J2671"/>
      <c r="AA2671"/>
      <c r="AB2671"/>
      <c r="AC2671"/>
      <c r="AD2671"/>
      <c r="AE2671"/>
      <c r="AF2671"/>
      <c r="AG2671"/>
      <c r="AH2671"/>
      <c r="AO2671" s="2"/>
      <c r="AP2671" s="3"/>
      <c r="AQ2671" s="3"/>
      <c r="AR2671" s="3"/>
      <c r="AS2671" s="3"/>
    </row>
    <row r="2672" spans="1:45" ht="15">
      <c r="A2672"/>
      <c r="J2672"/>
      <c r="AA2672"/>
      <c r="AB2672"/>
      <c r="AC2672"/>
      <c r="AD2672"/>
      <c r="AE2672"/>
      <c r="AF2672"/>
      <c r="AG2672"/>
      <c r="AH2672"/>
      <c r="AO2672" s="2"/>
      <c r="AP2672" s="3"/>
      <c r="AQ2672" s="3"/>
      <c r="AR2672" s="3"/>
      <c r="AS2672" s="3"/>
    </row>
    <row r="2673" spans="1:45" ht="15">
      <c r="A2673"/>
      <c r="J2673"/>
      <c r="AA2673"/>
      <c r="AB2673"/>
      <c r="AC2673"/>
      <c r="AD2673"/>
      <c r="AE2673"/>
      <c r="AF2673"/>
      <c r="AG2673"/>
      <c r="AH2673"/>
      <c r="AO2673" s="2"/>
      <c r="AP2673" s="3"/>
      <c r="AQ2673" s="3"/>
      <c r="AR2673" s="3"/>
      <c r="AS2673" s="3"/>
    </row>
    <row r="2674" spans="1:45" ht="15">
      <c r="A2674"/>
      <c r="J2674"/>
      <c r="AA2674"/>
      <c r="AB2674"/>
      <c r="AC2674"/>
      <c r="AD2674"/>
      <c r="AE2674"/>
      <c r="AF2674"/>
      <c r="AG2674"/>
      <c r="AH2674"/>
      <c r="AO2674" s="2"/>
      <c r="AP2674" s="3"/>
      <c r="AQ2674" s="3"/>
      <c r="AR2674" s="3"/>
      <c r="AS2674" s="3"/>
    </row>
    <row r="2675" spans="1:45" ht="15">
      <c r="A2675"/>
      <c r="J2675"/>
      <c r="AA2675"/>
      <c r="AB2675"/>
      <c r="AC2675"/>
      <c r="AD2675"/>
      <c r="AE2675"/>
      <c r="AF2675"/>
      <c r="AG2675"/>
      <c r="AH2675"/>
      <c r="AO2675" s="2"/>
      <c r="AP2675" s="3"/>
      <c r="AQ2675" s="3"/>
      <c r="AR2675" s="3"/>
      <c r="AS2675" s="3"/>
    </row>
    <row r="2676" spans="1:45" ht="15">
      <c r="A2676"/>
      <c r="J2676"/>
      <c r="AA2676"/>
      <c r="AB2676"/>
      <c r="AC2676"/>
      <c r="AD2676"/>
      <c r="AE2676"/>
      <c r="AF2676"/>
      <c r="AG2676"/>
      <c r="AH2676"/>
      <c r="AO2676" s="2"/>
      <c r="AP2676" s="3"/>
      <c r="AQ2676" s="3"/>
      <c r="AR2676" s="3"/>
      <c r="AS2676" s="3"/>
    </row>
    <row r="2677" spans="1:45" ht="15">
      <c r="A2677"/>
      <c r="J2677"/>
      <c r="AA2677"/>
      <c r="AB2677"/>
      <c r="AC2677"/>
      <c r="AD2677"/>
      <c r="AE2677"/>
      <c r="AF2677"/>
      <c r="AG2677"/>
      <c r="AH2677"/>
      <c r="AO2677" s="2"/>
      <c r="AP2677" s="3"/>
      <c r="AQ2677" s="3"/>
      <c r="AR2677" s="3"/>
      <c r="AS2677" s="3"/>
    </row>
    <row r="2678" spans="1:45" ht="15">
      <c r="A2678"/>
      <c r="J2678"/>
      <c r="AA2678"/>
      <c r="AB2678"/>
      <c r="AC2678"/>
      <c r="AD2678"/>
      <c r="AE2678"/>
      <c r="AF2678"/>
      <c r="AG2678"/>
      <c r="AH2678"/>
      <c r="AO2678" s="2"/>
      <c r="AP2678" s="3"/>
      <c r="AQ2678" s="3"/>
      <c r="AR2678" s="3"/>
      <c r="AS2678" s="3"/>
    </row>
    <row r="2679" spans="1:45" ht="15">
      <c r="A2679"/>
      <c r="J2679"/>
      <c r="AA2679"/>
      <c r="AB2679"/>
      <c r="AC2679"/>
      <c r="AD2679"/>
      <c r="AE2679"/>
      <c r="AF2679"/>
      <c r="AG2679"/>
      <c r="AH2679"/>
      <c r="AO2679" s="2"/>
      <c r="AP2679" s="3"/>
      <c r="AQ2679" s="3"/>
      <c r="AR2679" s="3"/>
      <c r="AS2679" s="3"/>
    </row>
    <row r="2680" spans="1:45" ht="15">
      <c r="A2680"/>
      <c r="J2680"/>
      <c r="AA2680"/>
      <c r="AB2680"/>
      <c r="AC2680"/>
      <c r="AD2680"/>
      <c r="AE2680"/>
      <c r="AF2680"/>
      <c r="AG2680"/>
      <c r="AH2680"/>
      <c r="AO2680" s="2"/>
      <c r="AP2680" s="3"/>
      <c r="AQ2680" s="3"/>
      <c r="AR2680" s="3"/>
      <c r="AS2680" s="3"/>
    </row>
    <row r="2681" spans="1:45" ht="15">
      <c r="A2681"/>
      <c r="J2681"/>
      <c r="AA2681"/>
      <c r="AB2681"/>
      <c r="AC2681"/>
      <c r="AD2681"/>
      <c r="AE2681"/>
      <c r="AF2681"/>
      <c r="AG2681"/>
      <c r="AH2681"/>
      <c r="AO2681" s="2"/>
      <c r="AP2681" s="3"/>
      <c r="AQ2681" s="3"/>
      <c r="AR2681" s="3"/>
      <c r="AS2681" s="3"/>
    </row>
    <row r="2682" spans="1:45" ht="15">
      <c r="A2682"/>
      <c r="J2682"/>
      <c r="AA2682"/>
      <c r="AB2682"/>
      <c r="AC2682"/>
      <c r="AD2682"/>
      <c r="AE2682"/>
      <c r="AF2682"/>
      <c r="AG2682"/>
      <c r="AH2682"/>
      <c r="AO2682" s="2"/>
      <c r="AP2682" s="3"/>
      <c r="AQ2682" s="3"/>
      <c r="AR2682" s="3"/>
      <c r="AS2682" s="3"/>
    </row>
    <row r="2683" spans="1:45" ht="15">
      <c r="A2683"/>
      <c r="J2683"/>
      <c r="AA2683"/>
      <c r="AB2683"/>
      <c r="AC2683"/>
      <c r="AD2683"/>
      <c r="AE2683"/>
      <c r="AF2683"/>
      <c r="AG2683"/>
      <c r="AH2683"/>
      <c r="AO2683" s="2"/>
      <c r="AP2683" s="3"/>
      <c r="AQ2683" s="3"/>
      <c r="AR2683" s="3"/>
      <c r="AS2683" s="3"/>
    </row>
    <row r="2684" spans="1:45" ht="15">
      <c r="A2684"/>
      <c r="J2684"/>
      <c r="AA2684"/>
      <c r="AB2684"/>
      <c r="AC2684"/>
      <c r="AD2684"/>
      <c r="AE2684"/>
      <c r="AF2684"/>
      <c r="AG2684"/>
      <c r="AH2684"/>
      <c r="AO2684" s="2"/>
      <c r="AP2684" s="3"/>
      <c r="AQ2684" s="3"/>
      <c r="AR2684" s="3"/>
      <c r="AS2684" s="3"/>
    </row>
    <row r="2685" spans="1:45" ht="15">
      <c r="A2685"/>
      <c r="J2685"/>
      <c r="AA2685"/>
      <c r="AB2685"/>
      <c r="AC2685"/>
      <c r="AD2685"/>
      <c r="AE2685"/>
      <c r="AF2685"/>
      <c r="AG2685"/>
      <c r="AH2685"/>
      <c r="AO2685" s="2"/>
      <c r="AP2685" s="3"/>
      <c r="AQ2685" s="3"/>
      <c r="AR2685" s="3"/>
      <c r="AS2685" s="3"/>
    </row>
    <row r="2686" spans="1:45" ht="15">
      <c r="A2686"/>
      <c r="J2686"/>
      <c r="AA2686"/>
      <c r="AB2686"/>
      <c r="AC2686"/>
      <c r="AD2686"/>
      <c r="AE2686"/>
      <c r="AF2686"/>
      <c r="AG2686"/>
      <c r="AH2686"/>
      <c r="AO2686" s="2"/>
      <c r="AP2686" s="3"/>
      <c r="AQ2686" s="3"/>
      <c r="AR2686" s="3"/>
      <c r="AS2686" s="3"/>
    </row>
    <row r="2687" spans="1:45" ht="15">
      <c r="A2687"/>
      <c r="J2687"/>
      <c r="AA2687"/>
      <c r="AB2687"/>
      <c r="AC2687"/>
      <c r="AD2687"/>
      <c r="AE2687"/>
      <c r="AF2687"/>
      <c r="AG2687"/>
      <c r="AH2687"/>
      <c r="AO2687" s="2"/>
      <c r="AP2687" s="3"/>
      <c r="AQ2687" s="3"/>
      <c r="AR2687" s="3"/>
      <c r="AS2687" s="3"/>
    </row>
    <row r="2688" spans="1:45" ht="15">
      <c r="A2688"/>
      <c r="J2688"/>
      <c r="AA2688"/>
      <c r="AB2688"/>
      <c r="AC2688"/>
      <c r="AD2688"/>
      <c r="AE2688"/>
      <c r="AF2688"/>
      <c r="AG2688"/>
      <c r="AH2688"/>
      <c r="AO2688" s="2"/>
      <c r="AP2688" s="3"/>
      <c r="AQ2688" s="3"/>
      <c r="AR2688" s="3"/>
      <c r="AS2688" s="3"/>
    </row>
    <row r="2689" spans="1:45" ht="15">
      <c r="A2689"/>
      <c r="J2689"/>
      <c r="AA2689"/>
      <c r="AB2689"/>
      <c r="AC2689"/>
      <c r="AD2689"/>
      <c r="AE2689"/>
      <c r="AF2689"/>
      <c r="AG2689"/>
      <c r="AH2689"/>
      <c r="AO2689" s="2"/>
      <c r="AP2689" s="3"/>
      <c r="AQ2689" s="3"/>
      <c r="AR2689" s="3"/>
      <c r="AS2689" s="3"/>
    </row>
    <row r="2690" spans="1:45" ht="15">
      <c r="A2690"/>
      <c r="J2690"/>
      <c r="AA2690"/>
      <c r="AB2690"/>
      <c r="AC2690"/>
      <c r="AD2690"/>
      <c r="AE2690"/>
      <c r="AF2690"/>
      <c r="AG2690"/>
      <c r="AH2690"/>
      <c r="AO2690" s="2"/>
      <c r="AP2690" s="3"/>
      <c r="AQ2690" s="3"/>
      <c r="AR2690" s="3"/>
      <c r="AS2690" s="3"/>
    </row>
    <row r="2691" spans="1:45" ht="15">
      <c r="A2691"/>
      <c r="J2691"/>
      <c r="AA2691"/>
      <c r="AB2691"/>
      <c r="AC2691"/>
      <c r="AD2691"/>
      <c r="AE2691"/>
      <c r="AF2691"/>
      <c r="AG2691"/>
      <c r="AH2691"/>
      <c r="AO2691" s="2"/>
      <c r="AP2691" s="3"/>
      <c r="AQ2691" s="3"/>
      <c r="AR2691" s="3"/>
      <c r="AS2691" s="3"/>
    </row>
    <row r="2692" spans="1:45" ht="15">
      <c r="A2692"/>
      <c r="J2692"/>
      <c r="AA2692"/>
      <c r="AB2692"/>
      <c r="AC2692"/>
      <c r="AD2692"/>
      <c r="AE2692"/>
      <c r="AF2692"/>
      <c r="AG2692"/>
      <c r="AH2692"/>
      <c r="AO2692" s="2"/>
      <c r="AP2692" s="3"/>
      <c r="AQ2692" s="3"/>
      <c r="AR2692" s="3"/>
      <c r="AS2692" s="3"/>
    </row>
    <row r="2693" spans="1:45" ht="15">
      <c r="A2693"/>
      <c r="J2693"/>
      <c r="AA2693"/>
      <c r="AB2693"/>
      <c r="AC2693"/>
      <c r="AD2693"/>
      <c r="AE2693"/>
      <c r="AF2693"/>
      <c r="AG2693"/>
      <c r="AH2693"/>
      <c r="AO2693" s="2"/>
      <c r="AP2693" s="3"/>
      <c r="AQ2693" s="3"/>
      <c r="AR2693" s="3"/>
      <c r="AS2693" s="3"/>
    </row>
    <row r="2694" spans="1:45" ht="15">
      <c r="A2694"/>
      <c r="J2694"/>
      <c r="AA2694"/>
      <c r="AB2694"/>
      <c r="AC2694"/>
      <c r="AD2694"/>
      <c r="AE2694"/>
      <c r="AF2694"/>
      <c r="AG2694"/>
      <c r="AH2694"/>
      <c r="AO2694" s="2"/>
      <c r="AP2694" s="3"/>
      <c r="AQ2694" s="3"/>
      <c r="AR2694" s="3"/>
      <c r="AS2694" s="3"/>
    </row>
    <row r="2695" spans="1:45" ht="15">
      <c r="A2695"/>
      <c r="J2695"/>
      <c r="AA2695"/>
      <c r="AB2695"/>
      <c r="AC2695"/>
      <c r="AD2695"/>
      <c r="AE2695"/>
      <c r="AF2695"/>
      <c r="AG2695"/>
      <c r="AH2695"/>
      <c r="AO2695" s="2"/>
      <c r="AP2695" s="3"/>
      <c r="AQ2695" s="3"/>
      <c r="AR2695" s="3"/>
      <c r="AS2695" s="3"/>
    </row>
    <row r="2696" spans="1:45" ht="15">
      <c r="A2696"/>
      <c r="J2696"/>
      <c r="AA2696"/>
      <c r="AB2696"/>
      <c r="AC2696"/>
      <c r="AD2696"/>
      <c r="AE2696"/>
      <c r="AF2696"/>
      <c r="AG2696"/>
      <c r="AH2696"/>
      <c r="AO2696" s="2"/>
      <c r="AP2696" s="3"/>
      <c r="AQ2696" s="3"/>
      <c r="AR2696" s="3"/>
      <c r="AS2696" s="3"/>
    </row>
    <row r="2697" spans="1:45" ht="15">
      <c r="A2697"/>
      <c r="J2697"/>
      <c r="AA2697"/>
      <c r="AB2697"/>
      <c r="AC2697"/>
      <c r="AD2697"/>
      <c r="AE2697"/>
      <c r="AF2697"/>
      <c r="AG2697"/>
      <c r="AH2697"/>
      <c r="AO2697" s="2"/>
      <c r="AP2697" s="3"/>
      <c r="AQ2697" s="3"/>
      <c r="AR2697" s="3"/>
      <c r="AS2697" s="3"/>
    </row>
    <row r="2698" spans="1:45" ht="15">
      <c r="A2698"/>
      <c r="J2698"/>
      <c r="AA2698"/>
      <c r="AB2698"/>
      <c r="AC2698"/>
      <c r="AD2698"/>
      <c r="AE2698"/>
      <c r="AF2698"/>
      <c r="AG2698"/>
      <c r="AH2698"/>
      <c r="AO2698" s="2"/>
      <c r="AP2698" s="3"/>
      <c r="AQ2698" s="3"/>
      <c r="AR2698" s="3"/>
      <c r="AS2698" s="3"/>
    </row>
    <row r="2699" spans="1:45" ht="15">
      <c r="A2699"/>
      <c r="J2699"/>
      <c r="AA2699"/>
      <c r="AB2699"/>
      <c r="AC2699"/>
      <c r="AD2699"/>
      <c r="AE2699"/>
      <c r="AF2699"/>
      <c r="AG2699"/>
      <c r="AH2699"/>
      <c r="AO2699" s="2"/>
      <c r="AP2699" s="3"/>
      <c r="AQ2699" s="3"/>
      <c r="AR2699" s="3"/>
      <c r="AS2699" s="3"/>
    </row>
    <row r="2700" spans="1:45" ht="15">
      <c r="A2700"/>
      <c r="J2700"/>
      <c r="AA2700"/>
      <c r="AB2700"/>
      <c r="AC2700"/>
      <c r="AD2700"/>
      <c r="AE2700"/>
      <c r="AF2700"/>
      <c r="AG2700"/>
      <c r="AH2700"/>
      <c r="AO2700" s="2"/>
      <c r="AP2700" s="3"/>
      <c r="AQ2700" s="3"/>
      <c r="AR2700" s="3"/>
      <c r="AS2700" s="3"/>
    </row>
    <row r="2701" spans="1:45" ht="15">
      <c r="A2701"/>
      <c r="J2701"/>
      <c r="AA2701"/>
      <c r="AB2701"/>
      <c r="AC2701"/>
      <c r="AD2701"/>
      <c r="AE2701"/>
      <c r="AF2701"/>
      <c r="AG2701"/>
      <c r="AH2701"/>
      <c r="AO2701" s="2"/>
      <c r="AP2701" s="3"/>
      <c r="AQ2701" s="3"/>
      <c r="AR2701" s="3"/>
      <c r="AS2701" s="3"/>
    </row>
    <row r="2702" spans="1:45" ht="15">
      <c r="A2702"/>
      <c r="J2702"/>
      <c r="AA2702"/>
      <c r="AB2702"/>
      <c r="AC2702"/>
      <c r="AD2702"/>
      <c r="AE2702"/>
      <c r="AF2702"/>
      <c r="AG2702"/>
      <c r="AH2702"/>
      <c r="AO2702" s="2"/>
      <c r="AP2702" s="3"/>
      <c r="AQ2702" s="3"/>
      <c r="AR2702" s="3"/>
      <c r="AS2702" s="3"/>
    </row>
    <row r="2703" spans="1:45" ht="15">
      <c r="A2703"/>
      <c r="J2703"/>
      <c r="AA2703"/>
      <c r="AB2703"/>
      <c r="AC2703"/>
      <c r="AD2703"/>
      <c r="AE2703"/>
      <c r="AF2703"/>
      <c r="AG2703"/>
      <c r="AH2703"/>
      <c r="AO2703" s="2"/>
      <c r="AP2703" s="3"/>
      <c r="AQ2703" s="3"/>
      <c r="AR2703" s="3"/>
      <c r="AS2703" s="3"/>
    </row>
    <row r="2704" spans="1:45" ht="15">
      <c r="A2704"/>
      <c r="J2704"/>
      <c r="AA2704"/>
      <c r="AB2704"/>
      <c r="AC2704"/>
      <c r="AD2704"/>
      <c r="AE2704"/>
      <c r="AF2704"/>
      <c r="AG2704"/>
      <c r="AH2704"/>
      <c r="AO2704" s="2"/>
      <c r="AP2704" s="3"/>
      <c r="AQ2704" s="3"/>
      <c r="AR2704" s="3"/>
      <c r="AS2704" s="3"/>
    </row>
    <row r="2705" spans="1:45" ht="15">
      <c r="A2705"/>
      <c r="J2705"/>
      <c r="AA2705"/>
      <c r="AB2705"/>
      <c r="AC2705"/>
      <c r="AD2705"/>
      <c r="AE2705"/>
      <c r="AF2705"/>
      <c r="AG2705"/>
      <c r="AH2705"/>
      <c r="AO2705" s="2"/>
      <c r="AP2705" s="3"/>
      <c r="AQ2705" s="3"/>
      <c r="AR2705" s="3"/>
      <c r="AS2705" s="3"/>
    </row>
    <row r="2706" spans="1:45" ht="15">
      <c r="A2706"/>
      <c r="J2706"/>
      <c r="AA2706"/>
      <c r="AB2706"/>
      <c r="AC2706"/>
      <c r="AD2706"/>
      <c r="AE2706"/>
      <c r="AF2706"/>
      <c r="AG2706"/>
      <c r="AH2706"/>
      <c r="AO2706" s="2"/>
      <c r="AP2706" s="3"/>
      <c r="AQ2706" s="3"/>
      <c r="AR2706" s="3"/>
      <c r="AS2706" s="3"/>
    </row>
    <row r="2707" spans="1:45" ht="15">
      <c r="A2707"/>
      <c r="J2707"/>
      <c r="AA2707"/>
      <c r="AB2707"/>
      <c r="AC2707"/>
      <c r="AD2707"/>
      <c r="AE2707"/>
      <c r="AF2707"/>
      <c r="AG2707"/>
      <c r="AH2707"/>
      <c r="AO2707" s="2"/>
      <c r="AP2707" s="3"/>
      <c r="AQ2707" s="3"/>
      <c r="AR2707" s="3"/>
      <c r="AS2707" s="3"/>
    </row>
    <row r="2708" spans="1:45" ht="15">
      <c r="A2708"/>
      <c r="J2708"/>
      <c r="AA2708"/>
      <c r="AB2708"/>
      <c r="AC2708"/>
      <c r="AD2708"/>
      <c r="AE2708"/>
      <c r="AF2708"/>
      <c r="AG2708"/>
      <c r="AH2708"/>
      <c r="AO2708" s="2"/>
      <c r="AP2708" s="3"/>
      <c r="AQ2708" s="3"/>
      <c r="AR2708" s="3"/>
      <c r="AS2708" s="3"/>
    </row>
    <row r="2709" spans="1:45" ht="15">
      <c r="A2709"/>
      <c r="J2709"/>
      <c r="AA2709"/>
      <c r="AB2709"/>
      <c r="AC2709"/>
      <c r="AD2709"/>
      <c r="AE2709"/>
      <c r="AF2709"/>
      <c r="AG2709"/>
      <c r="AH2709"/>
      <c r="AO2709" s="2"/>
      <c r="AP2709" s="3"/>
      <c r="AQ2709" s="3"/>
      <c r="AR2709" s="3"/>
      <c r="AS2709" s="3"/>
    </row>
    <row r="2710" spans="1:45" ht="15">
      <c r="A2710"/>
      <c r="J2710"/>
      <c r="AA2710"/>
      <c r="AB2710"/>
      <c r="AC2710"/>
      <c r="AD2710"/>
      <c r="AE2710"/>
      <c r="AF2710"/>
      <c r="AG2710"/>
      <c r="AH2710"/>
      <c r="AO2710" s="2"/>
      <c r="AP2710" s="3"/>
      <c r="AQ2710" s="3"/>
      <c r="AR2710" s="3"/>
      <c r="AS2710" s="3"/>
    </row>
    <row r="2711" spans="1:45" ht="15">
      <c r="A2711"/>
      <c r="J2711"/>
      <c r="AA2711"/>
      <c r="AB2711"/>
      <c r="AC2711"/>
      <c r="AD2711"/>
      <c r="AE2711"/>
      <c r="AF2711"/>
      <c r="AG2711"/>
      <c r="AH2711"/>
      <c r="AO2711" s="2"/>
      <c r="AP2711" s="3"/>
      <c r="AQ2711" s="3"/>
      <c r="AR2711" s="3"/>
      <c r="AS2711" s="3"/>
    </row>
    <row r="2712" spans="1:45" ht="15">
      <c r="A2712"/>
      <c r="J2712"/>
      <c r="AA2712"/>
      <c r="AB2712"/>
      <c r="AC2712"/>
      <c r="AD2712"/>
      <c r="AE2712"/>
      <c r="AF2712"/>
      <c r="AG2712"/>
      <c r="AH2712"/>
      <c r="AO2712" s="2"/>
      <c r="AP2712" s="3"/>
      <c r="AQ2712" s="3"/>
      <c r="AR2712" s="3"/>
      <c r="AS2712" s="3"/>
    </row>
    <row r="2713" spans="1:45" ht="15">
      <c r="A2713"/>
      <c r="J2713"/>
      <c r="AA2713"/>
      <c r="AB2713"/>
      <c r="AC2713"/>
      <c r="AD2713"/>
      <c r="AE2713"/>
      <c r="AF2713"/>
      <c r="AG2713"/>
      <c r="AH2713"/>
      <c r="AO2713" s="2"/>
      <c r="AP2713" s="3"/>
      <c r="AQ2713" s="3"/>
      <c r="AR2713" s="3"/>
      <c r="AS2713" s="3"/>
    </row>
    <row r="2714" spans="1:45" ht="15">
      <c r="A2714"/>
      <c r="J2714"/>
      <c r="AA2714"/>
      <c r="AB2714"/>
      <c r="AC2714"/>
      <c r="AD2714"/>
      <c r="AE2714"/>
      <c r="AF2714"/>
      <c r="AG2714"/>
      <c r="AH2714"/>
      <c r="AO2714" s="2"/>
      <c r="AP2714" s="3"/>
      <c r="AQ2714" s="3"/>
      <c r="AR2714" s="3"/>
      <c r="AS2714" s="3"/>
    </row>
    <row r="2715" spans="1:45" ht="15">
      <c r="A2715"/>
      <c r="J2715"/>
      <c r="AA2715"/>
      <c r="AB2715"/>
      <c r="AC2715"/>
      <c r="AD2715"/>
      <c r="AE2715"/>
      <c r="AF2715"/>
      <c r="AG2715"/>
      <c r="AH2715"/>
      <c r="AO2715" s="2"/>
      <c r="AP2715" s="3"/>
      <c r="AQ2715" s="3"/>
      <c r="AR2715" s="3"/>
      <c r="AS2715" s="3"/>
    </row>
    <row r="2716" spans="1:45" ht="15">
      <c r="A2716"/>
      <c r="J2716"/>
      <c r="AA2716"/>
      <c r="AB2716"/>
      <c r="AC2716"/>
      <c r="AD2716"/>
      <c r="AE2716"/>
      <c r="AF2716"/>
      <c r="AG2716"/>
      <c r="AH2716"/>
      <c r="AO2716" s="2"/>
      <c r="AP2716" s="3"/>
      <c r="AQ2716" s="3"/>
      <c r="AR2716" s="3"/>
      <c r="AS2716" s="3"/>
    </row>
    <row r="2717" spans="1:45" ht="15">
      <c r="A2717"/>
      <c r="J2717"/>
      <c r="AA2717"/>
      <c r="AB2717"/>
      <c r="AC2717"/>
      <c r="AD2717"/>
      <c r="AE2717"/>
      <c r="AF2717"/>
      <c r="AG2717"/>
      <c r="AH2717"/>
      <c r="AO2717" s="2"/>
      <c r="AP2717" s="3"/>
      <c r="AQ2717" s="3"/>
      <c r="AR2717" s="3"/>
      <c r="AS2717" s="3"/>
    </row>
    <row r="2718" spans="1:45" ht="15">
      <c r="A2718"/>
      <c r="J2718"/>
      <c r="AA2718"/>
      <c r="AB2718"/>
      <c r="AC2718"/>
      <c r="AD2718"/>
      <c r="AE2718"/>
      <c r="AF2718"/>
      <c r="AG2718"/>
      <c r="AH2718"/>
      <c r="AO2718" s="2"/>
      <c r="AP2718" s="3"/>
      <c r="AQ2718" s="3"/>
      <c r="AR2718" s="3"/>
      <c r="AS2718" s="3"/>
    </row>
    <row r="2719" spans="1:45" ht="15">
      <c r="A2719"/>
      <c r="J2719"/>
      <c r="AA2719"/>
      <c r="AB2719"/>
      <c r="AC2719"/>
      <c r="AD2719"/>
      <c r="AE2719"/>
      <c r="AF2719"/>
      <c r="AG2719"/>
      <c r="AH2719"/>
      <c r="AO2719" s="2"/>
      <c r="AP2719" s="3"/>
      <c r="AQ2719" s="3"/>
      <c r="AR2719" s="3"/>
      <c r="AS2719" s="3"/>
    </row>
    <row r="2720" spans="1:45" ht="15">
      <c r="A2720"/>
      <c r="J2720"/>
      <c r="AA2720"/>
      <c r="AB2720"/>
      <c r="AC2720"/>
      <c r="AD2720"/>
      <c r="AE2720"/>
      <c r="AF2720"/>
      <c r="AG2720"/>
      <c r="AH2720"/>
      <c r="AO2720" s="2"/>
      <c r="AP2720" s="3"/>
      <c r="AQ2720" s="3"/>
      <c r="AR2720" s="3"/>
      <c r="AS2720" s="3"/>
    </row>
    <row r="2721" spans="1:45" ht="15">
      <c r="A2721"/>
      <c r="J2721"/>
      <c r="AA2721"/>
      <c r="AB2721"/>
      <c r="AC2721"/>
      <c r="AD2721"/>
      <c r="AE2721"/>
      <c r="AF2721"/>
      <c r="AG2721"/>
      <c r="AH2721"/>
      <c r="AO2721" s="2"/>
      <c r="AP2721" s="3"/>
      <c r="AQ2721" s="3"/>
      <c r="AR2721" s="3"/>
      <c r="AS2721" s="3"/>
    </row>
    <row r="2722" spans="1:45" ht="15">
      <c r="A2722"/>
      <c r="J2722"/>
      <c r="AA2722"/>
      <c r="AB2722"/>
      <c r="AC2722"/>
      <c r="AD2722"/>
      <c r="AE2722"/>
      <c r="AF2722"/>
      <c r="AG2722"/>
      <c r="AH2722"/>
      <c r="AO2722" s="2"/>
      <c r="AP2722" s="3"/>
      <c r="AQ2722" s="3"/>
      <c r="AR2722" s="3"/>
      <c r="AS2722" s="3"/>
    </row>
    <row r="2723" spans="1:45" ht="15">
      <c r="A2723"/>
      <c r="J2723"/>
      <c r="AA2723"/>
      <c r="AB2723"/>
      <c r="AC2723"/>
      <c r="AD2723"/>
      <c r="AE2723"/>
      <c r="AF2723"/>
      <c r="AG2723"/>
      <c r="AH2723"/>
      <c r="AO2723" s="2"/>
      <c r="AP2723" s="3"/>
      <c r="AQ2723" s="3"/>
      <c r="AR2723" s="3"/>
      <c r="AS2723" s="3"/>
    </row>
    <row r="2724" spans="1:45" ht="15">
      <c r="A2724"/>
      <c r="J2724"/>
      <c r="AA2724"/>
      <c r="AB2724"/>
      <c r="AC2724"/>
      <c r="AD2724"/>
      <c r="AE2724"/>
      <c r="AF2724"/>
      <c r="AG2724"/>
      <c r="AH2724"/>
      <c r="AO2724" s="2"/>
      <c r="AP2724" s="3"/>
      <c r="AQ2724" s="3"/>
      <c r="AR2724" s="3"/>
      <c r="AS2724" s="3"/>
    </row>
    <row r="2725" spans="1:45" ht="15">
      <c r="A2725"/>
      <c r="J2725"/>
      <c r="AA2725"/>
      <c r="AB2725"/>
      <c r="AC2725"/>
      <c r="AD2725"/>
      <c r="AE2725"/>
      <c r="AF2725"/>
      <c r="AG2725"/>
      <c r="AH2725"/>
      <c r="AO2725" s="2"/>
      <c r="AP2725" s="3"/>
      <c r="AQ2725" s="3"/>
      <c r="AR2725" s="3"/>
      <c r="AS2725" s="3"/>
    </row>
    <row r="2726" spans="1:45" ht="15">
      <c r="A2726"/>
      <c r="J2726"/>
      <c r="AA2726"/>
      <c r="AB2726"/>
      <c r="AC2726"/>
      <c r="AD2726"/>
      <c r="AE2726"/>
      <c r="AF2726"/>
      <c r="AG2726"/>
      <c r="AH2726"/>
      <c r="AO2726" s="2"/>
      <c r="AP2726" s="3"/>
      <c r="AQ2726" s="3"/>
      <c r="AR2726" s="3"/>
      <c r="AS2726" s="3"/>
    </row>
    <row r="2727" spans="1:45" ht="15">
      <c r="A2727"/>
      <c r="J2727"/>
      <c r="AA2727"/>
      <c r="AB2727"/>
      <c r="AC2727"/>
      <c r="AD2727"/>
      <c r="AE2727"/>
      <c r="AF2727"/>
      <c r="AG2727"/>
      <c r="AH2727"/>
      <c r="AO2727" s="2"/>
      <c r="AP2727" s="3"/>
      <c r="AQ2727" s="3"/>
      <c r="AR2727" s="3"/>
      <c r="AS2727" s="3"/>
    </row>
    <row r="2728" spans="1:45" ht="15">
      <c r="A2728"/>
      <c r="J2728"/>
      <c r="AA2728"/>
      <c r="AB2728"/>
      <c r="AC2728"/>
      <c r="AD2728"/>
      <c r="AE2728"/>
      <c r="AF2728"/>
      <c r="AG2728"/>
      <c r="AH2728"/>
      <c r="AO2728" s="2"/>
      <c r="AP2728" s="3"/>
      <c r="AQ2728" s="3"/>
      <c r="AR2728" s="3"/>
      <c r="AS2728" s="3"/>
    </row>
    <row r="2729" spans="1:45" ht="15">
      <c r="A2729"/>
      <c r="J2729"/>
      <c r="AA2729"/>
      <c r="AB2729"/>
      <c r="AC2729"/>
      <c r="AD2729"/>
      <c r="AE2729"/>
      <c r="AF2729"/>
      <c r="AG2729"/>
      <c r="AH2729"/>
      <c r="AO2729" s="2"/>
      <c r="AP2729" s="3"/>
      <c r="AQ2729" s="3"/>
      <c r="AR2729" s="3"/>
      <c r="AS2729" s="3"/>
    </row>
    <row r="2730" spans="1:45" ht="15">
      <c r="A2730"/>
      <c r="J2730"/>
      <c r="AA2730"/>
      <c r="AB2730"/>
      <c r="AC2730"/>
      <c r="AD2730"/>
      <c r="AE2730"/>
      <c r="AF2730"/>
      <c r="AG2730"/>
      <c r="AH2730"/>
      <c r="AO2730" s="2"/>
      <c r="AP2730" s="3"/>
      <c r="AQ2730" s="3"/>
      <c r="AR2730" s="3"/>
      <c r="AS2730" s="3"/>
    </row>
    <row r="2731" spans="1:45" ht="15">
      <c r="A2731"/>
      <c r="J2731"/>
      <c r="AA2731"/>
      <c r="AB2731"/>
      <c r="AC2731"/>
      <c r="AD2731"/>
      <c r="AE2731"/>
      <c r="AF2731"/>
      <c r="AG2731"/>
      <c r="AH2731"/>
      <c r="AO2731" s="2"/>
      <c r="AP2731" s="3"/>
      <c r="AQ2731" s="3"/>
      <c r="AR2731" s="3"/>
      <c r="AS2731" s="3"/>
    </row>
    <row r="2732" spans="1:45" ht="15">
      <c r="A2732"/>
      <c r="J2732"/>
      <c r="AA2732"/>
      <c r="AB2732"/>
      <c r="AC2732"/>
      <c r="AD2732"/>
      <c r="AE2732"/>
      <c r="AF2732"/>
      <c r="AG2732"/>
      <c r="AH2732"/>
      <c r="AO2732" s="2"/>
      <c r="AP2732" s="3"/>
      <c r="AQ2732" s="3"/>
      <c r="AR2732" s="3"/>
      <c r="AS2732" s="3"/>
    </row>
    <row r="2733" spans="1:45" ht="15">
      <c r="A2733"/>
      <c r="J2733"/>
      <c r="AA2733"/>
      <c r="AB2733"/>
      <c r="AC2733"/>
      <c r="AD2733"/>
      <c r="AE2733"/>
      <c r="AF2733"/>
      <c r="AG2733"/>
      <c r="AH2733"/>
      <c r="AO2733" s="2"/>
      <c r="AP2733" s="3"/>
      <c r="AQ2733" s="3"/>
      <c r="AR2733" s="3"/>
      <c r="AS2733" s="3"/>
    </row>
    <row r="2734" spans="1:45" ht="15">
      <c r="A2734"/>
      <c r="J2734"/>
      <c r="AA2734"/>
      <c r="AB2734"/>
      <c r="AC2734"/>
      <c r="AD2734"/>
      <c r="AE2734"/>
      <c r="AF2734"/>
      <c r="AG2734"/>
      <c r="AH2734"/>
      <c r="AO2734" s="2"/>
      <c r="AP2734" s="3"/>
      <c r="AQ2734" s="3"/>
      <c r="AR2734" s="3"/>
      <c r="AS2734" s="3"/>
    </row>
    <row r="2735" spans="1:45" ht="15">
      <c r="A2735"/>
      <c r="J2735"/>
      <c r="AA2735"/>
      <c r="AB2735"/>
      <c r="AC2735"/>
      <c r="AD2735"/>
      <c r="AE2735"/>
      <c r="AF2735"/>
      <c r="AG2735"/>
      <c r="AH2735"/>
      <c r="AO2735" s="2"/>
      <c r="AP2735" s="3"/>
      <c r="AQ2735" s="3"/>
      <c r="AR2735" s="3"/>
      <c r="AS2735" s="3"/>
    </row>
    <row r="2736" spans="1:45" ht="15">
      <c r="A2736"/>
      <c r="J2736"/>
      <c r="AA2736"/>
      <c r="AB2736"/>
      <c r="AC2736"/>
      <c r="AD2736"/>
      <c r="AE2736"/>
      <c r="AF2736"/>
      <c r="AG2736"/>
      <c r="AH2736"/>
      <c r="AO2736" s="2"/>
      <c r="AP2736" s="3"/>
      <c r="AQ2736" s="3"/>
      <c r="AR2736" s="3"/>
      <c r="AS2736" s="3"/>
    </row>
    <row r="2737" spans="1:45" ht="15">
      <c r="A2737"/>
      <c r="J2737"/>
      <c r="AA2737"/>
      <c r="AB2737"/>
      <c r="AC2737"/>
      <c r="AD2737"/>
      <c r="AE2737"/>
      <c r="AF2737"/>
      <c r="AG2737"/>
      <c r="AH2737"/>
      <c r="AO2737" s="2"/>
      <c r="AP2737" s="3"/>
      <c r="AQ2737" s="3"/>
      <c r="AR2737" s="3"/>
      <c r="AS2737" s="3"/>
    </row>
    <row r="2738" spans="1:45" ht="15">
      <c r="A2738"/>
      <c r="J2738"/>
      <c r="AA2738"/>
      <c r="AB2738"/>
      <c r="AC2738"/>
      <c r="AD2738"/>
      <c r="AE2738"/>
      <c r="AF2738"/>
      <c r="AG2738"/>
      <c r="AH2738"/>
      <c r="AO2738" s="2"/>
      <c r="AP2738" s="3"/>
      <c r="AQ2738" s="3"/>
      <c r="AR2738" s="3"/>
      <c r="AS2738" s="3"/>
    </row>
    <row r="2739" spans="1:45" ht="15">
      <c r="A2739"/>
      <c r="J2739"/>
      <c r="AA2739"/>
      <c r="AB2739"/>
      <c r="AC2739"/>
      <c r="AD2739"/>
      <c r="AE2739"/>
      <c r="AF2739"/>
      <c r="AG2739"/>
      <c r="AH2739"/>
      <c r="AO2739" s="2"/>
      <c r="AP2739" s="3"/>
      <c r="AQ2739" s="3"/>
      <c r="AR2739" s="3"/>
      <c r="AS2739" s="3"/>
    </row>
    <row r="2740" spans="1:45" ht="15">
      <c r="A2740"/>
      <c r="J2740"/>
      <c r="AA2740"/>
      <c r="AB2740"/>
      <c r="AC2740"/>
      <c r="AD2740"/>
      <c r="AE2740"/>
      <c r="AF2740"/>
      <c r="AG2740"/>
      <c r="AH2740"/>
      <c r="AO2740" s="2"/>
      <c r="AP2740" s="3"/>
      <c r="AQ2740" s="3"/>
      <c r="AR2740" s="3"/>
      <c r="AS2740" s="3"/>
    </row>
    <row r="2741" spans="1:45" ht="15">
      <c r="A2741"/>
      <c r="J2741"/>
      <c r="AA2741"/>
      <c r="AB2741"/>
      <c r="AC2741"/>
      <c r="AD2741"/>
      <c r="AE2741"/>
      <c r="AF2741"/>
      <c r="AG2741"/>
      <c r="AH2741"/>
      <c r="AO2741" s="2"/>
      <c r="AP2741" s="3"/>
      <c r="AQ2741" s="3"/>
      <c r="AR2741" s="3"/>
      <c r="AS2741" s="3"/>
    </row>
    <row r="2742" spans="1:45" ht="15">
      <c r="A2742"/>
      <c r="J2742"/>
      <c r="AA2742"/>
      <c r="AB2742"/>
      <c r="AC2742"/>
      <c r="AD2742"/>
      <c r="AE2742"/>
      <c r="AF2742"/>
      <c r="AG2742"/>
      <c r="AH2742"/>
      <c r="AO2742" s="2"/>
      <c r="AP2742" s="3"/>
      <c r="AQ2742" s="3"/>
      <c r="AR2742" s="3"/>
      <c r="AS2742" s="3"/>
    </row>
    <row r="2743" spans="1:45" ht="15">
      <c r="A2743"/>
      <c r="J2743"/>
      <c r="AA2743"/>
      <c r="AB2743"/>
      <c r="AC2743"/>
      <c r="AD2743"/>
      <c r="AE2743"/>
      <c r="AF2743"/>
      <c r="AG2743"/>
      <c r="AH2743"/>
      <c r="AO2743" s="2"/>
      <c r="AP2743" s="3"/>
      <c r="AQ2743" s="3"/>
      <c r="AR2743" s="3"/>
      <c r="AS2743" s="3"/>
    </row>
    <row r="2744" spans="1:45" ht="15">
      <c r="A2744"/>
      <c r="J2744"/>
      <c r="AA2744"/>
      <c r="AB2744"/>
      <c r="AC2744"/>
      <c r="AD2744"/>
      <c r="AE2744"/>
      <c r="AF2744"/>
      <c r="AG2744"/>
      <c r="AH2744"/>
      <c r="AO2744" s="2"/>
      <c r="AP2744" s="3"/>
      <c r="AQ2744" s="3"/>
      <c r="AR2744" s="3"/>
      <c r="AS2744" s="3"/>
    </row>
    <row r="2745" spans="1:45" ht="15">
      <c r="A2745"/>
      <c r="J2745"/>
      <c r="AA2745"/>
      <c r="AB2745"/>
      <c r="AC2745"/>
      <c r="AD2745"/>
      <c r="AE2745"/>
      <c r="AF2745"/>
      <c r="AG2745"/>
      <c r="AH2745"/>
      <c r="AO2745" s="2"/>
      <c r="AP2745" s="3"/>
      <c r="AQ2745" s="3"/>
      <c r="AR2745" s="3"/>
      <c r="AS2745" s="3"/>
    </row>
    <row r="2746" spans="1:45" ht="15">
      <c r="A2746"/>
      <c r="J2746"/>
      <c r="AA2746"/>
      <c r="AB2746"/>
      <c r="AC2746"/>
      <c r="AD2746"/>
      <c r="AE2746"/>
      <c r="AF2746"/>
      <c r="AG2746"/>
      <c r="AH2746"/>
      <c r="AO2746" s="2"/>
      <c r="AP2746" s="3"/>
      <c r="AQ2746" s="3"/>
      <c r="AR2746" s="3"/>
      <c r="AS2746" s="3"/>
    </row>
    <row r="2747" spans="1:45" ht="15">
      <c r="A2747"/>
      <c r="J2747"/>
      <c r="AA2747"/>
      <c r="AB2747"/>
      <c r="AC2747"/>
      <c r="AD2747"/>
      <c r="AE2747"/>
      <c r="AF2747"/>
      <c r="AG2747"/>
      <c r="AH2747"/>
      <c r="AO2747" s="2"/>
      <c r="AP2747" s="3"/>
      <c r="AQ2747" s="3"/>
      <c r="AR2747" s="3"/>
      <c r="AS2747" s="3"/>
    </row>
    <row r="2748" spans="1:45" ht="15">
      <c r="A2748"/>
      <c r="J2748"/>
      <c r="AA2748"/>
      <c r="AB2748"/>
      <c r="AC2748"/>
      <c r="AD2748"/>
      <c r="AE2748"/>
      <c r="AF2748"/>
      <c r="AG2748"/>
      <c r="AH2748"/>
      <c r="AO2748" s="2"/>
      <c r="AP2748" s="3"/>
      <c r="AQ2748" s="3"/>
      <c r="AR2748" s="3"/>
      <c r="AS2748" s="3"/>
    </row>
    <row r="2749" spans="1:45" ht="15">
      <c r="A2749"/>
      <c r="J2749"/>
      <c r="AA2749"/>
      <c r="AB2749"/>
      <c r="AC2749"/>
      <c r="AD2749"/>
      <c r="AE2749"/>
      <c r="AF2749"/>
      <c r="AG2749"/>
      <c r="AH2749"/>
      <c r="AO2749" s="2"/>
      <c r="AP2749" s="3"/>
      <c r="AQ2749" s="3"/>
      <c r="AR2749" s="3"/>
      <c r="AS2749" s="3"/>
    </row>
    <row r="2750" spans="1:45" ht="15">
      <c r="A2750"/>
      <c r="J2750"/>
      <c r="AA2750"/>
      <c r="AB2750"/>
      <c r="AC2750"/>
      <c r="AD2750"/>
      <c r="AE2750"/>
      <c r="AF2750"/>
      <c r="AG2750"/>
      <c r="AH2750"/>
      <c r="AO2750" s="2"/>
      <c r="AP2750" s="3"/>
      <c r="AQ2750" s="3"/>
      <c r="AR2750" s="3"/>
      <c r="AS2750" s="3"/>
    </row>
    <row r="2751" spans="1:45" ht="15">
      <c r="A2751"/>
      <c r="J2751"/>
      <c r="AA2751"/>
      <c r="AB2751"/>
      <c r="AC2751"/>
      <c r="AD2751"/>
      <c r="AE2751"/>
      <c r="AF2751"/>
      <c r="AG2751"/>
      <c r="AH2751"/>
      <c r="AO2751" s="2"/>
      <c r="AP2751" s="3"/>
      <c r="AQ2751" s="3"/>
      <c r="AR2751" s="3"/>
      <c r="AS2751" s="3"/>
    </row>
    <row r="2752" spans="1:45" ht="15">
      <c r="A2752"/>
      <c r="J2752"/>
      <c r="AA2752"/>
      <c r="AB2752"/>
      <c r="AC2752"/>
      <c r="AD2752"/>
      <c r="AE2752"/>
      <c r="AF2752"/>
      <c r="AG2752"/>
      <c r="AH2752"/>
      <c r="AO2752" s="2"/>
      <c r="AP2752" s="3"/>
      <c r="AQ2752" s="3"/>
      <c r="AR2752" s="3"/>
      <c r="AS2752" s="3"/>
    </row>
    <row r="2753" spans="1:45" ht="15">
      <c r="A2753"/>
      <c r="J2753"/>
      <c r="AA2753"/>
      <c r="AB2753"/>
      <c r="AC2753"/>
      <c r="AD2753"/>
      <c r="AE2753"/>
      <c r="AF2753"/>
      <c r="AG2753"/>
      <c r="AH2753"/>
      <c r="AO2753" s="2"/>
      <c r="AP2753" s="3"/>
      <c r="AQ2753" s="3"/>
      <c r="AR2753" s="3"/>
      <c r="AS2753" s="3"/>
    </row>
    <row r="2754" spans="1:45" ht="15">
      <c r="A2754"/>
      <c r="J2754"/>
      <c r="AA2754"/>
      <c r="AB2754"/>
      <c r="AC2754"/>
      <c r="AD2754"/>
      <c r="AE2754"/>
      <c r="AF2754"/>
      <c r="AG2754"/>
      <c r="AH2754"/>
      <c r="AO2754" s="2"/>
      <c r="AP2754" s="3"/>
      <c r="AQ2754" s="3"/>
      <c r="AR2754" s="3"/>
      <c r="AS2754" s="3"/>
    </row>
    <row r="2755" spans="1:45" ht="15">
      <c r="A2755"/>
      <c r="J2755"/>
      <c r="AA2755"/>
      <c r="AB2755"/>
      <c r="AC2755"/>
      <c r="AD2755"/>
      <c r="AE2755"/>
      <c r="AF2755"/>
      <c r="AG2755"/>
      <c r="AH2755"/>
      <c r="AO2755" s="2"/>
      <c r="AP2755" s="3"/>
      <c r="AQ2755" s="3"/>
      <c r="AR2755" s="3"/>
      <c r="AS2755" s="3"/>
    </row>
    <row r="2756" spans="1:45" ht="15">
      <c r="A2756"/>
      <c r="J2756"/>
      <c r="AA2756"/>
      <c r="AB2756"/>
      <c r="AC2756"/>
      <c r="AD2756"/>
      <c r="AE2756"/>
      <c r="AF2756"/>
      <c r="AG2756"/>
      <c r="AH2756"/>
      <c r="AO2756" s="2"/>
      <c r="AP2756" s="3"/>
      <c r="AQ2756" s="3"/>
      <c r="AR2756" s="3"/>
      <c r="AS2756" s="3"/>
    </row>
    <row r="2757" spans="1:45" ht="15">
      <c r="A2757"/>
      <c r="J2757"/>
      <c r="AA2757"/>
      <c r="AB2757"/>
      <c r="AC2757"/>
      <c r="AD2757"/>
      <c r="AE2757"/>
      <c r="AF2757"/>
      <c r="AG2757"/>
      <c r="AH2757"/>
      <c r="AO2757" s="2"/>
      <c r="AP2757" s="3"/>
      <c r="AQ2757" s="3"/>
      <c r="AR2757" s="3"/>
      <c r="AS2757" s="3"/>
    </row>
    <row r="2758" spans="1:45" ht="15">
      <c r="A2758"/>
      <c r="J2758"/>
      <c r="AA2758"/>
      <c r="AB2758"/>
      <c r="AC2758"/>
      <c r="AD2758"/>
      <c r="AE2758"/>
      <c r="AF2758"/>
      <c r="AG2758"/>
      <c r="AH2758"/>
      <c r="AO2758" s="2"/>
      <c r="AP2758" s="3"/>
      <c r="AQ2758" s="3"/>
      <c r="AR2758" s="3"/>
      <c r="AS2758" s="3"/>
    </row>
    <row r="2759" spans="1:45" ht="15">
      <c r="A2759"/>
      <c r="J2759"/>
      <c r="AA2759"/>
      <c r="AB2759"/>
      <c r="AC2759"/>
      <c r="AD2759"/>
      <c r="AE2759"/>
      <c r="AF2759"/>
      <c r="AG2759"/>
      <c r="AH2759"/>
      <c r="AO2759" s="2"/>
      <c r="AP2759" s="3"/>
      <c r="AQ2759" s="3"/>
      <c r="AR2759" s="3"/>
      <c r="AS2759" s="3"/>
    </row>
    <row r="2760" spans="1:45" ht="15">
      <c r="A2760"/>
      <c r="J2760"/>
      <c r="AA2760"/>
      <c r="AB2760"/>
      <c r="AC2760"/>
      <c r="AD2760"/>
      <c r="AE2760"/>
      <c r="AF2760"/>
      <c r="AG2760"/>
      <c r="AH2760"/>
      <c r="AO2760" s="2"/>
      <c r="AP2760" s="3"/>
      <c r="AQ2760" s="3"/>
      <c r="AR2760" s="3"/>
      <c r="AS2760" s="3"/>
    </row>
    <row r="2761" spans="1:45" ht="15">
      <c r="A2761"/>
      <c r="J2761"/>
      <c r="AA2761"/>
      <c r="AB2761"/>
      <c r="AC2761"/>
      <c r="AD2761"/>
      <c r="AE2761"/>
      <c r="AF2761"/>
      <c r="AG2761"/>
      <c r="AH2761"/>
      <c r="AO2761" s="2"/>
      <c r="AP2761" s="3"/>
      <c r="AQ2761" s="3"/>
      <c r="AR2761" s="3"/>
      <c r="AS2761" s="3"/>
    </row>
    <row r="2762" spans="1:45" ht="15">
      <c r="A2762"/>
      <c r="J2762"/>
      <c r="AA2762"/>
      <c r="AB2762"/>
      <c r="AC2762"/>
      <c r="AD2762"/>
      <c r="AE2762"/>
      <c r="AF2762"/>
      <c r="AG2762"/>
      <c r="AH2762"/>
      <c r="AO2762" s="2"/>
      <c r="AP2762" s="3"/>
      <c r="AQ2762" s="3"/>
      <c r="AR2762" s="3"/>
      <c r="AS2762" s="3"/>
    </row>
    <row r="2763" spans="1:45" ht="15">
      <c r="A2763"/>
      <c r="J2763"/>
      <c r="AA2763"/>
      <c r="AB2763"/>
      <c r="AC2763"/>
      <c r="AD2763"/>
      <c r="AE2763"/>
      <c r="AF2763"/>
      <c r="AG2763"/>
      <c r="AH2763"/>
      <c r="AO2763" s="2"/>
      <c r="AP2763" s="3"/>
      <c r="AQ2763" s="3"/>
      <c r="AR2763" s="3"/>
      <c r="AS2763" s="3"/>
    </row>
    <row r="2764" spans="1:45" ht="15">
      <c r="A2764"/>
      <c r="J2764"/>
      <c r="AA2764"/>
      <c r="AB2764"/>
      <c r="AC2764"/>
      <c r="AD2764"/>
      <c r="AE2764"/>
      <c r="AF2764"/>
      <c r="AG2764"/>
      <c r="AH2764"/>
      <c r="AO2764" s="2"/>
      <c r="AP2764" s="3"/>
      <c r="AQ2764" s="3"/>
      <c r="AR2764" s="3"/>
      <c r="AS2764" s="3"/>
    </row>
    <row r="2765" spans="1:45" ht="15">
      <c r="A2765"/>
      <c r="J2765"/>
      <c r="AA2765"/>
      <c r="AB2765"/>
      <c r="AC2765"/>
      <c r="AD2765"/>
      <c r="AE2765"/>
      <c r="AF2765"/>
      <c r="AG2765"/>
      <c r="AH2765"/>
      <c r="AO2765" s="2"/>
      <c r="AP2765" s="3"/>
      <c r="AQ2765" s="3"/>
      <c r="AR2765" s="3"/>
      <c r="AS2765" s="3"/>
    </row>
    <row r="2766" spans="1:45" ht="15">
      <c r="A2766"/>
      <c r="J2766"/>
      <c r="AA2766"/>
      <c r="AB2766"/>
      <c r="AC2766"/>
      <c r="AD2766"/>
      <c r="AE2766"/>
      <c r="AF2766"/>
      <c r="AG2766"/>
      <c r="AH2766"/>
      <c r="AO2766" s="2"/>
      <c r="AP2766" s="3"/>
      <c r="AQ2766" s="3"/>
      <c r="AR2766" s="3"/>
      <c r="AS2766" s="3"/>
    </row>
    <row r="2767" spans="1:45" ht="15">
      <c r="A2767"/>
      <c r="J2767"/>
      <c r="AA2767"/>
      <c r="AB2767"/>
      <c r="AC2767"/>
      <c r="AD2767"/>
      <c r="AE2767"/>
      <c r="AF2767"/>
      <c r="AG2767"/>
      <c r="AH2767"/>
      <c r="AO2767" s="2"/>
      <c r="AP2767" s="3"/>
      <c r="AQ2767" s="3"/>
      <c r="AR2767" s="3"/>
      <c r="AS2767" s="3"/>
    </row>
    <row r="2768" spans="1:45" ht="15">
      <c r="A2768"/>
      <c r="J2768"/>
      <c r="AA2768"/>
      <c r="AB2768"/>
      <c r="AC2768"/>
      <c r="AD2768"/>
      <c r="AE2768"/>
      <c r="AF2768"/>
      <c r="AG2768"/>
      <c r="AH2768"/>
      <c r="AO2768" s="2"/>
      <c r="AP2768" s="3"/>
      <c r="AQ2768" s="3"/>
      <c r="AR2768" s="3"/>
      <c r="AS2768" s="3"/>
    </row>
    <row r="2769" spans="1:45" ht="15">
      <c r="A2769"/>
      <c r="J2769"/>
      <c r="AA2769"/>
      <c r="AB2769"/>
      <c r="AC2769"/>
      <c r="AD2769"/>
      <c r="AE2769"/>
      <c r="AF2769"/>
      <c r="AG2769"/>
      <c r="AH2769"/>
      <c r="AO2769" s="2"/>
      <c r="AP2769" s="3"/>
      <c r="AQ2769" s="3"/>
      <c r="AR2769" s="3"/>
      <c r="AS2769" s="3"/>
    </row>
    <row r="2770" spans="1:45" ht="15">
      <c r="A2770"/>
      <c r="J2770"/>
      <c r="AA2770"/>
      <c r="AB2770"/>
      <c r="AC2770"/>
      <c r="AD2770"/>
      <c r="AE2770"/>
      <c r="AF2770"/>
      <c r="AG2770"/>
      <c r="AH2770"/>
      <c r="AO2770" s="2"/>
      <c r="AP2770" s="3"/>
      <c r="AQ2770" s="3"/>
      <c r="AR2770" s="3"/>
      <c r="AS2770" s="3"/>
    </row>
    <row r="2771" spans="1:45" ht="15">
      <c r="A2771"/>
      <c r="J2771"/>
      <c r="AA2771"/>
      <c r="AB2771"/>
      <c r="AC2771"/>
      <c r="AD2771"/>
      <c r="AE2771"/>
      <c r="AF2771"/>
      <c r="AG2771"/>
      <c r="AH2771"/>
      <c r="AO2771" s="2"/>
      <c r="AP2771" s="3"/>
      <c r="AQ2771" s="3"/>
      <c r="AR2771" s="3"/>
      <c r="AS2771" s="3"/>
    </row>
    <row r="2772" spans="1:45" ht="15">
      <c r="A2772"/>
      <c r="J2772"/>
      <c r="AA2772"/>
      <c r="AB2772"/>
      <c r="AC2772"/>
      <c r="AD2772"/>
      <c r="AE2772"/>
      <c r="AF2772"/>
      <c r="AG2772"/>
      <c r="AH2772"/>
      <c r="AO2772" s="2"/>
      <c r="AP2772" s="3"/>
      <c r="AQ2772" s="3"/>
      <c r="AR2772" s="3"/>
      <c r="AS2772" s="3"/>
    </row>
    <row r="2773" spans="1:45" ht="15">
      <c r="A2773"/>
      <c r="J2773"/>
      <c r="AA2773"/>
      <c r="AB2773"/>
      <c r="AC2773"/>
      <c r="AD2773"/>
      <c r="AE2773"/>
      <c r="AF2773"/>
      <c r="AG2773"/>
      <c r="AH2773"/>
      <c r="AO2773" s="2"/>
      <c r="AP2773" s="3"/>
      <c r="AQ2773" s="3"/>
      <c r="AR2773" s="3"/>
      <c r="AS2773" s="3"/>
    </row>
    <row r="2774" spans="1:45" ht="15">
      <c r="A2774"/>
      <c r="J2774"/>
      <c r="AA2774"/>
      <c r="AB2774"/>
      <c r="AC2774"/>
      <c r="AD2774"/>
      <c r="AE2774"/>
      <c r="AF2774"/>
      <c r="AG2774"/>
      <c r="AH2774"/>
      <c r="AO2774" s="2"/>
      <c r="AP2774" s="3"/>
      <c r="AQ2774" s="3"/>
      <c r="AR2774" s="3"/>
      <c r="AS2774" s="3"/>
    </row>
    <row r="2775" spans="1:45" ht="15">
      <c r="A2775"/>
      <c r="J2775"/>
      <c r="AA2775"/>
      <c r="AB2775"/>
      <c r="AC2775"/>
      <c r="AD2775"/>
      <c r="AE2775"/>
      <c r="AF2775"/>
      <c r="AG2775"/>
      <c r="AH2775"/>
      <c r="AO2775" s="2"/>
      <c r="AP2775" s="3"/>
      <c r="AQ2775" s="3"/>
      <c r="AR2775" s="3"/>
      <c r="AS2775" s="3"/>
    </row>
    <row r="2776" spans="1:45" ht="15">
      <c r="A2776"/>
      <c r="J2776"/>
      <c r="AA2776"/>
      <c r="AB2776"/>
      <c r="AC2776"/>
      <c r="AD2776"/>
      <c r="AE2776"/>
      <c r="AF2776"/>
      <c r="AG2776"/>
      <c r="AH2776"/>
      <c r="AO2776" s="2"/>
      <c r="AP2776" s="3"/>
      <c r="AQ2776" s="3"/>
      <c r="AR2776" s="3"/>
      <c r="AS2776" s="3"/>
    </row>
    <row r="2777" spans="1:45" ht="15">
      <c r="A2777"/>
      <c r="J2777"/>
      <c r="AA2777"/>
      <c r="AB2777"/>
      <c r="AC2777"/>
      <c r="AD2777"/>
      <c r="AE2777"/>
      <c r="AF2777"/>
      <c r="AG2777"/>
      <c r="AH2777"/>
      <c r="AO2777" s="2"/>
      <c r="AP2777" s="3"/>
      <c r="AQ2777" s="3"/>
      <c r="AR2777" s="3"/>
      <c r="AS2777" s="3"/>
    </row>
    <row r="2778" spans="1:45" ht="15">
      <c r="A2778"/>
      <c r="J2778"/>
      <c r="AA2778"/>
      <c r="AB2778"/>
      <c r="AC2778"/>
      <c r="AD2778"/>
      <c r="AE2778"/>
      <c r="AF2778"/>
      <c r="AG2778"/>
      <c r="AH2778"/>
      <c r="AO2778" s="2"/>
      <c r="AP2778" s="3"/>
      <c r="AQ2778" s="3"/>
      <c r="AR2778" s="3"/>
      <c r="AS2778" s="3"/>
    </row>
    <row r="2779" spans="1:45" ht="15">
      <c r="A2779"/>
      <c r="J2779"/>
      <c r="AA2779"/>
      <c r="AB2779"/>
      <c r="AC2779"/>
      <c r="AD2779"/>
      <c r="AE2779"/>
      <c r="AF2779"/>
      <c r="AG2779"/>
      <c r="AH2779"/>
      <c r="AO2779" s="2"/>
      <c r="AP2779" s="3"/>
      <c r="AQ2779" s="3"/>
      <c r="AR2779" s="3"/>
      <c r="AS2779" s="3"/>
    </row>
    <row r="2780" spans="1:45" ht="15">
      <c r="A2780"/>
      <c r="J2780"/>
      <c r="AA2780"/>
      <c r="AB2780"/>
      <c r="AC2780"/>
      <c r="AD2780"/>
      <c r="AE2780"/>
      <c r="AF2780"/>
      <c r="AG2780"/>
      <c r="AH2780"/>
      <c r="AO2780" s="2"/>
      <c r="AP2780" s="3"/>
      <c r="AQ2780" s="3"/>
      <c r="AR2780" s="3"/>
      <c r="AS2780" s="3"/>
    </row>
    <row r="2781" spans="1:45" ht="15">
      <c r="A2781"/>
      <c r="J2781"/>
      <c r="AA2781"/>
      <c r="AB2781"/>
      <c r="AC2781"/>
      <c r="AD2781"/>
      <c r="AE2781"/>
      <c r="AF2781"/>
      <c r="AG2781"/>
      <c r="AH2781"/>
      <c r="AO2781" s="2"/>
      <c r="AP2781" s="3"/>
      <c r="AQ2781" s="3"/>
      <c r="AR2781" s="3"/>
      <c r="AS2781" s="3"/>
    </row>
    <row r="2782" spans="1:45" ht="15">
      <c r="A2782"/>
      <c r="J2782"/>
      <c r="AA2782"/>
      <c r="AB2782"/>
      <c r="AC2782"/>
      <c r="AD2782"/>
      <c r="AE2782"/>
      <c r="AF2782"/>
      <c r="AG2782"/>
      <c r="AH2782"/>
      <c r="AO2782" s="2"/>
      <c r="AP2782" s="3"/>
      <c r="AQ2782" s="3"/>
      <c r="AR2782" s="3"/>
      <c r="AS2782" s="3"/>
    </row>
    <row r="2783" spans="1:45" ht="15">
      <c r="A2783"/>
      <c r="J2783"/>
      <c r="AA2783"/>
      <c r="AB2783"/>
      <c r="AC2783"/>
      <c r="AD2783"/>
      <c r="AE2783"/>
      <c r="AF2783"/>
      <c r="AG2783"/>
      <c r="AH2783"/>
      <c r="AO2783" s="2"/>
      <c r="AP2783" s="3"/>
      <c r="AQ2783" s="3"/>
      <c r="AR2783" s="3"/>
      <c r="AS2783" s="3"/>
    </row>
    <row r="2784" spans="1:45" ht="15">
      <c r="A2784"/>
      <c r="J2784"/>
      <c r="AA2784"/>
      <c r="AB2784"/>
      <c r="AC2784"/>
      <c r="AD2784"/>
      <c r="AE2784"/>
      <c r="AF2784"/>
      <c r="AG2784"/>
      <c r="AH2784"/>
      <c r="AO2784" s="2"/>
      <c r="AP2784" s="3"/>
      <c r="AQ2784" s="3"/>
      <c r="AR2784" s="3"/>
      <c r="AS2784" s="3"/>
    </row>
    <row r="2785" spans="1:45" ht="15">
      <c r="A2785"/>
      <c r="J2785"/>
      <c r="AA2785"/>
      <c r="AB2785"/>
      <c r="AC2785"/>
      <c r="AD2785"/>
      <c r="AE2785"/>
      <c r="AF2785"/>
      <c r="AG2785"/>
      <c r="AH2785"/>
      <c r="AO2785" s="2"/>
      <c r="AP2785" s="3"/>
      <c r="AQ2785" s="3"/>
      <c r="AR2785" s="3"/>
      <c r="AS2785" s="3"/>
    </row>
    <row r="2786" spans="1:45" ht="15">
      <c r="A2786"/>
      <c r="J2786"/>
      <c r="AA2786"/>
      <c r="AB2786"/>
      <c r="AC2786"/>
      <c r="AD2786"/>
      <c r="AE2786"/>
      <c r="AF2786"/>
      <c r="AG2786"/>
      <c r="AH2786"/>
      <c r="AO2786" s="2"/>
      <c r="AP2786" s="3"/>
      <c r="AQ2786" s="3"/>
      <c r="AR2786" s="3"/>
      <c r="AS2786" s="3"/>
    </row>
    <row r="2787" spans="1:45" ht="15">
      <c r="A2787"/>
      <c r="J2787"/>
      <c r="AA2787"/>
      <c r="AB2787"/>
      <c r="AC2787"/>
      <c r="AD2787"/>
      <c r="AE2787"/>
      <c r="AF2787"/>
      <c r="AG2787"/>
      <c r="AH2787"/>
      <c r="AO2787" s="2"/>
      <c r="AP2787" s="3"/>
      <c r="AQ2787" s="3"/>
      <c r="AR2787" s="3"/>
      <c r="AS2787" s="3"/>
    </row>
    <row r="2788" spans="1:45" ht="15">
      <c r="A2788"/>
      <c r="J2788"/>
      <c r="AA2788"/>
      <c r="AB2788"/>
      <c r="AC2788"/>
      <c r="AD2788"/>
      <c r="AE2788"/>
      <c r="AF2788"/>
      <c r="AG2788"/>
      <c r="AH2788"/>
      <c r="AO2788" s="2"/>
      <c r="AP2788" s="3"/>
      <c r="AQ2788" s="3"/>
      <c r="AR2788" s="3"/>
      <c r="AS2788" s="3"/>
    </row>
    <row r="2789" spans="1:45" ht="15">
      <c r="A2789"/>
      <c r="J2789"/>
      <c r="AA2789"/>
      <c r="AB2789"/>
      <c r="AC2789"/>
      <c r="AD2789"/>
      <c r="AE2789"/>
      <c r="AF2789"/>
      <c r="AG2789"/>
      <c r="AH2789"/>
      <c r="AO2789" s="2"/>
      <c r="AP2789" s="3"/>
      <c r="AQ2789" s="3"/>
      <c r="AR2789" s="3"/>
      <c r="AS2789" s="3"/>
    </row>
    <row r="2790" spans="1:45" ht="15">
      <c r="A2790"/>
      <c r="J2790"/>
      <c r="AA2790"/>
      <c r="AB2790"/>
      <c r="AC2790"/>
      <c r="AD2790"/>
      <c r="AE2790"/>
      <c r="AF2790"/>
      <c r="AG2790"/>
      <c r="AH2790"/>
      <c r="AO2790" s="2"/>
      <c r="AP2790" s="3"/>
      <c r="AQ2790" s="3"/>
      <c r="AR2790" s="3"/>
      <c r="AS2790" s="3"/>
    </row>
    <row r="2791" spans="1:45" ht="15">
      <c r="A2791"/>
      <c r="J2791"/>
      <c r="AA2791"/>
      <c r="AB2791"/>
      <c r="AC2791"/>
      <c r="AD2791"/>
      <c r="AE2791"/>
      <c r="AF2791"/>
      <c r="AG2791"/>
      <c r="AH2791"/>
      <c r="AO2791" s="2"/>
      <c r="AP2791" s="3"/>
      <c r="AQ2791" s="3"/>
      <c r="AR2791" s="3"/>
      <c r="AS2791" s="3"/>
    </row>
    <row r="2792" spans="1:45" ht="15">
      <c r="A2792"/>
      <c r="J2792"/>
      <c r="AA2792"/>
      <c r="AB2792"/>
      <c r="AC2792"/>
      <c r="AD2792"/>
      <c r="AE2792"/>
      <c r="AF2792"/>
      <c r="AG2792"/>
      <c r="AH2792"/>
      <c r="AO2792" s="2"/>
      <c r="AP2792" s="3"/>
      <c r="AQ2792" s="3"/>
      <c r="AR2792" s="3"/>
      <c r="AS2792" s="3"/>
    </row>
    <row r="2793" spans="1:45" ht="15">
      <c r="A2793"/>
      <c r="J2793"/>
      <c r="AA2793"/>
      <c r="AB2793"/>
      <c r="AC2793"/>
      <c r="AD2793"/>
      <c r="AE2793"/>
      <c r="AF2793"/>
      <c r="AG2793"/>
      <c r="AH2793"/>
      <c r="AO2793" s="2"/>
      <c r="AP2793" s="3"/>
      <c r="AQ2793" s="3"/>
      <c r="AR2793" s="3"/>
      <c r="AS2793" s="3"/>
    </row>
    <row r="2794" spans="1:45" ht="15">
      <c r="A2794"/>
      <c r="J2794"/>
      <c r="AA2794"/>
      <c r="AB2794"/>
      <c r="AC2794"/>
      <c r="AD2794"/>
      <c r="AE2794"/>
      <c r="AF2794"/>
      <c r="AG2794"/>
      <c r="AH2794"/>
      <c r="AO2794" s="2"/>
      <c r="AP2794" s="3"/>
      <c r="AQ2794" s="3"/>
      <c r="AR2794" s="3"/>
      <c r="AS27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3"/>
    <dataValidation allowBlank="1" errorTitle="Invalid Vertex Visibility" error="You have entered an unrecognized vertex visibility.  Try selecting from the drop-down list instead." sqref="AP3"/>
    <dataValidation allowBlank="1" showErrorMessage="1" sqref="AP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3"/>
    <dataValidation allowBlank="1" showInputMessage="1" promptTitle="Vertex Tooltip" prompt="Enter optional text that will pop up when the mouse is hovered over the vertex." errorTitle="Invalid Vertex Image Key" sqref="K3:K8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3"/>
    <dataValidation allowBlank="1" showInputMessage="1" promptTitle="Vertex Label Fill Color" prompt="To select an optional fill color for the Label shape, right-click and select Select Color on the right-click menu." sqref="I3:I893"/>
    <dataValidation allowBlank="1" showInputMessage="1" promptTitle="Vertex Image File" prompt="Enter the path to an image file.  Hover over the column header for examples." errorTitle="Invalid Vertex Image Key" sqref="F3:F893"/>
    <dataValidation allowBlank="1" showInputMessage="1" promptTitle="Vertex Color" prompt="To select an optional vertex color, right-click and select Select Color on the right-click menu." sqref="B3:B893"/>
    <dataValidation allowBlank="1" showInputMessage="1" promptTitle="Vertex Opacity" prompt="Enter an optional vertex opacity between 0 (transparent) and 100 (opaque)." errorTitle="Invalid Vertex Opacity" error="The optional vertex opacity must be a whole number between 0 and 10." sqref="E3:E893"/>
    <dataValidation type="list" allowBlank="1" showInputMessage="1" showErrorMessage="1" promptTitle="Vertex Shape" prompt="Select an optional vertex shape." errorTitle="Invalid Vertex Shape" error="You have entered an invalid vertex shape.  Try selecting from the drop-down list instead." sqref="C3:C8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3">
      <formula1>ValidVertexLabelPositions</formula1>
    </dataValidation>
    <dataValidation allowBlank="1" showInputMessage="1" showErrorMessage="1" promptTitle="Vertex Name" prompt="Enter the name of the vertex." sqref="A3:A8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75"/>
  <sheetViews>
    <sheetView tabSelected="1" workbookViewId="0" topLeftCell="A1">
      <pane ySplit="2" topLeftCell="A3" activePane="bottomLeft" state="frozen"/>
      <selection pane="bottomLeft" activeCell="A2" sqref="A2:X2"/>
    </sheetView>
  </sheetViews>
  <sheetFormatPr defaultColWidth="9.140625" defaultRowHeight="15"/>
  <cols>
    <col min="1" max="1" width="11.8515625" style="1" customWidth="1"/>
    <col min="2" max="2" width="14.8515625" style="0" customWidth="1"/>
    <col min="3" max="3" width="16.8515625" style="0" customWidth="1"/>
    <col min="4" max="4" width="16.00390625" style="0" customWidth="1"/>
    <col min="5" max="5" width="14.00390625" style="0" customWidth="1"/>
    <col min="6" max="6" width="19.28125" style="0" customWidth="1"/>
    <col min="7" max="7" width="19.8515625" style="0" customWidth="1"/>
    <col min="8" max="8" width="17.00390625" style="0" customWidth="1"/>
    <col min="9" max="9" width="16.421875" style="0" customWidth="1"/>
    <col min="10" max="10" width="16.851562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4" t="s">
        <v>39</v>
      </c>
      <c r="C1" s="55"/>
      <c r="D1" s="55"/>
      <c r="E1" s="56"/>
      <c r="F1" s="52" t="s">
        <v>43</v>
      </c>
      <c r="G1" s="57" t="s">
        <v>44</v>
      </c>
      <c r="H1" s="58"/>
      <c r="I1" s="59" t="s">
        <v>40</v>
      </c>
      <c r="J1" s="60"/>
      <c r="K1" s="61" t="s">
        <v>42</v>
      </c>
      <c r="L1" s="62"/>
      <c r="M1" s="62"/>
      <c r="N1" s="62"/>
      <c r="O1" s="62"/>
      <c r="P1" s="62"/>
      <c r="Q1" s="62"/>
      <c r="R1" s="62"/>
      <c r="S1" s="62"/>
      <c r="T1" s="62"/>
      <c r="U1" s="62"/>
      <c r="V1" s="62"/>
      <c r="W1" s="62"/>
      <c r="X1" s="62"/>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64" t="s">
        <v>1562</v>
      </c>
      <c r="B3" s="65" t="s">
        <v>4443</v>
      </c>
      <c r="C3" s="65" t="s">
        <v>56</v>
      </c>
      <c r="D3" s="118"/>
      <c r="E3" s="65"/>
      <c r="F3" s="14"/>
      <c r="G3" s="63"/>
      <c r="H3" s="63"/>
      <c r="I3" s="119"/>
      <c r="J3" s="120"/>
      <c r="K3" s="46"/>
      <c r="L3" s="46"/>
      <c r="M3" s="46"/>
      <c r="N3" s="46"/>
      <c r="O3" s="46"/>
      <c r="P3" s="46"/>
      <c r="Q3" s="46"/>
      <c r="R3" s="46"/>
      <c r="S3" s="46"/>
      <c r="T3" s="46"/>
      <c r="U3" s="46"/>
      <c r="V3" s="46"/>
      <c r="W3" s="47"/>
      <c r="X3" s="47"/>
    </row>
    <row r="4" spans="1:24" ht="15">
      <c r="A4" s="121" t="s">
        <v>1497</v>
      </c>
      <c r="B4" s="65" t="s">
        <v>4444</v>
      </c>
      <c r="C4" s="65" t="s">
        <v>56</v>
      </c>
      <c r="D4" s="122"/>
      <c r="E4" s="65"/>
      <c r="F4" s="123"/>
      <c r="G4" s="63"/>
      <c r="H4" s="63"/>
      <c r="I4" s="124"/>
      <c r="J4" s="71"/>
      <c r="K4" s="125"/>
      <c r="L4" s="46"/>
      <c r="M4" s="46"/>
      <c r="N4" s="46"/>
      <c r="O4" s="46"/>
      <c r="P4" s="46"/>
      <c r="Q4" s="46"/>
      <c r="R4" s="46"/>
      <c r="S4" s="46"/>
      <c r="T4" s="46"/>
      <c r="U4" s="46"/>
      <c r="V4" s="46"/>
      <c r="W4" s="47"/>
      <c r="X4" s="47"/>
    </row>
    <row r="5" spans="1:24" ht="15">
      <c r="A5" s="121" t="s">
        <v>1524</v>
      </c>
      <c r="B5" s="65" t="s">
        <v>4447</v>
      </c>
      <c r="C5" s="65" t="s">
        <v>56</v>
      </c>
      <c r="D5" s="122"/>
      <c r="E5" s="65"/>
      <c r="F5" s="123"/>
      <c r="G5" s="63"/>
      <c r="H5" s="63"/>
      <c r="I5" s="124"/>
      <c r="J5" s="71"/>
      <c r="K5" s="125"/>
      <c r="L5" s="46"/>
      <c r="M5" s="46"/>
      <c r="N5" s="46"/>
      <c r="O5" s="46"/>
      <c r="P5" s="46"/>
      <c r="Q5" s="46"/>
      <c r="R5" s="46"/>
      <c r="S5" s="46"/>
      <c r="T5" s="46"/>
      <c r="U5" s="46"/>
      <c r="V5" s="46"/>
      <c r="W5" s="47"/>
      <c r="X5" s="47"/>
    </row>
    <row r="6" spans="1:24" ht="15">
      <c r="A6" s="121" t="s">
        <v>1511</v>
      </c>
      <c r="B6" s="65" t="s">
        <v>4448</v>
      </c>
      <c r="C6" s="65" t="s">
        <v>56</v>
      </c>
      <c r="D6" s="122"/>
      <c r="E6" s="65"/>
      <c r="F6" s="123"/>
      <c r="G6" s="63"/>
      <c r="H6" s="63"/>
      <c r="I6" s="124"/>
      <c r="J6" s="71"/>
      <c r="K6" s="125"/>
      <c r="L6" s="46"/>
      <c r="M6" s="46"/>
      <c r="N6" s="46"/>
      <c r="O6" s="46"/>
      <c r="P6" s="46"/>
      <c r="Q6" s="46"/>
      <c r="R6" s="46"/>
      <c r="S6" s="46"/>
      <c r="T6" s="46"/>
      <c r="U6" s="46"/>
      <c r="V6" s="46"/>
      <c r="W6" s="47"/>
      <c r="X6" s="47"/>
    </row>
    <row r="7" spans="1:24" ht="15">
      <c r="A7" s="121" t="s">
        <v>1541</v>
      </c>
      <c r="B7" s="65" t="s">
        <v>4449</v>
      </c>
      <c r="C7" s="65" t="s">
        <v>56</v>
      </c>
      <c r="D7" s="122"/>
      <c r="E7" s="65"/>
      <c r="F7" s="123"/>
      <c r="G7" s="63"/>
      <c r="H7" s="63"/>
      <c r="I7" s="124"/>
      <c r="J7" s="71"/>
      <c r="K7" s="125"/>
      <c r="L7" s="46"/>
      <c r="M7" s="46"/>
      <c r="N7" s="46"/>
      <c r="O7" s="46"/>
      <c r="P7" s="46"/>
      <c r="Q7" s="46"/>
      <c r="R7" s="46"/>
      <c r="S7" s="46"/>
      <c r="T7" s="46"/>
      <c r="U7" s="46"/>
      <c r="V7" s="46"/>
      <c r="W7" s="47"/>
      <c r="X7" s="47"/>
    </row>
    <row r="8" spans="1:24" ht="15">
      <c r="A8" s="121" t="s">
        <v>1510</v>
      </c>
      <c r="B8" s="65" t="s">
        <v>4450</v>
      </c>
      <c r="C8" s="65" t="s">
        <v>56</v>
      </c>
      <c r="D8" s="122"/>
      <c r="E8" s="65"/>
      <c r="F8" s="123"/>
      <c r="G8" s="63"/>
      <c r="H8" s="63"/>
      <c r="I8" s="124"/>
      <c r="J8" s="71"/>
      <c r="K8" s="125"/>
      <c r="L8" s="46"/>
      <c r="M8" s="46"/>
      <c r="N8" s="46"/>
      <c r="O8" s="46"/>
      <c r="P8" s="46"/>
      <c r="Q8" s="46"/>
      <c r="R8" s="46"/>
      <c r="S8" s="46"/>
      <c r="T8" s="46"/>
      <c r="U8" s="46"/>
      <c r="V8" s="46"/>
      <c r="W8" s="47"/>
      <c r="X8" s="47"/>
    </row>
    <row r="9" spans="1:24" ht="15">
      <c r="A9" s="121" t="s">
        <v>1671</v>
      </c>
      <c r="B9" s="65" t="s">
        <v>4451</v>
      </c>
      <c r="C9" s="65" t="s">
        <v>56</v>
      </c>
      <c r="D9" s="122"/>
      <c r="E9" s="65"/>
      <c r="F9" s="123"/>
      <c r="G9" s="63"/>
      <c r="H9" s="63"/>
      <c r="I9" s="124"/>
      <c r="J9" s="71"/>
      <c r="K9" s="125"/>
      <c r="L9" s="46"/>
      <c r="M9" s="46"/>
      <c r="N9" s="46"/>
      <c r="O9" s="46"/>
      <c r="P9" s="46"/>
      <c r="Q9" s="46"/>
      <c r="R9" s="46"/>
      <c r="S9" s="46"/>
      <c r="T9" s="46"/>
      <c r="U9" s="46"/>
      <c r="V9" s="46"/>
      <c r="W9" s="47"/>
      <c r="X9" s="47"/>
    </row>
    <row r="10" spans="1:24" ht="14.25" customHeight="1">
      <c r="A10" s="121" t="s">
        <v>1507</v>
      </c>
      <c r="B10" s="65" t="s">
        <v>4452</v>
      </c>
      <c r="C10" s="65" t="s">
        <v>56</v>
      </c>
      <c r="D10" s="122"/>
      <c r="E10" s="65"/>
      <c r="F10" s="123"/>
      <c r="G10" s="63"/>
      <c r="H10" s="63"/>
      <c r="I10" s="124"/>
      <c r="J10" s="71"/>
      <c r="K10" s="125"/>
      <c r="L10" s="46"/>
      <c r="M10" s="46"/>
      <c r="N10" s="46"/>
      <c r="O10" s="46"/>
      <c r="P10" s="46"/>
      <c r="Q10" s="46"/>
      <c r="R10" s="46"/>
      <c r="S10" s="46"/>
      <c r="T10" s="46"/>
      <c r="U10" s="46"/>
      <c r="V10" s="46"/>
      <c r="W10" s="47"/>
      <c r="X10" s="47"/>
    </row>
    <row r="11" spans="1:24" ht="15">
      <c r="A11" s="121" t="s">
        <v>1560</v>
      </c>
      <c r="B11" s="65" t="s">
        <v>4453</v>
      </c>
      <c r="C11" s="65" t="s">
        <v>56</v>
      </c>
      <c r="D11" s="122"/>
      <c r="E11" s="65"/>
      <c r="F11" s="123"/>
      <c r="G11" s="63"/>
      <c r="H11" s="63"/>
      <c r="I11" s="124"/>
      <c r="J11" s="71"/>
      <c r="K11" s="125"/>
      <c r="L11" s="46"/>
      <c r="M11" s="46"/>
      <c r="N11" s="46"/>
      <c r="O11" s="46"/>
      <c r="P11" s="46"/>
      <c r="Q11" s="46"/>
      <c r="R11" s="46"/>
      <c r="S11" s="46"/>
      <c r="T11" s="46"/>
      <c r="U11" s="46"/>
      <c r="V11" s="46"/>
      <c r="W11" s="47"/>
      <c r="X11" s="47"/>
    </row>
    <row r="12" spans="1:24" ht="15">
      <c r="A12" s="121" t="s">
        <v>1538</v>
      </c>
      <c r="B12" s="65" t="s">
        <v>4454</v>
      </c>
      <c r="C12" s="65" t="s">
        <v>56</v>
      </c>
      <c r="D12" s="122"/>
      <c r="E12" s="65"/>
      <c r="F12" s="123"/>
      <c r="G12" s="63"/>
      <c r="H12" s="63"/>
      <c r="I12" s="124"/>
      <c r="J12" s="71"/>
      <c r="K12" s="125"/>
      <c r="L12" s="46"/>
      <c r="M12" s="46"/>
      <c r="N12" s="46"/>
      <c r="O12" s="46"/>
      <c r="P12" s="46"/>
      <c r="Q12" s="46"/>
      <c r="R12" s="46"/>
      <c r="S12" s="46"/>
      <c r="T12" s="46"/>
      <c r="U12" s="46"/>
      <c r="V12" s="46"/>
      <c r="W12" s="47"/>
      <c r="X12" s="47"/>
    </row>
    <row r="13" spans="1:24" ht="15">
      <c r="A13" s="121" t="s">
        <v>1512</v>
      </c>
      <c r="B13" s="65" t="s">
        <v>4455</v>
      </c>
      <c r="C13" s="65" t="s">
        <v>56</v>
      </c>
      <c r="D13" s="122"/>
      <c r="E13" s="65"/>
      <c r="F13" s="123"/>
      <c r="G13" s="63"/>
      <c r="H13" s="63"/>
      <c r="I13" s="124"/>
      <c r="J13" s="71"/>
      <c r="K13" s="125"/>
      <c r="L13" s="46"/>
      <c r="M13" s="46"/>
      <c r="N13" s="46"/>
      <c r="O13" s="46"/>
      <c r="P13" s="46"/>
      <c r="Q13" s="46"/>
      <c r="R13" s="46"/>
      <c r="S13" s="46"/>
      <c r="T13" s="46"/>
      <c r="U13" s="46"/>
      <c r="V13" s="46"/>
      <c r="W13" s="47"/>
      <c r="X13" s="47"/>
    </row>
    <row r="14" spans="1:24" ht="15">
      <c r="A14" s="121" t="s">
        <v>1535</v>
      </c>
      <c r="B14" s="65" t="s">
        <v>4456</v>
      </c>
      <c r="C14" s="65" t="s">
        <v>56</v>
      </c>
      <c r="D14" s="122"/>
      <c r="E14" s="65"/>
      <c r="F14" s="123"/>
      <c r="G14" s="63"/>
      <c r="H14" s="63"/>
      <c r="I14" s="124"/>
      <c r="J14" s="71"/>
      <c r="K14" s="125"/>
      <c r="L14" s="46"/>
      <c r="M14" s="46"/>
      <c r="N14" s="46"/>
      <c r="O14" s="46"/>
      <c r="P14" s="46"/>
      <c r="Q14" s="46"/>
      <c r="R14" s="46"/>
      <c r="S14" s="46"/>
      <c r="T14" s="46"/>
      <c r="U14" s="46"/>
      <c r="V14" s="46"/>
      <c r="W14" s="47"/>
      <c r="X14" s="47"/>
    </row>
    <row r="15" spans="1:24" ht="15">
      <c r="A15" s="121" t="s">
        <v>1566</v>
      </c>
      <c r="B15" s="65" t="s">
        <v>4443</v>
      </c>
      <c r="C15" s="65" t="s">
        <v>59</v>
      </c>
      <c r="D15" s="122"/>
      <c r="E15" s="65"/>
      <c r="F15" s="123"/>
      <c r="G15" s="63"/>
      <c r="H15" s="63"/>
      <c r="I15" s="124"/>
      <c r="J15" s="71"/>
      <c r="K15" s="125"/>
      <c r="L15" s="46"/>
      <c r="M15" s="46"/>
      <c r="N15" s="46"/>
      <c r="O15" s="46"/>
      <c r="P15" s="46"/>
      <c r="Q15" s="46"/>
      <c r="R15" s="46"/>
      <c r="S15" s="46"/>
      <c r="T15" s="46"/>
      <c r="U15" s="46"/>
      <c r="V15" s="46"/>
      <c r="W15" s="47"/>
      <c r="X15" s="47"/>
    </row>
    <row r="16" spans="1:24" ht="15">
      <c r="A16" s="121" t="s">
        <v>1605</v>
      </c>
      <c r="B16" s="65" t="s">
        <v>4444</v>
      </c>
      <c r="C16" s="65" t="s">
        <v>59</v>
      </c>
      <c r="D16" s="122"/>
      <c r="E16" s="65"/>
      <c r="F16" s="123"/>
      <c r="G16" s="63"/>
      <c r="H16" s="63"/>
      <c r="I16" s="124"/>
      <c r="J16" s="71"/>
      <c r="K16" s="125"/>
      <c r="L16" s="46"/>
      <c r="M16" s="46"/>
      <c r="N16" s="46"/>
      <c r="O16" s="46"/>
      <c r="P16" s="46"/>
      <c r="Q16" s="46"/>
      <c r="R16" s="46"/>
      <c r="S16" s="46"/>
      <c r="T16" s="46"/>
      <c r="U16" s="46"/>
      <c r="V16" s="46"/>
      <c r="W16" s="47"/>
      <c r="X16" s="47"/>
    </row>
    <row r="17" spans="1:24" ht="15">
      <c r="A17" s="121" t="s">
        <v>1644</v>
      </c>
      <c r="B17" s="65" t="s">
        <v>4447</v>
      </c>
      <c r="C17" s="65" t="s">
        <v>59</v>
      </c>
      <c r="D17" s="122"/>
      <c r="E17" s="65"/>
      <c r="F17" s="123"/>
      <c r="G17" s="63"/>
      <c r="H17" s="63"/>
      <c r="I17" s="124"/>
      <c r="J17" s="71"/>
      <c r="K17" s="125"/>
      <c r="L17" s="46"/>
      <c r="M17" s="46"/>
      <c r="N17" s="46"/>
      <c r="O17" s="46"/>
      <c r="P17" s="46"/>
      <c r="Q17" s="46"/>
      <c r="R17" s="46"/>
      <c r="S17" s="46"/>
      <c r="T17" s="46"/>
      <c r="U17" s="46"/>
      <c r="V17" s="46"/>
      <c r="W17" s="47"/>
      <c r="X17" s="47"/>
    </row>
    <row r="18" spans="1:24" ht="15">
      <c r="A18" s="121" t="s">
        <v>1506</v>
      </c>
      <c r="B18" s="65" t="s">
        <v>4448</v>
      </c>
      <c r="C18" s="65" t="s">
        <v>59</v>
      </c>
      <c r="D18" s="122"/>
      <c r="E18" s="65"/>
      <c r="F18" s="123"/>
      <c r="G18" s="63"/>
      <c r="H18" s="63"/>
      <c r="I18" s="124"/>
      <c r="J18" s="71"/>
      <c r="K18" s="125"/>
      <c r="L18" s="46"/>
      <c r="M18" s="46"/>
      <c r="N18" s="46"/>
      <c r="O18" s="46"/>
      <c r="P18" s="46"/>
      <c r="Q18" s="46"/>
      <c r="R18" s="46"/>
      <c r="S18" s="46"/>
      <c r="T18" s="46"/>
      <c r="U18" s="46"/>
      <c r="V18" s="46"/>
      <c r="W18" s="47"/>
      <c r="X18" s="47"/>
    </row>
    <row r="19" spans="1:24" ht="15">
      <c r="A19" s="121" t="s">
        <v>1668</v>
      </c>
      <c r="B19" s="65" t="s">
        <v>4449</v>
      </c>
      <c r="C19" s="65" t="s">
        <v>59</v>
      </c>
      <c r="D19" s="122"/>
      <c r="E19" s="65"/>
      <c r="F19" s="123"/>
      <c r="G19" s="63"/>
      <c r="H19" s="63"/>
      <c r="I19" s="124"/>
      <c r="J19" s="71"/>
      <c r="K19" s="125"/>
      <c r="L19" s="46"/>
      <c r="M19" s="46"/>
      <c r="N19" s="46"/>
      <c r="O19" s="46"/>
      <c r="P19" s="46"/>
      <c r="Q19" s="46"/>
      <c r="R19" s="46"/>
      <c r="S19" s="46"/>
      <c r="T19" s="46"/>
      <c r="U19" s="46"/>
      <c r="V19" s="46"/>
      <c r="W19" s="47"/>
      <c r="X19" s="47"/>
    </row>
    <row r="20" spans="1:24" ht="15">
      <c r="A20" s="121" t="s">
        <v>1545</v>
      </c>
      <c r="B20" s="65" t="s">
        <v>4450</v>
      </c>
      <c r="C20" s="65" t="s">
        <v>59</v>
      </c>
      <c r="D20" s="122"/>
      <c r="E20" s="65"/>
      <c r="F20" s="123"/>
      <c r="G20" s="63"/>
      <c r="H20" s="63"/>
      <c r="I20" s="124"/>
      <c r="J20" s="71"/>
      <c r="K20" s="125"/>
      <c r="L20" s="46"/>
      <c r="M20" s="46"/>
      <c r="N20" s="46"/>
      <c r="O20" s="46"/>
      <c r="P20" s="46"/>
      <c r="Q20" s="46"/>
      <c r="R20" s="46"/>
      <c r="S20" s="46"/>
      <c r="T20" s="46"/>
      <c r="U20" s="46"/>
      <c r="V20" s="46"/>
      <c r="W20" s="47"/>
      <c r="X20" s="47"/>
    </row>
    <row r="21" spans="1:24" ht="15">
      <c r="A21" s="121" t="s">
        <v>1503</v>
      </c>
      <c r="B21" s="65" t="s">
        <v>4451</v>
      </c>
      <c r="C21" s="65" t="s">
        <v>59</v>
      </c>
      <c r="D21" s="122"/>
      <c r="E21" s="65"/>
      <c r="F21" s="123"/>
      <c r="G21" s="63"/>
      <c r="H21" s="63"/>
      <c r="I21" s="124"/>
      <c r="J21" s="71"/>
      <c r="K21" s="125"/>
      <c r="L21" s="46"/>
      <c r="M21" s="46"/>
      <c r="N21" s="46"/>
      <c r="O21" s="46"/>
      <c r="P21" s="46"/>
      <c r="Q21" s="46"/>
      <c r="R21" s="46"/>
      <c r="S21" s="46"/>
      <c r="T21" s="46"/>
      <c r="U21" s="46"/>
      <c r="V21" s="46"/>
      <c r="W21" s="47"/>
      <c r="X21" s="47"/>
    </row>
    <row r="22" spans="1:24" ht="15">
      <c r="A22" s="121" t="s">
        <v>1565</v>
      </c>
      <c r="B22" s="65" t="s">
        <v>4452</v>
      </c>
      <c r="C22" s="65" t="s">
        <v>59</v>
      </c>
      <c r="D22" s="122"/>
      <c r="E22" s="65"/>
      <c r="F22" s="123"/>
      <c r="G22" s="63"/>
      <c r="H22" s="63"/>
      <c r="I22" s="124"/>
      <c r="J22" s="71"/>
      <c r="K22" s="125"/>
      <c r="L22" s="46"/>
      <c r="M22" s="46"/>
      <c r="N22" s="46"/>
      <c r="O22" s="46"/>
      <c r="P22" s="46"/>
      <c r="Q22" s="46"/>
      <c r="R22" s="46"/>
      <c r="S22" s="46"/>
      <c r="T22" s="46"/>
      <c r="U22" s="46"/>
      <c r="V22" s="46"/>
      <c r="W22" s="47"/>
      <c r="X22" s="47"/>
    </row>
    <row r="23" spans="1:24" ht="15">
      <c r="A23" s="121" t="s">
        <v>1528</v>
      </c>
      <c r="B23" s="65" t="s">
        <v>4453</v>
      </c>
      <c r="C23" s="65" t="s">
        <v>59</v>
      </c>
      <c r="D23" s="122"/>
      <c r="E23" s="65"/>
      <c r="F23" s="123"/>
      <c r="G23" s="63"/>
      <c r="H23" s="63"/>
      <c r="I23" s="124"/>
      <c r="J23" s="71"/>
      <c r="K23" s="125"/>
      <c r="L23" s="46"/>
      <c r="M23" s="46"/>
      <c r="N23" s="46"/>
      <c r="O23" s="46"/>
      <c r="P23" s="46"/>
      <c r="Q23" s="46"/>
      <c r="R23" s="46"/>
      <c r="S23" s="46"/>
      <c r="T23" s="46"/>
      <c r="U23" s="46"/>
      <c r="V23" s="46"/>
      <c r="W23" s="47"/>
      <c r="X23" s="47"/>
    </row>
    <row r="24" spans="1:24" ht="15">
      <c r="A24" s="121" t="s">
        <v>1564</v>
      </c>
      <c r="B24" s="65" t="s">
        <v>4454</v>
      </c>
      <c r="C24" s="65" t="s">
        <v>59</v>
      </c>
      <c r="D24" s="122"/>
      <c r="E24" s="65"/>
      <c r="F24" s="123"/>
      <c r="G24" s="63"/>
      <c r="H24" s="63"/>
      <c r="I24" s="124"/>
      <c r="J24" s="71"/>
      <c r="K24" s="125"/>
      <c r="L24" s="46"/>
      <c r="M24" s="46"/>
      <c r="N24" s="46"/>
      <c r="O24" s="46"/>
      <c r="P24" s="46"/>
      <c r="Q24" s="46"/>
      <c r="R24" s="46"/>
      <c r="S24" s="46"/>
      <c r="T24" s="46"/>
      <c r="U24" s="46"/>
      <c r="V24" s="46"/>
      <c r="W24" s="47"/>
      <c r="X24" s="47"/>
    </row>
    <row r="25" spans="1:24" ht="15">
      <c r="A25" s="121" t="s">
        <v>1520</v>
      </c>
      <c r="B25" s="65" t="s">
        <v>4455</v>
      </c>
      <c r="C25" s="65" t="s">
        <v>59</v>
      </c>
      <c r="D25" s="122"/>
      <c r="E25" s="65"/>
      <c r="F25" s="123"/>
      <c r="G25" s="63"/>
      <c r="H25" s="63"/>
      <c r="I25" s="124"/>
      <c r="J25" s="71"/>
      <c r="K25" s="125"/>
      <c r="L25" s="46"/>
      <c r="M25" s="46"/>
      <c r="N25" s="46"/>
      <c r="O25" s="46"/>
      <c r="P25" s="46"/>
      <c r="Q25" s="46"/>
      <c r="R25" s="46"/>
      <c r="S25" s="46"/>
      <c r="T25" s="46"/>
      <c r="U25" s="46"/>
      <c r="V25" s="46"/>
      <c r="W25" s="47"/>
      <c r="X25" s="47"/>
    </row>
    <row r="26" spans="1:24" ht="15">
      <c r="A26" s="121" t="s">
        <v>1523</v>
      </c>
      <c r="B26" s="65" t="s">
        <v>4456</v>
      </c>
      <c r="C26" s="65" t="s">
        <v>59</v>
      </c>
      <c r="D26" s="122"/>
      <c r="E26" s="65"/>
      <c r="F26" s="123"/>
      <c r="G26" s="63"/>
      <c r="H26" s="63"/>
      <c r="I26" s="124"/>
      <c r="J26" s="71"/>
      <c r="K26" s="125"/>
      <c r="L26" s="46"/>
      <c r="M26" s="46"/>
      <c r="N26" s="46"/>
      <c r="O26" s="46"/>
      <c r="P26" s="46"/>
      <c r="Q26" s="46"/>
      <c r="R26" s="46"/>
      <c r="S26" s="46"/>
      <c r="T26" s="46"/>
      <c r="U26" s="46"/>
      <c r="V26" s="46"/>
      <c r="W26" s="47"/>
      <c r="X26" s="47"/>
    </row>
    <row r="27" spans="1:24" ht="15">
      <c r="A27" s="121" t="s">
        <v>1583</v>
      </c>
      <c r="B27" s="65" t="s">
        <v>4443</v>
      </c>
      <c r="C27" s="65" t="s">
        <v>61</v>
      </c>
      <c r="D27" s="122"/>
      <c r="E27" s="65"/>
      <c r="F27" s="123"/>
      <c r="G27" s="63"/>
      <c r="H27" s="63"/>
      <c r="I27" s="124"/>
      <c r="J27" s="71"/>
      <c r="K27" s="125"/>
      <c r="L27" s="46"/>
      <c r="M27" s="46"/>
      <c r="N27" s="46"/>
      <c r="O27" s="46"/>
      <c r="P27" s="46"/>
      <c r="Q27" s="46"/>
      <c r="R27" s="46"/>
      <c r="S27" s="46"/>
      <c r="T27" s="46"/>
      <c r="U27" s="46"/>
      <c r="V27" s="46"/>
      <c r="W27" s="47"/>
      <c r="X27" s="47"/>
    </row>
    <row r="28" spans="1:24" ht="15">
      <c r="A28" s="121" t="s">
        <v>1527</v>
      </c>
      <c r="B28" s="65" t="s">
        <v>4444</v>
      </c>
      <c r="C28" s="65" t="s">
        <v>61</v>
      </c>
      <c r="D28" s="122"/>
      <c r="E28" s="65"/>
      <c r="F28" s="123"/>
      <c r="G28" s="63"/>
      <c r="H28" s="63"/>
      <c r="I28" s="124"/>
      <c r="J28" s="71"/>
      <c r="K28" s="125"/>
      <c r="L28" s="46"/>
      <c r="M28" s="46"/>
      <c r="N28" s="46"/>
      <c r="O28" s="46"/>
      <c r="P28" s="46"/>
      <c r="Q28" s="46"/>
      <c r="R28" s="46"/>
      <c r="S28" s="46"/>
      <c r="T28" s="46"/>
      <c r="U28" s="46"/>
      <c r="V28" s="46"/>
      <c r="W28" s="47"/>
      <c r="X28" s="47"/>
    </row>
    <row r="29" spans="1:24" ht="15">
      <c r="A29" s="121" t="s">
        <v>1530</v>
      </c>
      <c r="B29" s="65" t="s">
        <v>4447</v>
      </c>
      <c r="C29" s="65" t="s">
        <v>61</v>
      </c>
      <c r="D29" s="122"/>
      <c r="E29" s="65"/>
      <c r="F29" s="123"/>
      <c r="G29" s="63"/>
      <c r="H29" s="63"/>
      <c r="I29" s="124"/>
      <c r="J29" s="71"/>
      <c r="K29" s="125"/>
      <c r="L29" s="46"/>
      <c r="M29" s="46"/>
      <c r="N29" s="46"/>
      <c r="O29" s="46"/>
      <c r="P29" s="46"/>
      <c r="Q29" s="46"/>
      <c r="R29" s="46"/>
      <c r="S29" s="46"/>
      <c r="T29" s="46"/>
      <c r="U29" s="46"/>
      <c r="V29" s="46"/>
      <c r="W29" s="47"/>
      <c r="X29" s="47"/>
    </row>
    <row r="30" spans="1:24" ht="15">
      <c r="A30" s="121" t="s">
        <v>1525</v>
      </c>
      <c r="B30" s="65" t="s">
        <v>4448</v>
      </c>
      <c r="C30" s="65" t="s">
        <v>61</v>
      </c>
      <c r="D30" s="122"/>
      <c r="E30" s="65"/>
      <c r="F30" s="123"/>
      <c r="G30" s="63"/>
      <c r="H30" s="63"/>
      <c r="I30" s="124"/>
      <c r="J30" s="71"/>
      <c r="K30" s="125"/>
      <c r="L30" s="46"/>
      <c r="M30" s="46"/>
      <c r="N30" s="46"/>
      <c r="O30" s="46"/>
      <c r="P30" s="46"/>
      <c r="Q30" s="46"/>
      <c r="R30" s="46"/>
      <c r="S30" s="46"/>
      <c r="T30" s="46"/>
      <c r="U30" s="46"/>
      <c r="V30" s="46"/>
      <c r="W30" s="47"/>
      <c r="X30" s="47"/>
    </row>
    <row r="31" spans="1:24" ht="15">
      <c r="A31" s="121" t="s">
        <v>1561</v>
      </c>
      <c r="B31" s="65" t="s">
        <v>4449</v>
      </c>
      <c r="C31" s="65" t="s">
        <v>61</v>
      </c>
      <c r="D31" s="122"/>
      <c r="E31" s="65"/>
      <c r="F31" s="123"/>
      <c r="G31" s="63"/>
      <c r="H31" s="63"/>
      <c r="I31" s="124"/>
      <c r="J31" s="71"/>
      <c r="K31" s="125"/>
      <c r="L31" s="46"/>
      <c r="M31" s="46"/>
      <c r="N31" s="46"/>
      <c r="O31" s="46"/>
      <c r="P31" s="46"/>
      <c r="Q31" s="46"/>
      <c r="R31" s="46"/>
      <c r="S31" s="46"/>
      <c r="T31" s="46"/>
      <c r="U31" s="46"/>
      <c r="V31" s="46"/>
      <c r="W31" s="47"/>
      <c r="X31" s="47"/>
    </row>
    <row r="32" spans="1:24" ht="15">
      <c r="A32" s="121" t="s">
        <v>1610</v>
      </c>
      <c r="B32" s="65" t="s">
        <v>4450</v>
      </c>
      <c r="C32" s="65" t="s">
        <v>61</v>
      </c>
      <c r="D32" s="122"/>
      <c r="E32" s="65"/>
      <c r="F32" s="123"/>
      <c r="G32" s="63"/>
      <c r="H32" s="63"/>
      <c r="I32" s="124"/>
      <c r="J32" s="71"/>
      <c r="K32" s="125"/>
      <c r="L32" s="46"/>
      <c r="M32" s="46"/>
      <c r="N32" s="46"/>
      <c r="O32" s="46"/>
      <c r="P32" s="46"/>
      <c r="Q32" s="46"/>
      <c r="R32" s="46"/>
      <c r="S32" s="46"/>
      <c r="T32" s="46"/>
      <c r="U32" s="46"/>
      <c r="V32" s="46"/>
      <c r="W32" s="47"/>
      <c r="X32" s="47"/>
    </row>
    <row r="33" spans="1:24" ht="15">
      <c r="A33" s="121" t="s">
        <v>1516</v>
      </c>
      <c r="B33" s="65" t="s">
        <v>4451</v>
      </c>
      <c r="C33" s="65" t="s">
        <v>61</v>
      </c>
      <c r="D33" s="122"/>
      <c r="E33" s="65"/>
      <c r="F33" s="123"/>
      <c r="G33" s="63"/>
      <c r="H33" s="63"/>
      <c r="I33" s="124"/>
      <c r="J33" s="71"/>
      <c r="K33" s="125"/>
      <c r="L33" s="46"/>
      <c r="M33" s="46"/>
      <c r="N33" s="46"/>
      <c r="O33" s="46"/>
      <c r="P33" s="46"/>
      <c r="Q33" s="46"/>
      <c r="R33" s="46"/>
      <c r="S33" s="46"/>
      <c r="T33" s="46"/>
      <c r="U33" s="46"/>
      <c r="V33" s="46"/>
      <c r="W33" s="47"/>
      <c r="X33" s="47"/>
    </row>
    <row r="34" spans="1:24" ht="15">
      <c r="A34" s="121" t="s">
        <v>4460</v>
      </c>
      <c r="B34" s="65" t="s">
        <v>4452</v>
      </c>
      <c r="C34" s="65" t="s">
        <v>61</v>
      </c>
      <c r="D34" s="122"/>
      <c r="E34" s="65"/>
      <c r="F34" s="123"/>
      <c r="G34" s="63"/>
      <c r="H34" s="63"/>
      <c r="I34" s="124"/>
      <c r="J34" s="71"/>
      <c r="K34" s="125"/>
      <c r="L34" s="46"/>
      <c r="M34" s="46"/>
      <c r="N34" s="46"/>
      <c r="O34" s="46"/>
      <c r="P34" s="46"/>
      <c r="Q34" s="46"/>
      <c r="R34" s="46"/>
      <c r="S34" s="46"/>
      <c r="T34" s="46"/>
      <c r="U34" s="46"/>
      <c r="V34" s="46"/>
      <c r="W34" s="47"/>
      <c r="X34" s="47"/>
    </row>
    <row r="35" spans="1:24" ht="15">
      <c r="A35" s="121" t="s">
        <v>1670</v>
      </c>
      <c r="B35" s="65" t="s">
        <v>4453</v>
      </c>
      <c r="C35" s="65" t="s">
        <v>61</v>
      </c>
      <c r="D35" s="122"/>
      <c r="E35" s="65"/>
      <c r="F35" s="123"/>
      <c r="G35" s="63"/>
      <c r="H35" s="63"/>
      <c r="I35" s="124"/>
      <c r="J35" s="71"/>
      <c r="K35" s="125"/>
      <c r="L35" s="46"/>
      <c r="M35" s="46"/>
      <c r="N35" s="46"/>
      <c r="O35" s="46"/>
      <c r="P35" s="46"/>
      <c r="Q35" s="46"/>
      <c r="R35" s="46"/>
      <c r="S35" s="46"/>
      <c r="T35" s="46"/>
      <c r="U35" s="46"/>
      <c r="V35" s="46"/>
      <c r="W35" s="47"/>
      <c r="X35" s="47"/>
    </row>
    <row r="36" spans="1:24" ht="15">
      <c r="A36" s="121" t="s">
        <v>3894</v>
      </c>
      <c r="B36" s="65" t="s">
        <v>4454</v>
      </c>
      <c r="C36" s="65" t="s">
        <v>61</v>
      </c>
      <c r="D36" s="122"/>
      <c r="E36" s="65"/>
      <c r="F36" s="123"/>
      <c r="G36" s="63"/>
      <c r="H36" s="63"/>
      <c r="I36" s="124"/>
      <c r="J36" s="71"/>
      <c r="K36" s="125"/>
      <c r="L36" s="46"/>
      <c r="M36" s="46"/>
      <c r="N36" s="46"/>
      <c r="O36" s="46"/>
      <c r="P36" s="46"/>
      <c r="Q36" s="46"/>
      <c r="R36" s="46"/>
      <c r="S36" s="46"/>
      <c r="T36" s="46"/>
      <c r="U36" s="46"/>
      <c r="V36" s="46"/>
      <c r="W36" s="47"/>
      <c r="X36" s="47"/>
    </row>
    <row r="37" spans="1:24" ht="15">
      <c r="A37" s="121" t="s">
        <v>1518</v>
      </c>
      <c r="B37" s="65" t="s">
        <v>4455</v>
      </c>
      <c r="C37" s="65" t="s">
        <v>61</v>
      </c>
      <c r="D37" s="122"/>
      <c r="E37" s="65"/>
      <c r="F37" s="123"/>
      <c r="G37" s="63"/>
      <c r="H37" s="63"/>
      <c r="I37" s="124"/>
      <c r="J37" s="71"/>
      <c r="K37" s="125"/>
      <c r="L37" s="46"/>
      <c r="M37" s="46"/>
      <c r="N37" s="46"/>
      <c r="O37" s="46"/>
      <c r="P37" s="46"/>
      <c r="Q37" s="46"/>
      <c r="R37" s="46"/>
      <c r="S37" s="46"/>
      <c r="T37" s="46"/>
      <c r="U37" s="46"/>
      <c r="V37" s="46"/>
      <c r="W37" s="47"/>
      <c r="X37" s="47"/>
    </row>
    <row r="38" spans="1:24" ht="15">
      <c r="A38" s="121" t="s">
        <v>3815</v>
      </c>
      <c r="B38" s="65" t="s">
        <v>4456</v>
      </c>
      <c r="C38" s="65" t="s">
        <v>61</v>
      </c>
      <c r="D38" s="122"/>
      <c r="E38" s="65"/>
      <c r="F38" s="123"/>
      <c r="G38" s="63"/>
      <c r="H38" s="63"/>
      <c r="I38" s="124"/>
      <c r="J38" s="71"/>
      <c r="K38" s="125"/>
      <c r="L38" s="46"/>
      <c r="M38" s="46"/>
      <c r="N38" s="46"/>
      <c r="O38" s="46"/>
      <c r="P38" s="46"/>
      <c r="Q38" s="46"/>
      <c r="R38" s="46"/>
      <c r="S38" s="46"/>
      <c r="T38" s="46"/>
      <c r="U38" s="46"/>
      <c r="V38" s="46"/>
      <c r="W38" s="47"/>
      <c r="X38" s="47"/>
    </row>
    <row r="39" spans="1:24" ht="15">
      <c r="A39" s="121" t="s">
        <v>1593</v>
      </c>
      <c r="B39" s="65" t="s">
        <v>4443</v>
      </c>
      <c r="C39" s="65" t="s">
        <v>63</v>
      </c>
      <c r="D39" s="122"/>
      <c r="E39" s="65"/>
      <c r="F39" s="123"/>
      <c r="G39" s="63"/>
      <c r="H39" s="63"/>
      <c r="I39" s="124"/>
      <c r="J39" s="71"/>
      <c r="K39" s="125"/>
      <c r="L39" s="46"/>
      <c r="M39" s="46"/>
      <c r="N39" s="46"/>
      <c r="O39" s="46"/>
      <c r="P39" s="46"/>
      <c r="Q39" s="46"/>
      <c r="R39" s="46"/>
      <c r="S39" s="46"/>
      <c r="T39" s="46"/>
      <c r="U39" s="46"/>
      <c r="V39" s="46"/>
      <c r="W39" s="47"/>
      <c r="X39" s="47"/>
    </row>
    <row r="40" spans="1:24" ht="15">
      <c r="A40" s="121" t="s">
        <v>1590</v>
      </c>
      <c r="B40" s="65" t="s">
        <v>4444</v>
      </c>
      <c r="C40" s="65" t="s">
        <v>63</v>
      </c>
      <c r="D40" s="122"/>
      <c r="E40" s="65"/>
      <c r="F40" s="123"/>
      <c r="G40" s="63"/>
      <c r="H40" s="63"/>
      <c r="I40" s="124"/>
      <c r="J40" s="71"/>
      <c r="K40" s="125"/>
      <c r="L40" s="46"/>
      <c r="M40" s="46"/>
      <c r="N40" s="46"/>
      <c r="O40" s="46"/>
      <c r="P40" s="46"/>
      <c r="Q40" s="46"/>
      <c r="R40" s="46"/>
      <c r="S40" s="46"/>
      <c r="T40" s="46"/>
      <c r="U40" s="46"/>
      <c r="V40" s="46"/>
      <c r="W40" s="47"/>
      <c r="X40" s="47"/>
    </row>
    <row r="41" spans="1:24" ht="15">
      <c r="A41" s="121" t="s">
        <v>1576</v>
      </c>
      <c r="B41" s="65" t="s">
        <v>4447</v>
      </c>
      <c r="C41" s="65" t="s">
        <v>63</v>
      </c>
      <c r="D41" s="122"/>
      <c r="E41" s="65"/>
      <c r="F41" s="123"/>
      <c r="G41" s="63"/>
      <c r="H41" s="63"/>
      <c r="I41" s="124"/>
      <c r="J41" s="71"/>
      <c r="K41" s="125"/>
      <c r="L41" s="46"/>
      <c r="M41" s="46"/>
      <c r="N41" s="46"/>
      <c r="O41" s="46"/>
      <c r="P41" s="46"/>
      <c r="Q41" s="46"/>
      <c r="R41" s="46"/>
      <c r="S41" s="46"/>
      <c r="T41" s="46"/>
      <c r="U41" s="46"/>
      <c r="V41" s="46"/>
      <c r="W41" s="47"/>
      <c r="X41" s="47"/>
    </row>
    <row r="42" spans="1:24" ht="15">
      <c r="A42" s="121" t="s">
        <v>1539</v>
      </c>
      <c r="B42" s="65" t="s">
        <v>4448</v>
      </c>
      <c r="C42" s="65" t="s">
        <v>63</v>
      </c>
      <c r="D42" s="122"/>
      <c r="E42" s="65"/>
      <c r="F42" s="123"/>
      <c r="G42" s="63"/>
      <c r="H42" s="63"/>
      <c r="I42" s="124"/>
      <c r="J42" s="71"/>
      <c r="K42" s="125"/>
      <c r="L42" s="46"/>
      <c r="M42" s="46"/>
      <c r="N42" s="46"/>
      <c r="O42" s="46"/>
      <c r="P42" s="46"/>
      <c r="Q42" s="46"/>
      <c r="R42" s="46"/>
      <c r="S42" s="46"/>
      <c r="T42" s="46"/>
      <c r="U42" s="46"/>
      <c r="V42" s="46"/>
      <c r="W42" s="47"/>
      <c r="X42" s="47"/>
    </row>
    <row r="43" spans="1:24" ht="15">
      <c r="A43" s="121" t="s">
        <v>1498</v>
      </c>
      <c r="B43" s="65" t="s">
        <v>4449</v>
      </c>
      <c r="C43" s="65" t="s">
        <v>63</v>
      </c>
      <c r="D43" s="122"/>
      <c r="E43" s="65"/>
      <c r="F43" s="123"/>
      <c r="G43" s="63"/>
      <c r="H43" s="63"/>
      <c r="I43" s="124"/>
      <c r="J43" s="71"/>
      <c r="K43" s="125"/>
      <c r="L43" s="46"/>
      <c r="M43" s="46"/>
      <c r="N43" s="46"/>
      <c r="O43" s="46"/>
      <c r="P43" s="46"/>
      <c r="Q43" s="46"/>
      <c r="R43" s="46"/>
      <c r="S43" s="46"/>
      <c r="T43" s="46"/>
      <c r="U43" s="46"/>
      <c r="V43" s="46"/>
      <c r="W43" s="47"/>
      <c r="X43" s="47"/>
    </row>
    <row r="44" spans="1:24" ht="15">
      <c r="A44" s="121" t="s">
        <v>3755</v>
      </c>
      <c r="B44" s="65" t="s">
        <v>4450</v>
      </c>
      <c r="C44" s="65" t="s">
        <v>63</v>
      </c>
      <c r="D44" s="122"/>
      <c r="E44" s="65"/>
      <c r="F44" s="123"/>
      <c r="G44" s="63"/>
      <c r="H44" s="63"/>
      <c r="I44" s="124"/>
      <c r="J44" s="71"/>
      <c r="K44" s="125"/>
      <c r="L44" s="46"/>
      <c r="M44" s="46"/>
      <c r="N44" s="46"/>
      <c r="O44" s="46"/>
      <c r="P44" s="46"/>
      <c r="Q44" s="46"/>
      <c r="R44" s="46"/>
      <c r="S44" s="46"/>
      <c r="T44" s="46"/>
      <c r="U44" s="46"/>
      <c r="V44" s="46"/>
      <c r="W44" s="47"/>
      <c r="X44" s="47"/>
    </row>
    <row r="45" spans="1:24" ht="15">
      <c r="A45" s="121" t="s">
        <v>1591</v>
      </c>
      <c r="B45" s="65" t="s">
        <v>4451</v>
      </c>
      <c r="C45" s="65" t="s">
        <v>63</v>
      </c>
      <c r="D45" s="122"/>
      <c r="E45" s="65"/>
      <c r="F45" s="123"/>
      <c r="G45" s="63"/>
      <c r="H45" s="63"/>
      <c r="I45" s="124"/>
      <c r="J45" s="71"/>
      <c r="K45" s="125"/>
      <c r="L45" s="46"/>
      <c r="M45" s="46"/>
      <c r="N45" s="46"/>
      <c r="O45" s="46"/>
      <c r="P45" s="46"/>
      <c r="Q45" s="46"/>
      <c r="R45" s="46"/>
      <c r="S45" s="46"/>
      <c r="T45" s="46"/>
      <c r="U45" s="46"/>
      <c r="V45" s="46"/>
      <c r="W45" s="47"/>
      <c r="X45" s="47"/>
    </row>
    <row r="46" spans="1:24" ht="15">
      <c r="A46" s="121" t="s">
        <v>3724</v>
      </c>
      <c r="B46" s="65" t="s">
        <v>4452</v>
      </c>
      <c r="C46" s="65" t="s">
        <v>63</v>
      </c>
      <c r="D46" s="122"/>
      <c r="E46" s="65"/>
      <c r="F46" s="123"/>
      <c r="G46" s="63"/>
      <c r="H46" s="63"/>
      <c r="I46" s="124"/>
      <c r="J46" s="71"/>
      <c r="K46" s="125"/>
      <c r="L46" s="46"/>
      <c r="M46" s="46"/>
      <c r="N46" s="46"/>
      <c r="O46" s="46"/>
      <c r="P46" s="46"/>
      <c r="Q46" s="46"/>
      <c r="R46" s="46"/>
      <c r="S46" s="46"/>
      <c r="T46" s="46"/>
      <c r="U46" s="46"/>
      <c r="V46" s="46"/>
      <c r="W46" s="47"/>
      <c r="X46" s="47"/>
    </row>
    <row r="47" spans="1:24" ht="15">
      <c r="A47" s="121" t="s">
        <v>1667</v>
      </c>
      <c r="B47" s="65" t="s">
        <v>4453</v>
      </c>
      <c r="C47" s="65" t="s">
        <v>63</v>
      </c>
      <c r="D47" s="122"/>
      <c r="E47" s="65"/>
      <c r="F47" s="123"/>
      <c r="G47" s="63"/>
      <c r="H47" s="63"/>
      <c r="I47" s="124"/>
      <c r="J47" s="71"/>
      <c r="K47" s="125"/>
      <c r="L47" s="46"/>
      <c r="M47" s="46"/>
      <c r="N47" s="46"/>
      <c r="O47" s="46"/>
      <c r="P47" s="46"/>
      <c r="Q47" s="46"/>
      <c r="R47" s="46"/>
      <c r="S47" s="46"/>
      <c r="T47" s="46"/>
      <c r="U47" s="46"/>
      <c r="V47" s="46"/>
      <c r="W47" s="47"/>
      <c r="X47" s="47"/>
    </row>
    <row r="48" spans="1:24" ht="15">
      <c r="A48" s="121" t="s">
        <v>3794</v>
      </c>
      <c r="B48" s="65" t="s">
        <v>4454</v>
      </c>
      <c r="C48" s="65" t="s">
        <v>63</v>
      </c>
      <c r="D48" s="122"/>
      <c r="E48" s="65"/>
      <c r="F48" s="123"/>
      <c r="G48" s="63"/>
      <c r="H48" s="63"/>
      <c r="I48" s="124"/>
      <c r="J48" s="71"/>
      <c r="K48" s="125"/>
      <c r="L48" s="46"/>
      <c r="M48" s="46"/>
      <c r="N48" s="46"/>
      <c r="O48" s="46"/>
      <c r="P48" s="46"/>
      <c r="Q48" s="46"/>
      <c r="R48" s="46"/>
      <c r="S48" s="46"/>
      <c r="T48" s="46"/>
      <c r="U48" s="46"/>
      <c r="V48" s="46"/>
      <c r="W48" s="47"/>
      <c r="X48" s="47"/>
    </row>
    <row r="49" spans="1:24" ht="15">
      <c r="A49" s="121" t="s">
        <v>1522</v>
      </c>
      <c r="B49" s="65" t="s">
        <v>4455</v>
      </c>
      <c r="C49" s="65" t="s">
        <v>63</v>
      </c>
      <c r="D49" s="122"/>
      <c r="E49" s="65"/>
      <c r="F49" s="123"/>
      <c r="G49" s="63"/>
      <c r="H49" s="63"/>
      <c r="I49" s="124"/>
      <c r="J49" s="71"/>
      <c r="K49" s="125"/>
      <c r="L49" s="46"/>
      <c r="M49" s="46"/>
      <c r="N49" s="46"/>
      <c r="O49" s="46"/>
      <c r="P49" s="46"/>
      <c r="Q49" s="46"/>
      <c r="R49" s="46"/>
      <c r="S49" s="46"/>
      <c r="T49" s="46"/>
      <c r="U49" s="46"/>
      <c r="V49" s="46"/>
      <c r="W49" s="47"/>
      <c r="X49" s="47"/>
    </row>
    <row r="50" spans="1:24" ht="15">
      <c r="A50" s="121" t="s">
        <v>1529</v>
      </c>
      <c r="B50" s="65" t="s">
        <v>4456</v>
      </c>
      <c r="C50" s="65" t="s">
        <v>63</v>
      </c>
      <c r="D50" s="122"/>
      <c r="E50" s="65"/>
      <c r="F50" s="123"/>
      <c r="G50" s="63"/>
      <c r="H50" s="63"/>
      <c r="I50" s="124"/>
      <c r="J50" s="71"/>
      <c r="K50" s="125"/>
      <c r="L50" s="46"/>
      <c r="M50" s="46"/>
      <c r="N50" s="46"/>
      <c r="O50" s="46"/>
      <c r="P50" s="46"/>
      <c r="Q50" s="46"/>
      <c r="R50" s="46"/>
      <c r="S50" s="46"/>
      <c r="T50" s="46"/>
      <c r="U50" s="46"/>
      <c r="V50" s="46"/>
      <c r="W50" s="47"/>
      <c r="X50" s="47"/>
    </row>
    <row r="51" spans="1:24" ht="15">
      <c r="A51" s="121" t="s">
        <v>3897</v>
      </c>
      <c r="B51" s="65" t="s">
        <v>4443</v>
      </c>
      <c r="C51" s="65" t="s">
        <v>57</v>
      </c>
      <c r="D51" s="122"/>
      <c r="E51" s="65"/>
      <c r="F51" s="123"/>
      <c r="G51" s="63"/>
      <c r="H51" s="63"/>
      <c r="I51" s="124"/>
      <c r="J51" s="71"/>
      <c r="K51" s="125"/>
      <c r="L51" s="46"/>
      <c r="M51" s="46"/>
      <c r="N51" s="46"/>
      <c r="O51" s="46"/>
      <c r="P51" s="46"/>
      <c r="Q51" s="46"/>
      <c r="R51" s="46"/>
      <c r="S51" s="46"/>
      <c r="T51" s="46"/>
      <c r="U51" s="46"/>
      <c r="V51" s="46"/>
      <c r="W51" s="47"/>
      <c r="X51" s="47"/>
    </row>
    <row r="52" spans="1:24" ht="15">
      <c r="A52" s="121" t="s">
        <v>1675</v>
      </c>
      <c r="B52" s="65" t="s">
        <v>4444</v>
      </c>
      <c r="C52" s="65" t="s">
        <v>57</v>
      </c>
      <c r="D52" s="122"/>
      <c r="E52" s="65"/>
      <c r="F52" s="123"/>
      <c r="G52" s="63"/>
      <c r="H52" s="63"/>
      <c r="I52" s="124"/>
      <c r="J52" s="71"/>
      <c r="K52" s="125"/>
      <c r="L52" s="46"/>
      <c r="M52" s="46"/>
      <c r="N52" s="46"/>
      <c r="O52" s="46"/>
      <c r="P52" s="46"/>
      <c r="Q52" s="46"/>
      <c r="R52" s="46"/>
      <c r="S52" s="46"/>
      <c r="T52" s="46"/>
      <c r="U52" s="46"/>
      <c r="V52" s="46"/>
      <c r="W52" s="47"/>
      <c r="X52" s="47"/>
    </row>
    <row r="53" spans="1:24" ht="15">
      <c r="A53" s="121" t="s">
        <v>1505</v>
      </c>
      <c r="B53" s="65" t="s">
        <v>4447</v>
      </c>
      <c r="C53" s="65" t="s">
        <v>57</v>
      </c>
      <c r="D53" s="122"/>
      <c r="E53" s="65"/>
      <c r="F53" s="123"/>
      <c r="G53" s="63"/>
      <c r="H53" s="63"/>
      <c r="I53" s="124"/>
      <c r="J53" s="71"/>
      <c r="K53" s="125"/>
      <c r="L53" s="46"/>
      <c r="M53" s="46"/>
      <c r="N53" s="46"/>
      <c r="O53" s="46"/>
      <c r="P53" s="46"/>
      <c r="Q53" s="46"/>
      <c r="R53" s="46"/>
      <c r="S53" s="46"/>
      <c r="T53" s="46"/>
      <c r="U53" s="46"/>
      <c r="V53" s="46"/>
      <c r="W53" s="47"/>
      <c r="X53" s="47"/>
    </row>
    <row r="54" spans="1:24" ht="15">
      <c r="A54" s="121" t="s">
        <v>1532</v>
      </c>
      <c r="B54" s="65" t="s">
        <v>4448</v>
      </c>
      <c r="C54" s="65" t="s">
        <v>57</v>
      </c>
      <c r="D54" s="122"/>
      <c r="E54" s="65"/>
      <c r="F54" s="123"/>
      <c r="G54" s="63"/>
      <c r="H54" s="63"/>
      <c r="I54" s="124"/>
      <c r="J54" s="71"/>
      <c r="K54" s="125"/>
      <c r="L54" s="46"/>
      <c r="M54" s="46"/>
      <c r="N54" s="46"/>
      <c r="O54" s="46"/>
      <c r="P54" s="46"/>
      <c r="Q54" s="46"/>
      <c r="R54" s="46"/>
      <c r="S54" s="46"/>
      <c r="T54" s="46"/>
      <c r="U54" s="46"/>
      <c r="V54" s="46"/>
      <c r="W54" s="47"/>
      <c r="X54" s="47"/>
    </row>
    <row r="55" spans="1:24" ht="15">
      <c r="A55" s="121" t="s">
        <v>1659</v>
      </c>
      <c r="B55" s="65" t="s">
        <v>4449</v>
      </c>
      <c r="C55" s="65" t="s">
        <v>57</v>
      </c>
      <c r="D55" s="122"/>
      <c r="E55" s="65"/>
      <c r="F55" s="123"/>
      <c r="G55" s="63"/>
      <c r="H55" s="63"/>
      <c r="I55" s="124"/>
      <c r="J55" s="71"/>
      <c r="K55" s="125"/>
      <c r="L55" s="46"/>
      <c r="M55" s="46"/>
      <c r="N55" s="46"/>
      <c r="O55" s="46"/>
      <c r="P55" s="46"/>
      <c r="Q55" s="46"/>
      <c r="R55" s="46"/>
      <c r="S55" s="46"/>
      <c r="T55" s="46"/>
      <c r="U55" s="46"/>
      <c r="V55" s="46"/>
      <c r="W55" s="47"/>
      <c r="X55" s="47"/>
    </row>
    <row r="56" spans="1:24" ht="15">
      <c r="A56" s="121" t="s">
        <v>1660</v>
      </c>
      <c r="B56" s="65" t="s">
        <v>4450</v>
      </c>
      <c r="C56" s="65" t="s">
        <v>57</v>
      </c>
      <c r="D56" s="122"/>
      <c r="E56" s="65"/>
      <c r="F56" s="123"/>
      <c r="G56" s="63"/>
      <c r="H56" s="63"/>
      <c r="I56" s="124"/>
      <c r="J56" s="71"/>
      <c r="K56" s="125"/>
      <c r="L56" s="46"/>
      <c r="M56" s="46"/>
      <c r="N56" s="46"/>
      <c r="O56" s="46"/>
      <c r="P56" s="46"/>
      <c r="Q56" s="46"/>
      <c r="R56" s="46"/>
      <c r="S56" s="46"/>
      <c r="T56" s="46"/>
      <c r="U56" s="46"/>
      <c r="V56" s="46"/>
      <c r="W56" s="47"/>
      <c r="X56" s="47"/>
    </row>
    <row r="57" spans="1:24" ht="15">
      <c r="A57" s="121" t="s">
        <v>1664</v>
      </c>
      <c r="B57" s="65" t="s">
        <v>4451</v>
      </c>
      <c r="C57" s="65" t="s">
        <v>57</v>
      </c>
      <c r="D57" s="122"/>
      <c r="E57" s="65"/>
      <c r="F57" s="123"/>
      <c r="G57" s="63"/>
      <c r="H57" s="63"/>
      <c r="I57" s="124"/>
      <c r="J57" s="71"/>
      <c r="K57" s="125"/>
      <c r="L57" s="46"/>
      <c r="M57" s="46"/>
      <c r="N57" s="46"/>
      <c r="O57" s="46"/>
      <c r="P57" s="46"/>
      <c r="Q57" s="46"/>
      <c r="R57" s="46"/>
      <c r="S57" s="46"/>
      <c r="T57" s="46"/>
      <c r="U57" s="46"/>
      <c r="V57" s="46"/>
      <c r="W57" s="47"/>
      <c r="X57" s="47"/>
    </row>
    <row r="58" spans="1:24" ht="15">
      <c r="A58" s="121" t="s">
        <v>1636</v>
      </c>
      <c r="B58" s="65" t="s">
        <v>4452</v>
      </c>
      <c r="C58" s="65" t="s">
        <v>57</v>
      </c>
      <c r="D58" s="122"/>
      <c r="E58" s="65"/>
      <c r="F58" s="123"/>
      <c r="G58" s="63"/>
      <c r="H58" s="63"/>
      <c r="I58" s="124"/>
      <c r="J58" s="71"/>
      <c r="K58" s="125"/>
      <c r="L58" s="46"/>
      <c r="M58" s="46"/>
      <c r="N58" s="46"/>
      <c r="O58" s="46"/>
      <c r="P58" s="46"/>
      <c r="Q58" s="46"/>
      <c r="R58" s="46"/>
      <c r="S58" s="46"/>
      <c r="T58" s="46"/>
      <c r="U58" s="46"/>
      <c r="V58" s="46"/>
      <c r="W58" s="47"/>
      <c r="X58" s="47"/>
    </row>
    <row r="59" spans="1:24" ht="15">
      <c r="A59" s="121" t="s">
        <v>1638</v>
      </c>
      <c r="B59" s="65" t="s">
        <v>4453</v>
      </c>
      <c r="C59" s="65" t="s">
        <v>57</v>
      </c>
      <c r="D59" s="122"/>
      <c r="E59" s="65"/>
      <c r="F59" s="123"/>
      <c r="G59" s="63"/>
      <c r="H59" s="63"/>
      <c r="I59" s="124"/>
      <c r="J59" s="71"/>
      <c r="K59" s="125"/>
      <c r="L59" s="46"/>
      <c r="M59" s="46"/>
      <c r="N59" s="46"/>
      <c r="O59" s="46"/>
      <c r="P59" s="46"/>
      <c r="Q59" s="46"/>
      <c r="R59" s="46"/>
      <c r="S59" s="46"/>
      <c r="T59" s="46"/>
      <c r="U59" s="46"/>
      <c r="V59" s="46"/>
      <c r="W59" s="47"/>
      <c r="X59" s="47"/>
    </row>
    <row r="60" spans="1:24" ht="15">
      <c r="A60" s="121" t="s">
        <v>3939</v>
      </c>
      <c r="B60" s="65" t="s">
        <v>4454</v>
      </c>
      <c r="C60" s="65" t="s">
        <v>57</v>
      </c>
      <c r="D60" s="122"/>
      <c r="E60" s="65"/>
      <c r="F60" s="123"/>
      <c r="G60" s="63"/>
      <c r="H60" s="63"/>
      <c r="I60" s="124"/>
      <c r="J60" s="71"/>
      <c r="K60" s="125"/>
      <c r="L60" s="46"/>
      <c r="M60" s="46"/>
      <c r="N60" s="46"/>
      <c r="O60" s="46"/>
      <c r="P60" s="46"/>
      <c r="Q60" s="46"/>
      <c r="R60" s="46"/>
      <c r="S60" s="46"/>
      <c r="T60" s="46"/>
      <c r="U60" s="46"/>
      <c r="V60" s="46"/>
      <c r="W60" s="47"/>
      <c r="X60" s="47"/>
    </row>
    <row r="61" spans="1:24" ht="15">
      <c r="A61" s="121" t="s">
        <v>3941</v>
      </c>
      <c r="B61" s="65" t="s">
        <v>4455</v>
      </c>
      <c r="C61" s="65" t="s">
        <v>57</v>
      </c>
      <c r="D61" s="122"/>
      <c r="E61" s="65"/>
      <c r="F61" s="123"/>
      <c r="G61" s="63"/>
      <c r="H61" s="63"/>
      <c r="I61" s="124"/>
      <c r="J61" s="71"/>
      <c r="K61" s="125"/>
      <c r="L61" s="46"/>
      <c r="M61" s="46"/>
      <c r="N61" s="46"/>
      <c r="O61" s="46"/>
      <c r="P61" s="46"/>
      <c r="Q61" s="46"/>
      <c r="R61" s="46"/>
      <c r="S61" s="46"/>
      <c r="T61" s="46"/>
      <c r="U61" s="46"/>
      <c r="V61" s="46"/>
      <c r="W61" s="47"/>
      <c r="X61" s="47"/>
    </row>
    <row r="62" spans="1:24" ht="15">
      <c r="A62" s="121" t="s">
        <v>3944</v>
      </c>
      <c r="B62" s="65" t="s">
        <v>4456</v>
      </c>
      <c r="C62" s="65" t="s">
        <v>57</v>
      </c>
      <c r="D62" s="122"/>
      <c r="E62" s="65"/>
      <c r="F62" s="123"/>
      <c r="G62" s="63"/>
      <c r="H62" s="63"/>
      <c r="I62" s="124"/>
      <c r="J62" s="71"/>
      <c r="K62" s="125"/>
      <c r="L62" s="46"/>
      <c r="M62" s="46"/>
      <c r="N62" s="46"/>
      <c r="O62" s="46"/>
      <c r="P62" s="46"/>
      <c r="Q62" s="46"/>
      <c r="R62" s="46"/>
      <c r="S62" s="46"/>
      <c r="T62" s="46"/>
      <c r="U62" s="46"/>
      <c r="V62" s="46"/>
      <c r="W62" s="47"/>
      <c r="X62" s="47"/>
    </row>
    <row r="63" spans="1:24" ht="15">
      <c r="A63" s="121" t="s">
        <v>3776</v>
      </c>
      <c r="B63" s="65" t="s">
        <v>4443</v>
      </c>
      <c r="C63" s="65" t="s">
        <v>55</v>
      </c>
      <c r="D63" s="122"/>
      <c r="E63" s="65"/>
      <c r="F63" s="123"/>
      <c r="G63" s="63"/>
      <c r="H63" s="63"/>
      <c r="I63" s="124"/>
      <c r="J63" s="71"/>
      <c r="K63" s="125"/>
      <c r="L63" s="46"/>
      <c r="M63" s="46"/>
      <c r="N63" s="46"/>
      <c r="O63" s="46"/>
      <c r="P63" s="46"/>
      <c r="Q63" s="46"/>
      <c r="R63" s="46"/>
      <c r="S63" s="46"/>
      <c r="T63" s="46"/>
      <c r="U63" s="46"/>
      <c r="V63" s="46"/>
      <c r="W63" s="47"/>
      <c r="X63" s="47"/>
    </row>
    <row r="64" spans="1:24" ht="15">
      <c r="A64" s="121" t="s">
        <v>3780</v>
      </c>
      <c r="B64" s="65" t="s">
        <v>4444</v>
      </c>
      <c r="C64" s="65" t="s">
        <v>55</v>
      </c>
      <c r="D64" s="122"/>
      <c r="E64" s="65"/>
      <c r="F64" s="123"/>
      <c r="G64" s="63"/>
      <c r="H64" s="63"/>
      <c r="I64" s="124"/>
      <c r="J64" s="71"/>
      <c r="K64" s="125"/>
      <c r="L64" s="46"/>
      <c r="M64" s="46"/>
      <c r="N64" s="46"/>
      <c r="O64" s="46"/>
      <c r="P64" s="46"/>
      <c r="Q64" s="46"/>
      <c r="R64" s="46"/>
      <c r="S64" s="46"/>
      <c r="T64" s="46"/>
      <c r="U64" s="46"/>
      <c r="V64" s="46"/>
      <c r="W64" s="47"/>
      <c r="X64" s="47"/>
    </row>
    <row r="65" spans="1:24" ht="15">
      <c r="A65" s="121" t="s">
        <v>3698</v>
      </c>
      <c r="B65" s="65" t="s">
        <v>4447</v>
      </c>
      <c r="C65" s="65" t="s">
        <v>55</v>
      </c>
      <c r="D65" s="122"/>
      <c r="E65" s="65"/>
      <c r="F65" s="123"/>
      <c r="G65" s="63"/>
      <c r="H65" s="63"/>
      <c r="I65" s="124"/>
      <c r="J65" s="71"/>
      <c r="K65" s="125"/>
      <c r="L65" s="46"/>
      <c r="M65" s="46"/>
      <c r="N65" s="46"/>
      <c r="O65" s="46"/>
      <c r="P65" s="46"/>
      <c r="Q65" s="46"/>
      <c r="R65" s="46"/>
      <c r="S65" s="46"/>
      <c r="T65" s="46"/>
      <c r="U65" s="46"/>
      <c r="V65" s="46"/>
      <c r="W65" s="47"/>
      <c r="X65" s="47"/>
    </row>
    <row r="66" spans="1:24" ht="15">
      <c r="A66" s="121" t="s">
        <v>3882</v>
      </c>
      <c r="B66" s="65" t="s">
        <v>4448</v>
      </c>
      <c r="C66" s="65" t="s">
        <v>55</v>
      </c>
      <c r="D66" s="122"/>
      <c r="E66" s="65"/>
      <c r="F66" s="123"/>
      <c r="G66" s="63"/>
      <c r="H66" s="63"/>
      <c r="I66" s="124"/>
      <c r="J66" s="71"/>
      <c r="K66" s="125"/>
      <c r="L66" s="46"/>
      <c r="M66" s="46"/>
      <c r="N66" s="46"/>
      <c r="O66" s="46"/>
      <c r="P66" s="46"/>
      <c r="Q66" s="46"/>
      <c r="R66" s="46"/>
      <c r="S66" s="46"/>
      <c r="T66" s="46"/>
      <c r="U66" s="46"/>
      <c r="V66" s="46"/>
      <c r="W66" s="47"/>
      <c r="X66" s="47"/>
    </row>
    <row r="67" spans="1:24" ht="15">
      <c r="A67" s="121" t="s">
        <v>1606</v>
      </c>
      <c r="B67" s="65" t="s">
        <v>4449</v>
      </c>
      <c r="C67" s="65" t="s">
        <v>55</v>
      </c>
      <c r="D67" s="122"/>
      <c r="E67" s="65"/>
      <c r="F67" s="123"/>
      <c r="G67" s="63"/>
      <c r="H67" s="63"/>
      <c r="I67" s="124"/>
      <c r="J67" s="71"/>
      <c r="K67" s="125"/>
      <c r="L67" s="46"/>
      <c r="M67" s="46"/>
      <c r="N67" s="46"/>
      <c r="O67" s="46"/>
      <c r="P67" s="46"/>
      <c r="Q67" s="46"/>
      <c r="R67" s="46"/>
      <c r="S67" s="46"/>
      <c r="T67" s="46"/>
      <c r="U67" s="46"/>
      <c r="V67" s="46"/>
      <c r="W67" s="47"/>
      <c r="X67" s="47"/>
    </row>
    <row r="68" spans="1:24" ht="15">
      <c r="A68" s="121" t="s">
        <v>3810</v>
      </c>
      <c r="B68" s="65" t="s">
        <v>4450</v>
      </c>
      <c r="C68" s="65" t="s">
        <v>55</v>
      </c>
      <c r="D68" s="122"/>
      <c r="E68" s="65"/>
      <c r="F68" s="123"/>
      <c r="G68" s="63"/>
      <c r="H68" s="63"/>
      <c r="I68" s="124"/>
      <c r="J68" s="71"/>
      <c r="K68" s="125"/>
      <c r="L68" s="46"/>
      <c r="M68" s="46"/>
      <c r="N68" s="46"/>
      <c r="O68" s="46"/>
      <c r="P68" s="46"/>
      <c r="Q68" s="46"/>
      <c r="R68" s="46"/>
      <c r="S68" s="46"/>
      <c r="T68" s="46"/>
      <c r="U68" s="46"/>
      <c r="V68" s="46"/>
      <c r="W68" s="47"/>
      <c r="X68" s="47"/>
    </row>
    <row r="69" spans="1:24" ht="15">
      <c r="A69" s="121" t="s">
        <v>1551</v>
      </c>
      <c r="B69" s="65" t="s">
        <v>4451</v>
      </c>
      <c r="C69" s="65" t="s">
        <v>55</v>
      </c>
      <c r="D69" s="122"/>
      <c r="E69" s="65"/>
      <c r="F69" s="123"/>
      <c r="G69" s="63"/>
      <c r="H69" s="63"/>
      <c r="I69" s="124"/>
      <c r="J69" s="71"/>
      <c r="K69" s="125"/>
      <c r="L69" s="46"/>
      <c r="M69" s="46"/>
      <c r="N69" s="46"/>
      <c r="O69" s="46"/>
      <c r="P69" s="46"/>
      <c r="Q69" s="46"/>
      <c r="R69" s="46"/>
      <c r="S69" s="46"/>
      <c r="T69" s="46"/>
      <c r="U69" s="46"/>
      <c r="V69" s="46"/>
      <c r="W69" s="47"/>
      <c r="X69" s="47"/>
    </row>
    <row r="70" spans="1:24" ht="15">
      <c r="A70" s="121" t="s">
        <v>3746</v>
      </c>
      <c r="B70" s="65" t="s">
        <v>4452</v>
      </c>
      <c r="C70" s="65" t="s">
        <v>55</v>
      </c>
      <c r="D70" s="122"/>
      <c r="E70" s="65"/>
      <c r="F70" s="123"/>
      <c r="G70" s="63"/>
      <c r="H70" s="63"/>
      <c r="I70" s="124"/>
      <c r="J70" s="71"/>
      <c r="K70" s="125"/>
      <c r="L70" s="46"/>
      <c r="M70" s="46"/>
      <c r="N70" s="46"/>
      <c r="O70" s="46"/>
      <c r="P70" s="46"/>
      <c r="Q70" s="46"/>
      <c r="R70" s="46"/>
      <c r="S70" s="46"/>
      <c r="T70" s="46"/>
      <c r="U70" s="46"/>
      <c r="V70" s="46"/>
      <c r="W70" s="47"/>
      <c r="X70" s="47"/>
    </row>
    <row r="71" spans="1:24" ht="15">
      <c r="A71" s="121" t="s">
        <v>3749</v>
      </c>
      <c r="B71" s="65" t="s">
        <v>4453</v>
      </c>
      <c r="C71" s="65" t="s">
        <v>55</v>
      </c>
      <c r="D71" s="122"/>
      <c r="E71" s="65"/>
      <c r="F71" s="123"/>
      <c r="G71" s="63"/>
      <c r="H71" s="63"/>
      <c r="I71" s="124"/>
      <c r="J71" s="71"/>
      <c r="K71" s="125"/>
      <c r="L71" s="46"/>
      <c r="M71" s="46"/>
      <c r="N71" s="46"/>
      <c r="O71" s="46"/>
      <c r="P71" s="46"/>
      <c r="Q71" s="46"/>
      <c r="R71" s="46"/>
      <c r="S71" s="46"/>
      <c r="T71" s="46"/>
      <c r="U71" s="46"/>
      <c r="V71" s="46"/>
      <c r="W71" s="47"/>
      <c r="X71" s="47"/>
    </row>
    <row r="72" spans="1:24" ht="15">
      <c r="A72" s="121" t="s">
        <v>3829</v>
      </c>
      <c r="B72" s="65" t="s">
        <v>4454</v>
      </c>
      <c r="C72" s="65" t="s">
        <v>55</v>
      </c>
      <c r="D72" s="122"/>
      <c r="E72" s="65"/>
      <c r="F72" s="123"/>
      <c r="G72" s="63"/>
      <c r="H72" s="63"/>
      <c r="I72" s="124"/>
      <c r="J72" s="71"/>
      <c r="K72" s="125"/>
      <c r="L72" s="46"/>
      <c r="M72" s="46"/>
      <c r="N72" s="46"/>
      <c r="O72" s="46"/>
      <c r="P72" s="46"/>
      <c r="Q72" s="46"/>
      <c r="R72" s="46"/>
      <c r="S72" s="46"/>
      <c r="T72" s="46"/>
      <c r="U72" s="46"/>
      <c r="V72" s="46"/>
      <c r="W72" s="47"/>
      <c r="X72" s="47"/>
    </row>
    <row r="73" spans="1:24" ht="15">
      <c r="A73" s="121" t="s">
        <v>3830</v>
      </c>
      <c r="B73" s="65" t="s">
        <v>4455</v>
      </c>
      <c r="C73" s="65" t="s">
        <v>55</v>
      </c>
      <c r="D73" s="122"/>
      <c r="E73" s="65"/>
      <c r="F73" s="123"/>
      <c r="G73" s="63"/>
      <c r="H73" s="63"/>
      <c r="I73" s="124"/>
      <c r="J73" s="71"/>
      <c r="K73" s="125"/>
      <c r="L73" s="46"/>
      <c r="M73" s="46"/>
      <c r="N73" s="46"/>
      <c r="O73" s="46"/>
      <c r="P73" s="46"/>
      <c r="Q73" s="46"/>
      <c r="R73" s="46"/>
      <c r="S73" s="46"/>
      <c r="T73" s="46"/>
      <c r="U73" s="46"/>
      <c r="V73" s="46"/>
      <c r="W73" s="47"/>
      <c r="X73" s="47"/>
    </row>
    <row r="74" spans="1:24" ht="15">
      <c r="A74" s="121" t="s">
        <v>4461</v>
      </c>
      <c r="B74" s="65" t="s">
        <v>4456</v>
      </c>
      <c r="C74" s="65" t="s">
        <v>55</v>
      </c>
      <c r="D74" s="122"/>
      <c r="E74" s="65"/>
      <c r="F74" s="123"/>
      <c r="G74" s="63"/>
      <c r="H74" s="63"/>
      <c r="I74" s="124"/>
      <c r="J74" s="71"/>
      <c r="K74" s="125"/>
      <c r="L74" s="46"/>
      <c r="M74" s="46"/>
      <c r="N74" s="46"/>
      <c r="O74" s="46"/>
      <c r="P74" s="46"/>
      <c r="Q74" s="46"/>
      <c r="R74" s="46"/>
      <c r="S74" s="46"/>
      <c r="T74" s="46"/>
      <c r="U74" s="46"/>
      <c r="V74" s="46"/>
      <c r="W74" s="47"/>
      <c r="X74" s="47"/>
    </row>
    <row r="75" spans="1:24" ht="15">
      <c r="A75" s="121" t="s">
        <v>3833</v>
      </c>
      <c r="B75" s="65" t="s">
        <v>4443</v>
      </c>
      <c r="C75" s="65" t="s">
        <v>58</v>
      </c>
      <c r="D75" s="122"/>
      <c r="E75" s="65"/>
      <c r="F75" s="123"/>
      <c r="G75" s="63"/>
      <c r="H75" s="63"/>
      <c r="I75" s="124"/>
      <c r="J75" s="71"/>
      <c r="K75" s="125"/>
      <c r="L75" s="46"/>
      <c r="M75" s="46"/>
      <c r="N75" s="46"/>
      <c r="O75" s="46"/>
      <c r="P75" s="46"/>
      <c r="Q75" s="46"/>
      <c r="R75" s="46"/>
      <c r="S75" s="46"/>
      <c r="T75" s="46"/>
      <c r="U75" s="46"/>
      <c r="V75" s="46"/>
      <c r="W75" s="47"/>
      <c r="X75" s="47"/>
    </row>
    <row r="76" spans="1:24" ht="15">
      <c r="A76" s="121" t="s">
        <v>3839</v>
      </c>
      <c r="B76" s="65" t="s">
        <v>4444</v>
      </c>
      <c r="C76" s="65" t="s">
        <v>58</v>
      </c>
      <c r="D76" s="122"/>
      <c r="E76" s="65"/>
      <c r="F76" s="123"/>
      <c r="G76" s="63"/>
      <c r="H76" s="63"/>
      <c r="I76" s="124"/>
      <c r="J76" s="71"/>
      <c r="K76" s="125"/>
      <c r="L76" s="46"/>
      <c r="M76" s="46"/>
      <c r="N76" s="46"/>
      <c r="O76" s="46"/>
      <c r="P76" s="46"/>
      <c r="Q76" s="46"/>
      <c r="R76" s="46"/>
      <c r="S76" s="46"/>
      <c r="T76" s="46"/>
      <c r="U76" s="46"/>
      <c r="V76" s="46"/>
      <c r="W76" s="47"/>
      <c r="X76" s="47"/>
    </row>
    <row r="77" spans="1:24" ht="15">
      <c r="A77" s="121" t="s">
        <v>1614</v>
      </c>
      <c r="B77" s="65" t="s">
        <v>4447</v>
      </c>
      <c r="C77" s="65" t="s">
        <v>58</v>
      </c>
      <c r="D77" s="122"/>
      <c r="E77" s="65"/>
      <c r="F77" s="123"/>
      <c r="G77" s="63"/>
      <c r="H77" s="63"/>
      <c r="I77" s="124"/>
      <c r="J77" s="71"/>
      <c r="K77" s="125"/>
      <c r="L77" s="46"/>
      <c r="M77" s="46"/>
      <c r="N77" s="46"/>
      <c r="O77" s="46"/>
      <c r="P77" s="46"/>
      <c r="Q77" s="46"/>
      <c r="R77" s="46"/>
      <c r="S77" s="46"/>
      <c r="T77" s="46"/>
      <c r="U77" s="46"/>
      <c r="V77" s="46"/>
      <c r="W77" s="47"/>
      <c r="X77" s="47"/>
    </row>
    <row r="78" spans="1:24" ht="15">
      <c r="A78" s="121" t="s">
        <v>1618</v>
      </c>
      <c r="B78" s="65" t="s">
        <v>4448</v>
      </c>
      <c r="C78" s="65" t="s">
        <v>58</v>
      </c>
      <c r="D78" s="122"/>
      <c r="E78" s="65"/>
      <c r="F78" s="123"/>
      <c r="G78" s="63"/>
      <c r="H78" s="63"/>
      <c r="I78" s="124"/>
      <c r="J78" s="71"/>
      <c r="K78" s="125"/>
      <c r="L78" s="46"/>
      <c r="M78" s="46"/>
      <c r="N78" s="46"/>
      <c r="O78" s="46"/>
      <c r="P78" s="46"/>
      <c r="Q78" s="46"/>
      <c r="R78" s="46"/>
      <c r="S78" s="46"/>
      <c r="T78" s="46"/>
      <c r="U78" s="46"/>
      <c r="V78" s="46"/>
      <c r="W78" s="47"/>
      <c r="X78" s="47"/>
    </row>
    <row r="79" spans="1:24" ht="15">
      <c r="A79" s="121" t="s">
        <v>1612</v>
      </c>
      <c r="B79" s="65" t="s">
        <v>4449</v>
      </c>
      <c r="C79" s="65" t="s">
        <v>58</v>
      </c>
      <c r="D79" s="122"/>
      <c r="E79" s="65"/>
      <c r="F79" s="123"/>
      <c r="G79" s="63"/>
      <c r="H79" s="63"/>
      <c r="I79" s="124"/>
      <c r="J79" s="71"/>
      <c r="K79" s="125"/>
      <c r="L79" s="46"/>
      <c r="M79" s="46"/>
      <c r="N79" s="46"/>
      <c r="O79" s="46"/>
      <c r="P79" s="46"/>
      <c r="Q79" s="46"/>
      <c r="R79" s="46"/>
      <c r="S79" s="46"/>
      <c r="T79" s="46"/>
      <c r="U79" s="46"/>
      <c r="V79" s="46"/>
      <c r="W79" s="47"/>
      <c r="X79" s="47"/>
    </row>
    <row r="80" spans="1:24" ht="15">
      <c r="A80" s="121" t="s">
        <v>1567</v>
      </c>
      <c r="B80" s="65" t="s">
        <v>4450</v>
      </c>
      <c r="C80" s="65" t="s">
        <v>58</v>
      </c>
      <c r="D80" s="122"/>
      <c r="E80" s="65"/>
      <c r="F80" s="123"/>
      <c r="G80" s="63"/>
      <c r="H80" s="63"/>
      <c r="I80" s="124"/>
      <c r="J80" s="71"/>
      <c r="K80" s="125"/>
      <c r="L80" s="46"/>
      <c r="M80" s="46"/>
      <c r="N80" s="46"/>
      <c r="O80" s="46"/>
      <c r="P80" s="46"/>
      <c r="Q80" s="46"/>
      <c r="R80" s="46"/>
      <c r="S80" s="46"/>
      <c r="T80" s="46"/>
      <c r="U80" s="46"/>
      <c r="V80" s="46"/>
      <c r="W80" s="47"/>
      <c r="X80" s="47"/>
    </row>
    <row r="81" spans="1:24" ht="15">
      <c r="A81" s="121" t="s">
        <v>1587</v>
      </c>
      <c r="B81" s="65" t="s">
        <v>4451</v>
      </c>
      <c r="C81" s="65" t="s">
        <v>58</v>
      </c>
      <c r="D81" s="122"/>
      <c r="E81" s="65"/>
      <c r="F81" s="123"/>
      <c r="G81" s="63"/>
      <c r="H81" s="63"/>
      <c r="I81" s="124"/>
      <c r="J81" s="71"/>
      <c r="K81" s="125"/>
      <c r="L81" s="46"/>
      <c r="M81" s="46"/>
      <c r="N81" s="46"/>
      <c r="O81" s="46"/>
      <c r="P81" s="46"/>
      <c r="Q81" s="46"/>
      <c r="R81" s="46"/>
      <c r="S81" s="46"/>
      <c r="T81" s="46"/>
      <c r="U81" s="46"/>
      <c r="V81" s="46"/>
      <c r="W81" s="47"/>
      <c r="X81" s="47"/>
    </row>
    <row r="82" spans="1:24" ht="15">
      <c r="A82" s="121" t="s">
        <v>1588</v>
      </c>
      <c r="B82" s="65" t="s">
        <v>4452</v>
      </c>
      <c r="C82" s="65" t="s">
        <v>58</v>
      </c>
      <c r="D82" s="122"/>
      <c r="E82" s="65"/>
      <c r="F82" s="123"/>
      <c r="G82" s="63"/>
      <c r="H82" s="63"/>
      <c r="I82" s="124"/>
      <c r="J82" s="71"/>
      <c r="K82" s="125"/>
      <c r="L82" s="46"/>
      <c r="M82" s="46"/>
      <c r="N82" s="46"/>
      <c r="O82" s="46"/>
      <c r="P82" s="46"/>
      <c r="Q82" s="46"/>
      <c r="R82" s="46"/>
      <c r="S82" s="46"/>
      <c r="T82" s="46"/>
      <c r="U82" s="46"/>
      <c r="V82" s="46"/>
      <c r="W82" s="47"/>
      <c r="X82" s="47"/>
    </row>
    <row r="83" spans="1:24" ht="15">
      <c r="A83" s="121" t="s">
        <v>1589</v>
      </c>
      <c r="B83" s="65" t="s">
        <v>4453</v>
      </c>
      <c r="C83" s="65" t="s">
        <v>58</v>
      </c>
      <c r="D83" s="122"/>
      <c r="E83" s="65"/>
      <c r="F83" s="123"/>
      <c r="G83" s="63"/>
      <c r="H83" s="63"/>
      <c r="I83" s="124"/>
      <c r="J83" s="71"/>
      <c r="K83" s="125"/>
      <c r="L83" s="46"/>
      <c r="M83" s="46"/>
      <c r="N83" s="46"/>
      <c r="O83" s="46"/>
      <c r="P83" s="46"/>
      <c r="Q83" s="46"/>
      <c r="R83" s="46"/>
      <c r="S83" s="46"/>
      <c r="T83" s="46"/>
      <c r="U83" s="46"/>
      <c r="V83" s="46"/>
      <c r="W83" s="47"/>
      <c r="X83" s="47"/>
    </row>
    <row r="84" spans="1:24" ht="15">
      <c r="A84" s="121" t="s">
        <v>1488</v>
      </c>
      <c r="B84" s="65" t="s">
        <v>4454</v>
      </c>
      <c r="C84" s="65" t="s">
        <v>58</v>
      </c>
      <c r="D84" s="122"/>
      <c r="E84" s="65"/>
      <c r="F84" s="123"/>
      <c r="G84" s="63"/>
      <c r="H84" s="63"/>
      <c r="I84" s="124"/>
      <c r="J84" s="71"/>
      <c r="K84" s="125"/>
      <c r="L84" s="46"/>
      <c r="M84" s="46"/>
      <c r="N84" s="46"/>
      <c r="O84" s="46"/>
      <c r="P84" s="46"/>
      <c r="Q84" s="46"/>
      <c r="R84" s="46"/>
      <c r="S84" s="46"/>
      <c r="T84" s="46"/>
      <c r="U84" s="46"/>
      <c r="V84" s="46"/>
      <c r="W84" s="47"/>
      <c r="X84" s="47"/>
    </row>
    <row r="85" spans="1:24" ht="15">
      <c r="A85" s="121" t="s">
        <v>1489</v>
      </c>
      <c r="B85" s="65" t="s">
        <v>4455</v>
      </c>
      <c r="C85" s="65" t="s">
        <v>58</v>
      </c>
      <c r="D85" s="122"/>
      <c r="E85" s="65"/>
      <c r="F85" s="123"/>
      <c r="G85" s="63"/>
      <c r="H85" s="63"/>
      <c r="I85" s="124"/>
      <c r="J85" s="71"/>
      <c r="K85" s="125"/>
      <c r="L85" s="46"/>
      <c r="M85" s="46"/>
      <c r="N85" s="46"/>
      <c r="O85" s="46"/>
      <c r="P85" s="46"/>
      <c r="Q85" s="46"/>
      <c r="R85" s="46"/>
      <c r="S85" s="46"/>
      <c r="T85" s="46"/>
      <c r="U85" s="46"/>
      <c r="V85" s="46"/>
      <c r="W85" s="47"/>
      <c r="X85" s="47"/>
    </row>
    <row r="86" spans="1:24" ht="15">
      <c r="A86" s="121" t="s">
        <v>1499</v>
      </c>
      <c r="B86" s="65" t="s">
        <v>4456</v>
      </c>
      <c r="C86" s="65" t="s">
        <v>58</v>
      </c>
      <c r="D86" s="122"/>
      <c r="E86" s="65"/>
      <c r="F86" s="123"/>
      <c r="G86" s="63"/>
      <c r="H86" s="63"/>
      <c r="I86" s="124"/>
      <c r="J86" s="71"/>
      <c r="K86" s="125"/>
      <c r="L86" s="46"/>
      <c r="M86" s="46"/>
      <c r="N86" s="46"/>
      <c r="O86" s="46"/>
      <c r="P86" s="46"/>
      <c r="Q86" s="46"/>
      <c r="R86" s="46"/>
      <c r="S86" s="46"/>
      <c r="T86" s="46"/>
      <c r="U86" s="46"/>
      <c r="V86" s="46"/>
      <c r="W86" s="47"/>
      <c r="X86" s="47"/>
    </row>
    <row r="87" spans="1:24" ht="15">
      <c r="A87" s="121" t="s">
        <v>1500</v>
      </c>
      <c r="B87" s="65" t="s">
        <v>4443</v>
      </c>
      <c r="C87" s="65" t="s">
        <v>60</v>
      </c>
      <c r="D87" s="122"/>
      <c r="E87" s="65"/>
      <c r="F87" s="123"/>
      <c r="G87" s="63"/>
      <c r="H87" s="63"/>
      <c r="I87" s="124"/>
      <c r="J87" s="71"/>
      <c r="K87" s="125"/>
      <c r="L87" s="46"/>
      <c r="M87" s="46"/>
      <c r="N87" s="46"/>
      <c r="O87" s="46"/>
      <c r="P87" s="46"/>
      <c r="Q87" s="46"/>
      <c r="R87" s="46"/>
      <c r="S87" s="46"/>
      <c r="T87" s="46"/>
      <c r="U87" s="46"/>
      <c r="V87" s="46"/>
      <c r="W87" s="47"/>
      <c r="X87" s="47"/>
    </row>
    <row r="88" spans="1:24" ht="15">
      <c r="A88" s="121" t="s">
        <v>1490</v>
      </c>
      <c r="B88" s="65" t="s">
        <v>4444</v>
      </c>
      <c r="C88" s="65" t="s">
        <v>60</v>
      </c>
      <c r="D88" s="122"/>
      <c r="E88" s="65"/>
      <c r="F88" s="123"/>
      <c r="G88" s="63"/>
      <c r="H88" s="63"/>
      <c r="I88" s="124"/>
      <c r="J88" s="71"/>
      <c r="K88" s="125"/>
      <c r="L88" s="46"/>
      <c r="M88" s="46"/>
      <c r="N88" s="46"/>
      <c r="O88" s="46"/>
      <c r="P88" s="46"/>
      <c r="Q88" s="46"/>
      <c r="R88" s="46"/>
      <c r="S88" s="46"/>
      <c r="T88" s="46"/>
      <c r="U88" s="46"/>
      <c r="V88" s="46"/>
      <c r="W88" s="47"/>
      <c r="X88" s="47"/>
    </row>
    <row r="89" spans="1:24" ht="15">
      <c r="A89" s="121" t="s">
        <v>1491</v>
      </c>
      <c r="B89" s="65" t="s">
        <v>4447</v>
      </c>
      <c r="C89" s="65" t="s">
        <v>60</v>
      </c>
      <c r="D89" s="122"/>
      <c r="E89" s="65"/>
      <c r="F89" s="123"/>
      <c r="G89" s="63"/>
      <c r="H89" s="63"/>
      <c r="I89" s="124"/>
      <c r="J89" s="71"/>
      <c r="K89" s="125"/>
      <c r="L89" s="46"/>
      <c r="M89" s="46"/>
      <c r="N89" s="46"/>
      <c r="O89" s="46"/>
      <c r="P89" s="46"/>
      <c r="Q89" s="46"/>
      <c r="R89" s="46"/>
      <c r="S89" s="46"/>
      <c r="T89" s="46"/>
      <c r="U89" s="46"/>
      <c r="V89" s="46"/>
      <c r="W89" s="47"/>
      <c r="X89" s="47"/>
    </row>
    <row r="90" spans="1:24" ht="15">
      <c r="A90" s="121" t="s">
        <v>1501</v>
      </c>
      <c r="B90" s="65" t="s">
        <v>4448</v>
      </c>
      <c r="C90" s="65" t="s">
        <v>60</v>
      </c>
      <c r="D90" s="122"/>
      <c r="E90" s="65"/>
      <c r="F90" s="123"/>
      <c r="G90" s="63"/>
      <c r="H90" s="63"/>
      <c r="I90" s="124"/>
      <c r="J90" s="71"/>
      <c r="K90" s="125"/>
      <c r="L90" s="46"/>
      <c r="M90" s="46"/>
      <c r="N90" s="46"/>
      <c r="O90" s="46"/>
      <c r="P90" s="46"/>
      <c r="Q90" s="46"/>
      <c r="R90" s="46"/>
      <c r="S90" s="46"/>
      <c r="T90" s="46"/>
      <c r="U90" s="46"/>
      <c r="V90" s="46"/>
      <c r="W90" s="47"/>
      <c r="X90" s="47"/>
    </row>
    <row r="91" spans="1:24" ht="15">
      <c r="A91" s="121" t="s">
        <v>1492</v>
      </c>
      <c r="B91" s="65" t="s">
        <v>4449</v>
      </c>
      <c r="C91" s="65" t="s">
        <v>60</v>
      </c>
      <c r="D91" s="122"/>
      <c r="E91" s="65"/>
      <c r="F91" s="123"/>
      <c r="G91" s="63"/>
      <c r="H91" s="63"/>
      <c r="I91" s="124"/>
      <c r="J91" s="71"/>
      <c r="K91" s="125"/>
      <c r="L91" s="46"/>
      <c r="M91" s="46"/>
      <c r="N91" s="46"/>
      <c r="O91" s="46"/>
      <c r="P91" s="46"/>
      <c r="Q91" s="46"/>
      <c r="R91" s="46"/>
      <c r="S91" s="46"/>
      <c r="T91" s="46"/>
      <c r="U91" s="46"/>
      <c r="V91" s="46"/>
      <c r="W91" s="47"/>
      <c r="X91" s="47"/>
    </row>
    <row r="92" spans="1:24" ht="15">
      <c r="A92" s="121" t="s">
        <v>1493</v>
      </c>
      <c r="B92" s="65" t="s">
        <v>4450</v>
      </c>
      <c r="C92" s="65" t="s">
        <v>60</v>
      </c>
      <c r="D92" s="122"/>
      <c r="E92" s="65"/>
      <c r="F92" s="123"/>
      <c r="G92" s="63"/>
      <c r="H92" s="63"/>
      <c r="I92" s="124"/>
      <c r="J92" s="71"/>
      <c r="K92" s="125"/>
      <c r="L92" s="46"/>
      <c r="M92" s="46"/>
      <c r="N92" s="46"/>
      <c r="O92" s="46"/>
      <c r="P92" s="46"/>
      <c r="Q92" s="46"/>
      <c r="R92" s="46"/>
      <c r="S92" s="46"/>
      <c r="T92" s="46"/>
      <c r="U92" s="46"/>
      <c r="V92" s="46"/>
      <c r="W92" s="47"/>
      <c r="X92" s="47"/>
    </row>
    <row r="93" spans="1:24" ht="15">
      <c r="A93" s="121" t="s">
        <v>1494</v>
      </c>
      <c r="B93" s="65" t="s">
        <v>4451</v>
      </c>
      <c r="C93" s="65" t="s">
        <v>60</v>
      </c>
      <c r="D93" s="122"/>
      <c r="E93" s="65"/>
      <c r="F93" s="123"/>
      <c r="G93" s="63"/>
      <c r="H93" s="63"/>
      <c r="I93" s="124"/>
      <c r="J93" s="71"/>
      <c r="K93" s="125"/>
      <c r="L93" s="46"/>
      <c r="M93" s="46"/>
      <c r="N93" s="46"/>
      <c r="O93" s="46"/>
      <c r="P93" s="46"/>
      <c r="Q93" s="46"/>
      <c r="R93" s="46"/>
      <c r="S93" s="46"/>
      <c r="T93" s="46"/>
      <c r="U93" s="46"/>
      <c r="V93" s="46"/>
      <c r="W93" s="47"/>
      <c r="X93" s="47"/>
    </row>
    <row r="94" spans="1:24" ht="15">
      <c r="A94" s="121" t="s">
        <v>1495</v>
      </c>
      <c r="B94" s="65" t="s">
        <v>4452</v>
      </c>
      <c r="C94" s="65" t="s">
        <v>60</v>
      </c>
      <c r="D94" s="122"/>
      <c r="E94" s="65"/>
      <c r="F94" s="123"/>
      <c r="G94" s="63"/>
      <c r="H94" s="63"/>
      <c r="I94" s="124"/>
      <c r="J94" s="71"/>
      <c r="K94" s="125"/>
      <c r="L94" s="46"/>
      <c r="M94" s="46"/>
      <c r="N94" s="46"/>
      <c r="O94" s="46"/>
      <c r="P94" s="46"/>
      <c r="Q94" s="46"/>
      <c r="R94" s="46"/>
      <c r="S94" s="46"/>
      <c r="T94" s="46"/>
      <c r="U94" s="46"/>
      <c r="V94" s="46"/>
      <c r="W94" s="47"/>
      <c r="X94" s="47"/>
    </row>
    <row r="95" spans="1:24" ht="15">
      <c r="A95" s="121" t="s">
        <v>1496</v>
      </c>
      <c r="B95" s="65" t="s">
        <v>4453</v>
      </c>
      <c r="C95" s="65" t="s">
        <v>60</v>
      </c>
      <c r="D95" s="122"/>
      <c r="E95" s="65"/>
      <c r="F95" s="123"/>
      <c r="G95" s="63"/>
      <c r="H95" s="63"/>
      <c r="I95" s="124"/>
      <c r="J95" s="71"/>
      <c r="K95" s="125"/>
      <c r="L95" s="46"/>
      <c r="M95" s="46"/>
      <c r="N95" s="46"/>
      <c r="O95" s="46"/>
      <c r="P95" s="46"/>
      <c r="Q95" s="46"/>
      <c r="R95" s="46"/>
      <c r="S95" s="46"/>
      <c r="T95" s="46"/>
      <c r="U95" s="46"/>
      <c r="V95" s="46"/>
      <c r="W95" s="47"/>
      <c r="X95" s="47"/>
    </row>
    <row r="96" spans="1:24" ht="15">
      <c r="A96" s="121" t="s">
        <v>3721</v>
      </c>
      <c r="B96" s="65" t="s">
        <v>4454</v>
      </c>
      <c r="C96" s="65" t="s">
        <v>60</v>
      </c>
      <c r="D96" s="122"/>
      <c r="E96" s="65"/>
      <c r="F96" s="123"/>
      <c r="G96" s="63"/>
      <c r="H96" s="63"/>
      <c r="I96" s="124"/>
      <c r="J96" s="71"/>
      <c r="K96" s="125"/>
      <c r="L96" s="46"/>
      <c r="M96" s="46"/>
      <c r="N96" s="46"/>
      <c r="O96" s="46"/>
      <c r="P96" s="46"/>
      <c r="Q96" s="46"/>
      <c r="R96" s="46"/>
      <c r="S96" s="46"/>
      <c r="T96" s="46"/>
      <c r="U96" s="46"/>
      <c r="V96" s="46"/>
      <c r="W96" s="47"/>
      <c r="X96" s="47"/>
    </row>
    <row r="97" spans="1:24" ht="15">
      <c r="A97" s="121" t="s">
        <v>1596</v>
      </c>
      <c r="B97" s="65" t="s">
        <v>4455</v>
      </c>
      <c r="C97" s="65" t="s">
        <v>60</v>
      </c>
      <c r="D97" s="122"/>
      <c r="E97" s="65"/>
      <c r="F97" s="123"/>
      <c r="G97" s="63"/>
      <c r="H97" s="63"/>
      <c r="I97" s="124"/>
      <c r="J97" s="71"/>
      <c r="K97" s="125"/>
      <c r="L97" s="46"/>
      <c r="M97" s="46"/>
      <c r="N97" s="46"/>
      <c r="O97" s="46"/>
      <c r="P97" s="46"/>
      <c r="Q97" s="46"/>
      <c r="R97" s="46"/>
      <c r="S97" s="46"/>
      <c r="T97" s="46"/>
      <c r="U97" s="46"/>
      <c r="V97" s="46"/>
      <c r="W97" s="47"/>
      <c r="X97" s="47"/>
    </row>
    <row r="98" spans="1:24" ht="15">
      <c r="A98" s="121" t="s">
        <v>1597</v>
      </c>
      <c r="B98" s="65" t="s">
        <v>4456</v>
      </c>
      <c r="C98" s="65" t="s">
        <v>60</v>
      </c>
      <c r="D98" s="122"/>
      <c r="E98" s="65"/>
      <c r="F98" s="123"/>
      <c r="G98" s="63"/>
      <c r="H98" s="63"/>
      <c r="I98" s="124"/>
      <c r="J98" s="71"/>
      <c r="K98" s="125"/>
      <c r="L98" s="46"/>
      <c r="M98" s="46"/>
      <c r="N98" s="46"/>
      <c r="O98" s="46"/>
      <c r="P98" s="46"/>
      <c r="Q98" s="46"/>
      <c r="R98" s="46"/>
      <c r="S98" s="46"/>
      <c r="T98" s="46"/>
      <c r="U98" s="46"/>
      <c r="V98" s="46"/>
      <c r="W98" s="47"/>
      <c r="X98" s="47"/>
    </row>
    <row r="99" spans="1:24" ht="15">
      <c r="A99" s="121" t="s">
        <v>1595</v>
      </c>
      <c r="B99" s="65" t="s">
        <v>4443</v>
      </c>
      <c r="C99" s="65" t="s">
        <v>62</v>
      </c>
      <c r="D99" s="122"/>
      <c r="E99" s="65"/>
      <c r="F99" s="123"/>
      <c r="G99" s="63"/>
      <c r="H99" s="63"/>
      <c r="I99" s="124"/>
      <c r="J99" s="71"/>
      <c r="K99" s="125"/>
      <c r="L99" s="46"/>
      <c r="M99" s="46"/>
      <c r="N99" s="46"/>
      <c r="O99" s="46"/>
      <c r="P99" s="46"/>
      <c r="Q99" s="46"/>
      <c r="R99" s="46"/>
      <c r="S99" s="46"/>
      <c r="T99" s="46"/>
      <c r="U99" s="46"/>
      <c r="V99" s="46"/>
      <c r="W99" s="47"/>
      <c r="X99" s="47"/>
    </row>
    <row r="100" spans="1:24" ht="15">
      <c r="A100" s="121" t="s">
        <v>1598</v>
      </c>
      <c r="B100" s="65" t="s">
        <v>4444</v>
      </c>
      <c r="C100" s="65" t="s">
        <v>62</v>
      </c>
      <c r="D100" s="122"/>
      <c r="E100" s="65"/>
      <c r="F100" s="123"/>
      <c r="G100" s="63"/>
      <c r="H100" s="63"/>
      <c r="I100" s="124"/>
      <c r="J100" s="71"/>
      <c r="K100" s="125"/>
      <c r="L100" s="46"/>
      <c r="M100" s="46"/>
      <c r="N100" s="46"/>
      <c r="O100" s="46"/>
      <c r="P100" s="46"/>
      <c r="Q100" s="46"/>
      <c r="R100" s="46"/>
      <c r="S100" s="46"/>
      <c r="T100" s="46"/>
      <c r="U100" s="46"/>
      <c r="V100" s="46"/>
      <c r="W100" s="47"/>
      <c r="X100" s="47"/>
    </row>
    <row r="101" spans="1:24" ht="15">
      <c r="A101" s="121" t="s">
        <v>1599</v>
      </c>
      <c r="B101" s="65" t="s">
        <v>4447</v>
      </c>
      <c r="C101" s="65" t="s">
        <v>62</v>
      </c>
      <c r="D101" s="122"/>
      <c r="E101" s="65"/>
      <c r="F101" s="123"/>
      <c r="G101" s="63"/>
      <c r="H101" s="63"/>
      <c r="I101" s="124"/>
      <c r="J101" s="71"/>
      <c r="K101" s="125"/>
      <c r="L101" s="46"/>
      <c r="M101" s="46"/>
      <c r="N101" s="46"/>
      <c r="O101" s="46"/>
      <c r="P101" s="46"/>
      <c r="Q101" s="46"/>
      <c r="R101" s="46"/>
      <c r="S101" s="46"/>
      <c r="T101" s="46"/>
      <c r="U101" s="46"/>
      <c r="V101" s="46"/>
      <c r="W101" s="47"/>
      <c r="X101" s="47"/>
    </row>
    <row r="102" spans="1:24" ht="15">
      <c r="A102" s="121" t="s">
        <v>1602</v>
      </c>
      <c r="B102" s="65" t="s">
        <v>4448</v>
      </c>
      <c r="C102" s="65" t="s">
        <v>62</v>
      </c>
      <c r="D102" s="122"/>
      <c r="E102" s="65"/>
      <c r="F102" s="123"/>
      <c r="G102" s="63"/>
      <c r="H102" s="63"/>
      <c r="I102" s="124"/>
      <c r="J102" s="71"/>
      <c r="K102" s="125"/>
      <c r="L102" s="46"/>
      <c r="M102" s="46"/>
      <c r="N102" s="46"/>
      <c r="O102" s="46"/>
      <c r="P102" s="46"/>
      <c r="Q102" s="46"/>
      <c r="R102" s="46"/>
      <c r="S102" s="46"/>
      <c r="T102" s="46"/>
      <c r="U102" s="46"/>
      <c r="V102" s="46"/>
      <c r="W102" s="47"/>
      <c r="X102" s="47"/>
    </row>
    <row r="103" spans="1:24" ht="15">
      <c r="A103" s="121" t="s">
        <v>1601</v>
      </c>
      <c r="B103" s="65" t="s">
        <v>4449</v>
      </c>
      <c r="C103" s="65" t="s">
        <v>62</v>
      </c>
      <c r="D103" s="122"/>
      <c r="E103" s="65"/>
      <c r="F103" s="123"/>
      <c r="G103" s="63"/>
      <c r="H103" s="63"/>
      <c r="I103" s="124"/>
      <c r="J103" s="71"/>
      <c r="K103" s="125"/>
      <c r="L103" s="46"/>
      <c r="M103" s="46"/>
      <c r="N103" s="46"/>
      <c r="O103" s="46"/>
      <c r="P103" s="46"/>
      <c r="Q103" s="46"/>
      <c r="R103" s="46"/>
      <c r="S103" s="46"/>
      <c r="T103" s="46"/>
      <c r="U103" s="46"/>
      <c r="V103" s="46"/>
      <c r="W103" s="47"/>
      <c r="X103" s="47"/>
    </row>
    <row r="104" spans="1:24" ht="15">
      <c r="A104" s="121" t="s">
        <v>1600</v>
      </c>
      <c r="B104" s="65" t="s">
        <v>4450</v>
      </c>
      <c r="C104" s="65" t="s">
        <v>62</v>
      </c>
      <c r="D104" s="122"/>
      <c r="E104" s="65"/>
      <c r="F104" s="123"/>
      <c r="G104" s="63"/>
      <c r="H104" s="63"/>
      <c r="I104" s="124"/>
      <c r="J104" s="71"/>
      <c r="K104" s="125"/>
      <c r="L104" s="46"/>
      <c r="M104" s="46"/>
      <c r="N104" s="46"/>
      <c r="O104" s="46"/>
      <c r="P104" s="46"/>
      <c r="Q104" s="46"/>
      <c r="R104" s="46"/>
      <c r="S104" s="46"/>
      <c r="T104" s="46"/>
      <c r="U104" s="46"/>
      <c r="V104" s="46"/>
      <c r="W104" s="47"/>
      <c r="X104" s="47"/>
    </row>
    <row r="105" spans="1:24" ht="15">
      <c r="A105" s="121" t="s">
        <v>1594</v>
      </c>
      <c r="B105" s="65" t="s">
        <v>4451</v>
      </c>
      <c r="C105" s="65" t="s">
        <v>62</v>
      </c>
      <c r="D105" s="122"/>
      <c r="E105" s="65"/>
      <c r="F105" s="123"/>
      <c r="G105" s="63"/>
      <c r="H105" s="63"/>
      <c r="I105" s="124"/>
      <c r="J105" s="71"/>
      <c r="K105" s="125"/>
      <c r="L105" s="46"/>
      <c r="M105" s="46"/>
      <c r="N105" s="46"/>
      <c r="O105" s="46"/>
      <c r="P105" s="46"/>
      <c r="Q105" s="46"/>
      <c r="R105" s="46"/>
      <c r="S105" s="46"/>
      <c r="T105" s="46"/>
      <c r="U105" s="46"/>
      <c r="V105" s="46"/>
      <c r="W105" s="47"/>
      <c r="X105" s="47"/>
    </row>
    <row r="106" spans="1:24" ht="15">
      <c r="A106" s="121" t="s">
        <v>1603</v>
      </c>
      <c r="B106" s="65" t="s">
        <v>4452</v>
      </c>
      <c r="C106" s="65" t="s">
        <v>62</v>
      </c>
      <c r="D106" s="122"/>
      <c r="E106" s="65"/>
      <c r="F106" s="123"/>
      <c r="G106" s="63"/>
      <c r="H106" s="63"/>
      <c r="I106" s="124"/>
      <c r="J106" s="71"/>
      <c r="K106" s="125"/>
      <c r="L106" s="46"/>
      <c r="M106" s="46"/>
      <c r="N106" s="46"/>
      <c r="O106" s="46"/>
      <c r="P106" s="46"/>
      <c r="Q106" s="46"/>
      <c r="R106" s="46"/>
      <c r="S106" s="46"/>
      <c r="T106" s="46"/>
      <c r="U106" s="46"/>
      <c r="V106" s="46"/>
      <c r="W106" s="47"/>
      <c r="X106" s="47"/>
    </row>
    <row r="107" spans="1:24" ht="15">
      <c r="A107" s="121" t="s">
        <v>1604</v>
      </c>
      <c r="B107" s="65" t="s">
        <v>4453</v>
      </c>
      <c r="C107" s="65" t="s">
        <v>62</v>
      </c>
      <c r="D107" s="122"/>
      <c r="E107" s="65"/>
      <c r="F107" s="123"/>
      <c r="G107" s="63"/>
      <c r="H107" s="63"/>
      <c r="I107" s="124"/>
      <c r="J107" s="71"/>
      <c r="K107" s="125"/>
      <c r="L107" s="46"/>
      <c r="M107" s="46"/>
      <c r="N107" s="46"/>
      <c r="O107" s="46"/>
      <c r="P107" s="46"/>
      <c r="Q107" s="46"/>
      <c r="R107" s="46"/>
      <c r="S107" s="46"/>
      <c r="T107" s="46"/>
      <c r="U107" s="46"/>
      <c r="V107" s="46"/>
      <c r="W107" s="47"/>
      <c r="X107" s="47"/>
    </row>
    <row r="108" spans="1:24" ht="15">
      <c r="A108" s="121" t="s">
        <v>4462</v>
      </c>
      <c r="B108" s="65" t="s">
        <v>4454</v>
      </c>
      <c r="C108" s="65" t="s">
        <v>62</v>
      </c>
      <c r="D108" s="122"/>
      <c r="E108" s="65"/>
      <c r="F108" s="123"/>
      <c r="G108" s="63"/>
      <c r="H108" s="63"/>
      <c r="I108" s="124"/>
      <c r="J108" s="71"/>
      <c r="K108" s="125"/>
      <c r="L108" s="46"/>
      <c r="M108" s="46"/>
      <c r="N108" s="46"/>
      <c r="O108" s="46"/>
      <c r="P108" s="46"/>
      <c r="Q108" s="46"/>
      <c r="R108" s="46"/>
      <c r="S108" s="46"/>
      <c r="T108" s="46"/>
      <c r="U108" s="46"/>
      <c r="V108" s="46"/>
      <c r="W108" s="47"/>
      <c r="X108" s="47"/>
    </row>
    <row r="109" spans="1:24" ht="15">
      <c r="A109" s="121" t="s">
        <v>3804</v>
      </c>
      <c r="B109" s="65" t="s">
        <v>4455</v>
      </c>
      <c r="C109" s="65" t="s">
        <v>62</v>
      </c>
      <c r="D109" s="122"/>
      <c r="E109" s="65"/>
      <c r="F109" s="123"/>
      <c r="G109" s="63"/>
      <c r="H109" s="63"/>
      <c r="I109" s="124"/>
      <c r="J109" s="71"/>
      <c r="K109" s="125"/>
      <c r="L109" s="46"/>
      <c r="M109" s="46"/>
      <c r="N109" s="46"/>
      <c r="O109" s="46"/>
      <c r="P109" s="46"/>
      <c r="Q109" s="46"/>
      <c r="R109" s="46"/>
      <c r="S109" s="46"/>
      <c r="T109" s="46"/>
      <c r="U109" s="46"/>
      <c r="V109" s="46"/>
      <c r="W109" s="47"/>
      <c r="X109" s="47"/>
    </row>
    <row r="110" spans="1:24" ht="15">
      <c r="A110" s="121" t="s">
        <v>3847</v>
      </c>
      <c r="B110" s="65" t="s">
        <v>4456</v>
      </c>
      <c r="C110" s="65" t="s">
        <v>62</v>
      </c>
      <c r="D110" s="122"/>
      <c r="E110" s="65"/>
      <c r="F110" s="123"/>
      <c r="G110" s="63"/>
      <c r="H110" s="63"/>
      <c r="I110" s="124"/>
      <c r="J110" s="71"/>
      <c r="K110" s="125"/>
      <c r="L110" s="46"/>
      <c r="M110" s="46"/>
      <c r="N110" s="46"/>
      <c r="O110" s="46"/>
      <c r="P110" s="46"/>
      <c r="Q110" s="46"/>
      <c r="R110" s="46"/>
      <c r="S110" s="46"/>
      <c r="T110" s="46"/>
      <c r="U110" s="46"/>
      <c r="V110" s="46"/>
      <c r="W110" s="47"/>
      <c r="X110" s="47"/>
    </row>
    <row r="111" spans="1:24" ht="15">
      <c r="A111" s="121" t="s">
        <v>3848</v>
      </c>
      <c r="B111" s="65" t="s">
        <v>4469</v>
      </c>
      <c r="C111" s="65" t="s">
        <v>56</v>
      </c>
      <c r="D111" s="122"/>
      <c r="E111" s="65"/>
      <c r="F111" s="123"/>
      <c r="G111" s="63"/>
      <c r="H111" s="63"/>
      <c r="I111" s="124"/>
      <c r="J111" s="71"/>
      <c r="K111" s="125"/>
      <c r="L111" s="46"/>
      <c r="M111" s="46"/>
      <c r="N111" s="46"/>
      <c r="O111" s="46"/>
      <c r="P111" s="46"/>
      <c r="Q111" s="46"/>
      <c r="R111" s="46"/>
      <c r="S111" s="46"/>
      <c r="T111" s="46"/>
      <c r="U111" s="46"/>
      <c r="V111" s="46"/>
      <c r="W111" s="47"/>
      <c r="X111" s="47"/>
    </row>
    <row r="112" spans="1:24" ht="15">
      <c r="A112" s="121" t="s">
        <v>3849</v>
      </c>
      <c r="B112" s="65" t="s">
        <v>4470</v>
      </c>
      <c r="C112" s="65" t="s">
        <v>56</v>
      </c>
      <c r="D112" s="122"/>
      <c r="E112" s="65"/>
      <c r="F112" s="123"/>
      <c r="G112" s="63"/>
      <c r="H112" s="63"/>
      <c r="I112" s="124"/>
      <c r="J112" s="71"/>
      <c r="K112" s="125"/>
      <c r="L112" s="46"/>
      <c r="M112" s="46"/>
      <c r="N112" s="46"/>
      <c r="O112" s="46"/>
      <c r="P112" s="46"/>
      <c r="Q112" s="46"/>
      <c r="R112" s="46"/>
      <c r="S112" s="46"/>
      <c r="T112" s="46"/>
      <c r="U112" s="46"/>
      <c r="V112" s="46"/>
      <c r="W112" s="47"/>
      <c r="X112" s="47"/>
    </row>
    <row r="113" spans="1:24" ht="15">
      <c r="A113" s="121" t="s">
        <v>3850</v>
      </c>
      <c r="B113" s="65" t="s">
        <v>4471</v>
      </c>
      <c r="C113" s="65" t="s">
        <v>56</v>
      </c>
      <c r="D113" s="122"/>
      <c r="E113" s="65"/>
      <c r="F113" s="123"/>
      <c r="G113" s="63"/>
      <c r="H113" s="63"/>
      <c r="I113" s="124"/>
      <c r="J113" s="71"/>
      <c r="K113" s="125"/>
      <c r="L113" s="46"/>
      <c r="M113" s="46"/>
      <c r="N113" s="46"/>
      <c r="O113" s="46"/>
      <c r="P113" s="46"/>
      <c r="Q113" s="46"/>
      <c r="R113" s="46"/>
      <c r="S113" s="46"/>
      <c r="T113" s="46"/>
      <c r="U113" s="46"/>
      <c r="V113" s="46"/>
      <c r="W113" s="47"/>
      <c r="X113" s="47"/>
    </row>
    <row r="114" spans="1:24" ht="15">
      <c r="A114" s="121" t="s">
        <v>3851</v>
      </c>
      <c r="B114" s="65" t="s">
        <v>4472</v>
      </c>
      <c r="C114" s="65" t="s">
        <v>56</v>
      </c>
      <c r="D114" s="122"/>
      <c r="E114" s="65"/>
      <c r="F114" s="123"/>
      <c r="G114" s="63"/>
      <c r="H114" s="63"/>
      <c r="I114" s="124"/>
      <c r="J114" s="71"/>
      <c r="K114" s="125"/>
      <c r="L114" s="46"/>
      <c r="M114" s="46"/>
      <c r="N114" s="46"/>
      <c r="O114" s="46"/>
      <c r="P114" s="46"/>
      <c r="Q114" s="46"/>
      <c r="R114" s="46"/>
      <c r="S114" s="46"/>
      <c r="T114" s="46"/>
      <c r="U114" s="46"/>
      <c r="V114" s="46"/>
      <c r="W114" s="47"/>
      <c r="X114" s="47"/>
    </row>
    <row r="115" spans="1:24" ht="15">
      <c r="A115" s="121" t="s">
        <v>3852</v>
      </c>
      <c r="B115" s="65" t="s">
        <v>4473</v>
      </c>
      <c r="C115" s="65" t="s">
        <v>56</v>
      </c>
      <c r="D115" s="122"/>
      <c r="E115" s="65"/>
      <c r="F115" s="123"/>
      <c r="G115" s="63"/>
      <c r="H115" s="63"/>
      <c r="I115" s="124"/>
      <c r="J115" s="71"/>
      <c r="K115" s="125"/>
      <c r="L115" s="46"/>
      <c r="M115" s="46"/>
      <c r="N115" s="46"/>
      <c r="O115" s="46"/>
      <c r="P115" s="46"/>
      <c r="Q115" s="46"/>
      <c r="R115" s="46"/>
      <c r="S115" s="46"/>
      <c r="T115" s="46"/>
      <c r="U115" s="46"/>
      <c r="V115" s="46"/>
      <c r="W115" s="47"/>
      <c r="X115" s="47"/>
    </row>
    <row r="116" spans="1:24" ht="15">
      <c r="A116" s="121" t="s">
        <v>3853</v>
      </c>
      <c r="B116" s="65" t="s">
        <v>4474</v>
      </c>
      <c r="C116" s="65" t="s">
        <v>56</v>
      </c>
      <c r="D116" s="122"/>
      <c r="E116" s="65"/>
      <c r="F116" s="123"/>
      <c r="G116" s="63"/>
      <c r="H116" s="63"/>
      <c r="I116" s="124"/>
      <c r="J116" s="71"/>
      <c r="K116" s="125"/>
      <c r="L116" s="46"/>
      <c r="M116" s="46"/>
      <c r="N116" s="46"/>
      <c r="O116" s="46"/>
      <c r="P116" s="46"/>
      <c r="Q116" s="46"/>
      <c r="R116" s="46"/>
      <c r="S116" s="46"/>
      <c r="T116" s="46"/>
      <c r="U116" s="46"/>
      <c r="V116" s="46"/>
      <c r="W116" s="47"/>
      <c r="X116" s="47"/>
    </row>
    <row r="117" spans="1:24" ht="15">
      <c r="A117" s="121" t="s">
        <v>3854</v>
      </c>
      <c r="B117" s="65" t="s">
        <v>4475</v>
      </c>
      <c r="C117" s="65" t="s">
        <v>56</v>
      </c>
      <c r="D117" s="122"/>
      <c r="E117" s="65"/>
      <c r="F117" s="123"/>
      <c r="G117" s="63"/>
      <c r="H117" s="63"/>
      <c r="I117" s="124"/>
      <c r="J117" s="71"/>
      <c r="K117" s="125"/>
      <c r="L117" s="46"/>
      <c r="M117" s="46"/>
      <c r="N117" s="46"/>
      <c r="O117" s="46"/>
      <c r="P117" s="46"/>
      <c r="Q117" s="46"/>
      <c r="R117" s="46"/>
      <c r="S117" s="46"/>
      <c r="T117" s="46"/>
      <c r="U117" s="46"/>
      <c r="V117" s="46"/>
      <c r="W117" s="47"/>
      <c r="X117" s="47"/>
    </row>
    <row r="118" spans="1:24" ht="15">
      <c r="A118" s="121" t="s">
        <v>3855</v>
      </c>
      <c r="B118" s="65" t="s">
        <v>4476</v>
      </c>
      <c r="C118" s="65" t="s">
        <v>56</v>
      </c>
      <c r="D118" s="122"/>
      <c r="E118" s="65"/>
      <c r="F118" s="123"/>
      <c r="G118" s="63"/>
      <c r="H118" s="63"/>
      <c r="I118" s="124"/>
      <c r="J118" s="71"/>
      <c r="K118" s="125"/>
      <c r="L118" s="46"/>
      <c r="M118" s="46"/>
      <c r="N118" s="46"/>
      <c r="O118" s="46"/>
      <c r="P118" s="46"/>
      <c r="Q118" s="46"/>
      <c r="R118" s="46"/>
      <c r="S118" s="46"/>
      <c r="T118" s="46"/>
      <c r="U118" s="46"/>
      <c r="V118" s="46"/>
      <c r="W118" s="47"/>
      <c r="X118" s="47"/>
    </row>
    <row r="119" spans="1:24" ht="15">
      <c r="A119" s="121" t="s">
        <v>3856</v>
      </c>
      <c r="B119" s="65" t="s">
        <v>4477</v>
      </c>
      <c r="C119" s="65" t="s">
        <v>56</v>
      </c>
      <c r="D119" s="122"/>
      <c r="E119" s="65"/>
      <c r="F119" s="123"/>
      <c r="G119" s="63"/>
      <c r="H119" s="63"/>
      <c r="I119" s="124"/>
      <c r="J119" s="71"/>
      <c r="K119" s="125"/>
      <c r="L119" s="46"/>
      <c r="M119" s="46"/>
      <c r="N119" s="46"/>
      <c r="O119" s="46"/>
      <c r="P119" s="46"/>
      <c r="Q119" s="46"/>
      <c r="R119" s="46"/>
      <c r="S119" s="46"/>
      <c r="T119" s="46"/>
      <c r="U119" s="46"/>
      <c r="V119" s="46"/>
      <c r="W119" s="47"/>
      <c r="X119" s="47"/>
    </row>
    <row r="120" spans="1:24" ht="15">
      <c r="A120" s="121" t="s">
        <v>1526</v>
      </c>
      <c r="B120" s="65" t="s">
        <v>4478</v>
      </c>
      <c r="C120" s="65" t="s">
        <v>56</v>
      </c>
      <c r="D120" s="122"/>
      <c r="E120" s="65"/>
      <c r="F120" s="123"/>
      <c r="G120" s="63"/>
      <c r="H120" s="63"/>
      <c r="I120" s="124"/>
      <c r="J120" s="71"/>
      <c r="K120" s="125"/>
      <c r="L120" s="46"/>
      <c r="M120" s="46"/>
      <c r="N120" s="46"/>
      <c r="O120" s="46"/>
      <c r="P120" s="46"/>
      <c r="Q120" s="46"/>
      <c r="R120" s="46"/>
      <c r="S120" s="46"/>
      <c r="T120" s="46"/>
      <c r="U120" s="46"/>
      <c r="V120" s="46"/>
      <c r="W120" s="47"/>
      <c r="X120" s="47"/>
    </row>
    <row r="121" spans="1:24" ht="15">
      <c r="A121" s="121" t="s">
        <v>1571</v>
      </c>
      <c r="B121" s="65" t="s">
        <v>4479</v>
      </c>
      <c r="C121" s="65" t="s">
        <v>56</v>
      </c>
      <c r="D121" s="122"/>
      <c r="E121" s="65"/>
      <c r="F121" s="123"/>
      <c r="G121" s="63"/>
      <c r="H121" s="63"/>
      <c r="I121" s="124"/>
      <c r="J121" s="71"/>
      <c r="K121" s="125"/>
      <c r="L121" s="46"/>
      <c r="M121" s="46"/>
      <c r="N121" s="46"/>
      <c r="O121" s="46"/>
      <c r="P121" s="46"/>
      <c r="Q121" s="46"/>
      <c r="R121" s="46"/>
      <c r="S121" s="46"/>
      <c r="T121" s="46"/>
      <c r="U121" s="46"/>
      <c r="V121" s="46"/>
      <c r="W121" s="47"/>
      <c r="X121" s="47"/>
    </row>
    <row r="122" spans="1:24" ht="15">
      <c r="A122" s="121" t="s">
        <v>1577</v>
      </c>
      <c r="B122" s="65" t="s">
        <v>4480</v>
      </c>
      <c r="C122" s="65" t="s">
        <v>56</v>
      </c>
      <c r="D122" s="122"/>
      <c r="E122" s="65"/>
      <c r="F122" s="123"/>
      <c r="G122" s="63"/>
      <c r="H122" s="63"/>
      <c r="I122" s="124"/>
      <c r="J122" s="71"/>
      <c r="K122" s="125"/>
      <c r="L122" s="46"/>
      <c r="M122" s="46"/>
      <c r="N122" s="46"/>
      <c r="O122" s="46"/>
      <c r="P122" s="46"/>
      <c r="Q122" s="46"/>
      <c r="R122" s="46"/>
      <c r="S122" s="46"/>
      <c r="T122" s="46"/>
      <c r="U122" s="46"/>
      <c r="V122" s="46"/>
      <c r="W122" s="47"/>
      <c r="X122" s="47"/>
    </row>
    <row r="123" spans="1:24" ht="15">
      <c r="A123" s="121" t="s">
        <v>1575</v>
      </c>
      <c r="B123" s="65" t="s">
        <v>4469</v>
      </c>
      <c r="C123" s="65" t="s">
        <v>59</v>
      </c>
      <c r="D123" s="122"/>
      <c r="E123" s="65"/>
      <c r="F123" s="123"/>
      <c r="G123" s="63"/>
      <c r="H123" s="63"/>
      <c r="I123" s="124"/>
      <c r="J123" s="71"/>
      <c r="K123" s="125"/>
      <c r="L123" s="46"/>
      <c r="M123" s="46"/>
      <c r="N123" s="46"/>
      <c r="O123" s="46"/>
      <c r="P123" s="46"/>
      <c r="Q123" s="46"/>
      <c r="R123" s="46"/>
      <c r="S123" s="46"/>
      <c r="T123" s="46"/>
      <c r="U123" s="46"/>
      <c r="V123" s="46"/>
      <c r="W123" s="47"/>
      <c r="X123" s="47"/>
    </row>
    <row r="124" spans="1:24" ht="15">
      <c r="A124" s="121" t="s">
        <v>3715</v>
      </c>
      <c r="B124" s="65" t="s">
        <v>4470</v>
      </c>
      <c r="C124" s="65" t="s">
        <v>59</v>
      </c>
      <c r="D124" s="122"/>
      <c r="E124" s="65"/>
      <c r="F124" s="123"/>
      <c r="G124" s="63"/>
      <c r="H124" s="63"/>
      <c r="I124" s="124"/>
      <c r="J124" s="71"/>
      <c r="K124" s="125"/>
      <c r="L124" s="46"/>
      <c r="M124" s="46"/>
      <c r="N124" s="46"/>
      <c r="O124" s="46"/>
      <c r="P124" s="46"/>
      <c r="Q124" s="46"/>
      <c r="R124" s="46"/>
      <c r="S124" s="46"/>
      <c r="T124" s="46"/>
      <c r="U124" s="46"/>
      <c r="V124" s="46"/>
      <c r="W124" s="47"/>
      <c r="X124" s="47"/>
    </row>
    <row r="125" spans="1:24" ht="15">
      <c r="A125" s="121" t="s">
        <v>1572</v>
      </c>
      <c r="B125" s="65" t="s">
        <v>4471</v>
      </c>
      <c r="C125" s="65" t="s">
        <v>59</v>
      </c>
      <c r="D125" s="122"/>
      <c r="E125" s="65"/>
      <c r="F125" s="123"/>
      <c r="G125" s="63"/>
      <c r="H125" s="63"/>
      <c r="I125" s="124"/>
      <c r="J125" s="71"/>
      <c r="K125" s="125"/>
      <c r="L125" s="46"/>
      <c r="M125" s="46"/>
      <c r="N125" s="46"/>
      <c r="O125" s="46"/>
      <c r="P125" s="46"/>
      <c r="Q125" s="46"/>
      <c r="R125" s="46"/>
      <c r="S125" s="46"/>
      <c r="T125" s="46"/>
      <c r="U125" s="46"/>
      <c r="V125" s="46"/>
      <c r="W125" s="47"/>
      <c r="X125" s="47"/>
    </row>
    <row r="126" spans="1:24" ht="15">
      <c r="A126" s="121" t="s">
        <v>1573</v>
      </c>
      <c r="B126" s="65" t="s">
        <v>4472</v>
      </c>
      <c r="C126" s="65" t="s">
        <v>59</v>
      </c>
      <c r="D126" s="122"/>
      <c r="E126" s="65"/>
      <c r="F126" s="123"/>
      <c r="G126" s="63"/>
      <c r="H126" s="63"/>
      <c r="I126" s="124"/>
      <c r="J126" s="71"/>
      <c r="K126" s="125"/>
      <c r="L126" s="46"/>
      <c r="M126" s="46"/>
      <c r="N126" s="46"/>
      <c r="O126" s="46"/>
      <c r="P126" s="46"/>
      <c r="Q126" s="46"/>
      <c r="R126" s="46"/>
      <c r="S126" s="46"/>
      <c r="T126" s="46"/>
      <c r="U126" s="46"/>
      <c r="V126" s="46"/>
      <c r="W126" s="47"/>
      <c r="X126" s="47"/>
    </row>
    <row r="127" spans="1:24" ht="15">
      <c r="A127" s="121" t="s">
        <v>1578</v>
      </c>
      <c r="B127" s="65" t="s">
        <v>4473</v>
      </c>
      <c r="C127" s="65" t="s">
        <v>59</v>
      </c>
      <c r="D127" s="122"/>
      <c r="E127" s="65"/>
      <c r="F127" s="123"/>
      <c r="G127" s="63"/>
      <c r="H127" s="63"/>
      <c r="I127" s="124"/>
      <c r="J127" s="71"/>
      <c r="K127" s="125"/>
      <c r="L127" s="46"/>
      <c r="M127" s="46"/>
      <c r="N127" s="46"/>
      <c r="O127" s="46"/>
      <c r="P127" s="46"/>
      <c r="Q127" s="46"/>
      <c r="R127" s="46"/>
      <c r="S127" s="46"/>
      <c r="T127" s="46"/>
      <c r="U127" s="46"/>
      <c r="V127" s="46"/>
      <c r="W127" s="47"/>
      <c r="X127" s="47"/>
    </row>
    <row r="128" spans="1:24" ht="15">
      <c r="A128" s="121" t="s">
        <v>3716</v>
      </c>
      <c r="B128" s="65" t="s">
        <v>4474</v>
      </c>
      <c r="C128" s="65" t="s">
        <v>59</v>
      </c>
      <c r="D128" s="122"/>
      <c r="E128" s="65"/>
      <c r="F128" s="123"/>
      <c r="G128" s="63"/>
      <c r="H128" s="63"/>
      <c r="I128" s="124"/>
      <c r="J128" s="71"/>
      <c r="K128" s="125"/>
      <c r="L128" s="46"/>
      <c r="M128" s="46"/>
      <c r="N128" s="46"/>
      <c r="O128" s="46"/>
      <c r="P128" s="46"/>
      <c r="Q128" s="46"/>
      <c r="R128" s="46"/>
      <c r="S128" s="46"/>
      <c r="T128" s="46"/>
      <c r="U128" s="46"/>
      <c r="V128" s="46"/>
      <c r="W128" s="47"/>
      <c r="X128" s="47"/>
    </row>
    <row r="129" spans="1:24" ht="15">
      <c r="A129" s="121" t="s">
        <v>3717</v>
      </c>
      <c r="B129" s="65" t="s">
        <v>4475</v>
      </c>
      <c r="C129" s="65" t="s">
        <v>59</v>
      </c>
      <c r="D129" s="122"/>
      <c r="E129" s="65"/>
      <c r="F129" s="123"/>
      <c r="G129" s="63"/>
      <c r="H129" s="63"/>
      <c r="I129" s="124"/>
      <c r="J129" s="71"/>
      <c r="K129" s="125"/>
      <c r="L129" s="46"/>
      <c r="M129" s="46"/>
      <c r="N129" s="46"/>
      <c r="O129" s="46"/>
      <c r="P129" s="46"/>
      <c r="Q129" s="46"/>
      <c r="R129" s="46"/>
      <c r="S129" s="46"/>
      <c r="T129" s="46"/>
      <c r="U129" s="46"/>
      <c r="V129" s="46"/>
      <c r="W129" s="47"/>
      <c r="X129" s="47"/>
    </row>
    <row r="130" spans="1:24" ht="15">
      <c r="A130" s="121" t="s">
        <v>1579</v>
      </c>
      <c r="B130" s="65" t="s">
        <v>4476</v>
      </c>
      <c r="C130" s="65" t="s">
        <v>59</v>
      </c>
      <c r="D130" s="122"/>
      <c r="E130" s="65"/>
      <c r="F130" s="123"/>
      <c r="G130" s="63"/>
      <c r="H130" s="63"/>
      <c r="I130" s="124"/>
      <c r="J130" s="71"/>
      <c r="K130" s="125"/>
      <c r="L130" s="46"/>
      <c r="M130" s="46"/>
      <c r="N130" s="46"/>
      <c r="O130" s="46"/>
      <c r="P130" s="46"/>
      <c r="Q130" s="46"/>
      <c r="R130" s="46"/>
      <c r="S130" s="46"/>
      <c r="T130" s="46"/>
      <c r="U130" s="46"/>
      <c r="V130" s="46"/>
      <c r="W130" s="47"/>
      <c r="X130" s="47"/>
    </row>
    <row r="131" spans="1:24" ht="15">
      <c r="A131" s="121" t="s">
        <v>1574</v>
      </c>
      <c r="B131" s="65" t="s">
        <v>4477</v>
      </c>
      <c r="C131" s="65" t="s">
        <v>59</v>
      </c>
      <c r="D131" s="122"/>
      <c r="E131" s="65"/>
      <c r="F131" s="123"/>
      <c r="G131" s="63"/>
      <c r="H131" s="63"/>
      <c r="I131" s="124"/>
      <c r="J131" s="71"/>
      <c r="K131" s="125"/>
      <c r="L131" s="46"/>
      <c r="M131" s="46"/>
      <c r="N131" s="46"/>
      <c r="O131" s="46"/>
      <c r="P131" s="46"/>
      <c r="Q131" s="46"/>
      <c r="R131" s="46"/>
      <c r="S131" s="46"/>
      <c r="T131" s="46"/>
      <c r="U131" s="46"/>
      <c r="V131" s="46"/>
      <c r="W131" s="47"/>
      <c r="X131" s="47"/>
    </row>
    <row r="132" spans="1:24" ht="15">
      <c r="A132" s="121" t="s">
        <v>3704</v>
      </c>
      <c r="B132" s="65" t="s">
        <v>4478</v>
      </c>
      <c r="C132" s="65" t="s">
        <v>59</v>
      </c>
      <c r="D132" s="122"/>
      <c r="E132" s="65"/>
      <c r="F132" s="123"/>
      <c r="G132" s="63"/>
      <c r="H132" s="63"/>
      <c r="I132" s="124"/>
      <c r="J132" s="71"/>
      <c r="K132" s="125"/>
      <c r="L132" s="46"/>
      <c r="M132" s="46"/>
      <c r="N132" s="46"/>
      <c r="O132" s="46"/>
      <c r="P132" s="46"/>
      <c r="Q132" s="46"/>
      <c r="R132" s="46"/>
      <c r="S132" s="46"/>
      <c r="T132" s="46"/>
      <c r="U132" s="46"/>
      <c r="V132" s="46"/>
      <c r="W132" s="47"/>
      <c r="X132" s="47"/>
    </row>
    <row r="133" spans="1:24" ht="15">
      <c r="A133" s="121" t="s">
        <v>3705</v>
      </c>
      <c r="B133" s="65" t="s">
        <v>4479</v>
      </c>
      <c r="C133" s="65" t="s">
        <v>59</v>
      </c>
      <c r="D133" s="122"/>
      <c r="E133" s="65"/>
      <c r="F133" s="123"/>
      <c r="G133" s="63"/>
      <c r="H133" s="63"/>
      <c r="I133" s="124"/>
      <c r="J133" s="71"/>
      <c r="K133" s="125"/>
      <c r="L133" s="46"/>
      <c r="M133" s="46"/>
      <c r="N133" s="46"/>
      <c r="O133" s="46"/>
      <c r="P133" s="46"/>
      <c r="Q133" s="46"/>
      <c r="R133" s="46"/>
      <c r="S133" s="46"/>
      <c r="T133" s="46"/>
      <c r="U133" s="46"/>
      <c r="V133" s="46"/>
      <c r="W133" s="47"/>
      <c r="X133" s="47"/>
    </row>
    <row r="134" spans="1:24" ht="15">
      <c r="A134" s="121" t="s">
        <v>4463</v>
      </c>
      <c r="B134" s="65" t="s">
        <v>4480</v>
      </c>
      <c r="C134" s="65" t="s">
        <v>59</v>
      </c>
      <c r="D134" s="122"/>
      <c r="E134" s="65"/>
      <c r="F134" s="123"/>
      <c r="G134" s="63"/>
      <c r="H134" s="63"/>
      <c r="I134" s="124"/>
      <c r="J134" s="71"/>
      <c r="K134" s="125"/>
      <c r="L134" s="46"/>
      <c r="M134" s="46"/>
      <c r="N134" s="46"/>
      <c r="O134" s="46"/>
      <c r="P134" s="46"/>
      <c r="Q134" s="46"/>
      <c r="R134" s="46"/>
      <c r="S134" s="46"/>
      <c r="T134" s="46"/>
      <c r="U134" s="46"/>
      <c r="V134" s="46"/>
      <c r="W134" s="47"/>
      <c r="X134" s="47"/>
    </row>
    <row r="135" spans="1:24" ht="15">
      <c r="A135" s="121" t="s">
        <v>3707</v>
      </c>
      <c r="B135" s="65" t="s">
        <v>4469</v>
      </c>
      <c r="C135" s="65" t="s">
        <v>61</v>
      </c>
      <c r="D135" s="122"/>
      <c r="E135" s="65"/>
      <c r="F135" s="123"/>
      <c r="G135" s="63"/>
      <c r="H135" s="63"/>
      <c r="I135" s="124"/>
      <c r="J135" s="71"/>
      <c r="K135" s="125"/>
      <c r="L135" s="46"/>
      <c r="M135" s="46"/>
      <c r="N135" s="46"/>
      <c r="O135" s="46"/>
      <c r="P135" s="46"/>
      <c r="Q135" s="46"/>
      <c r="R135" s="46"/>
      <c r="S135" s="46"/>
      <c r="T135" s="46"/>
      <c r="U135" s="46"/>
      <c r="V135" s="46"/>
      <c r="W135" s="47"/>
      <c r="X135" s="47"/>
    </row>
    <row r="136" spans="1:24" ht="15">
      <c r="A136" s="121" t="s">
        <v>3708</v>
      </c>
      <c r="B136" s="65" t="s">
        <v>4470</v>
      </c>
      <c r="C136" s="65" t="s">
        <v>61</v>
      </c>
      <c r="D136" s="122"/>
      <c r="E136" s="65"/>
      <c r="F136" s="123"/>
      <c r="G136" s="63"/>
      <c r="H136" s="63"/>
      <c r="I136" s="124"/>
      <c r="J136" s="71"/>
      <c r="K136" s="125"/>
      <c r="L136" s="46"/>
      <c r="M136" s="46"/>
      <c r="N136" s="46"/>
      <c r="O136" s="46"/>
      <c r="P136" s="46"/>
      <c r="Q136" s="46"/>
      <c r="R136" s="46"/>
      <c r="S136" s="46"/>
      <c r="T136" s="46"/>
      <c r="U136" s="46"/>
      <c r="V136" s="46"/>
      <c r="W136" s="47"/>
      <c r="X136" s="47"/>
    </row>
    <row r="137" spans="1:24" ht="15">
      <c r="A137" s="121" t="s">
        <v>3709</v>
      </c>
      <c r="B137" s="65" t="s">
        <v>4471</v>
      </c>
      <c r="C137" s="65" t="s">
        <v>61</v>
      </c>
      <c r="D137" s="122"/>
      <c r="E137" s="65"/>
      <c r="F137" s="123"/>
      <c r="G137" s="63"/>
      <c r="H137" s="63"/>
      <c r="I137" s="124"/>
      <c r="J137" s="71"/>
      <c r="K137" s="125"/>
      <c r="L137" s="46"/>
      <c r="M137" s="46"/>
      <c r="N137" s="46"/>
      <c r="O137" s="46"/>
      <c r="P137" s="46"/>
      <c r="Q137" s="46"/>
      <c r="R137" s="46"/>
      <c r="S137" s="46"/>
      <c r="T137" s="46"/>
      <c r="U137" s="46"/>
      <c r="V137" s="46"/>
      <c r="W137" s="47"/>
      <c r="X137" s="47"/>
    </row>
    <row r="138" spans="1:24" ht="15">
      <c r="A138" s="121" t="s">
        <v>3711</v>
      </c>
      <c r="B138" s="65" t="s">
        <v>4472</v>
      </c>
      <c r="C138" s="65" t="s">
        <v>61</v>
      </c>
      <c r="D138" s="122"/>
      <c r="E138" s="65"/>
      <c r="F138" s="123"/>
      <c r="G138" s="63"/>
      <c r="H138" s="63"/>
      <c r="I138" s="124"/>
      <c r="J138" s="71"/>
      <c r="K138" s="125"/>
      <c r="L138" s="46"/>
      <c r="M138" s="46"/>
      <c r="N138" s="46"/>
      <c r="O138" s="46"/>
      <c r="P138" s="46"/>
      <c r="Q138" s="46"/>
      <c r="R138" s="46"/>
      <c r="S138" s="46"/>
      <c r="T138" s="46"/>
      <c r="U138" s="46"/>
      <c r="V138" s="46"/>
      <c r="W138" s="47"/>
      <c r="X138" s="47"/>
    </row>
    <row r="139" spans="1:24" ht="15">
      <c r="A139" s="121" t="s">
        <v>3712</v>
      </c>
      <c r="B139" s="65" t="s">
        <v>4473</v>
      </c>
      <c r="C139" s="65" t="s">
        <v>61</v>
      </c>
      <c r="D139" s="122"/>
      <c r="E139" s="65"/>
      <c r="F139" s="123"/>
      <c r="G139" s="63"/>
      <c r="H139" s="63"/>
      <c r="I139" s="124"/>
      <c r="J139" s="71"/>
      <c r="K139" s="125"/>
      <c r="L139" s="46"/>
      <c r="M139" s="46"/>
      <c r="N139" s="46"/>
      <c r="O139" s="46"/>
      <c r="P139" s="46"/>
      <c r="Q139" s="46"/>
      <c r="R139" s="46"/>
      <c r="S139" s="46"/>
      <c r="T139" s="46"/>
      <c r="U139" s="46"/>
      <c r="V139" s="46"/>
      <c r="W139" s="47"/>
      <c r="X139" s="47"/>
    </row>
    <row r="140" spans="1:24" ht="15">
      <c r="A140" s="121" t="s">
        <v>3713</v>
      </c>
      <c r="B140" s="65" t="s">
        <v>4474</v>
      </c>
      <c r="C140" s="65" t="s">
        <v>61</v>
      </c>
      <c r="D140" s="122"/>
      <c r="E140" s="65"/>
      <c r="F140" s="123"/>
      <c r="G140" s="63"/>
      <c r="H140" s="63"/>
      <c r="I140" s="124"/>
      <c r="J140" s="71"/>
      <c r="K140" s="125"/>
      <c r="L140" s="46"/>
      <c r="M140" s="46"/>
      <c r="N140" s="46"/>
      <c r="O140" s="46"/>
      <c r="P140" s="46"/>
      <c r="Q140" s="46"/>
      <c r="R140" s="46"/>
      <c r="S140" s="46"/>
      <c r="T140" s="46"/>
      <c r="U140" s="46"/>
      <c r="V140" s="46"/>
      <c r="W140" s="47"/>
      <c r="X140" s="47"/>
    </row>
    <row r="141" spans="1:24" ht="15">
      <c r="A141" s="121" t="s">
        <v>3714</v>
      </c>
      <c r="B141" s="65" t="s">
        <v>4475</v>
      </c>
      <c r="C141" s="65" t="s">
        <v>61</v>
      </c>
      <c r="D141" s="122"/>
      <c r="E141" s="65"/>
      <c r="F141" s="123"/>
      <c r="G141" s="63"/>
      <c r="H141" s="63"/>
      <c r="I141" s="124"/>
      <c r="J141" s="71"/>
      <c r="K141" s="125"/>
      <c r="L141" s="46"/>
      <c r="M141" s="46"/>
      <c r="N141" s="46"/>
      <c r="O141" s="46"/>
      <c r="P141" s="46"/>
      <c r="Q141" s="46"/>
      <c r="R141" s="46"/>
      <c r="S141" s="46"/>
      <c r="T141" s="46"/>
      <c r="U141" s="46"/>
      <c r="V141" s="46"/>
      <c r="W141" s="47"/>
      <c r="X141" s="47"/>
    </row>
    <row r="142" spans="1:24" ht="15">
      <c r="A142" s="121" t="s">
        <v>1519</v>
      </c>
      <c r="B142" s="65" t="s">
        <v>4476</v>
      </c>
      <c r="C142" s="65" t="s">
        <v>61</v>
      </c>
      <c r="D142" s="122"/>
      <c r="E142" s="65"/>
      <c r="F142" s="123"/>
      <c r="G142" s="63"/>
      <c r="H142" s="63"/>
      <c r="I142" s="124"/>
      <c r="J142" s="71"/>
      <c r="K142" s="125"/>
      <c r="L142" s="46"/>
      <c r="M142" s="46"/>
      <c r="N142" s="46"/>
      <c r="O142" s="46"/>
      <c r="P142" s="46"/>
      <c r="Q142" s="46"/>
      <c r="R142" s="46"/>
      <c r="S142" s="46"/>
      <c r="T142" s="46"/>
      <c r="U142" s="46"/>
      <c r="V142" s="46"/>
      <c r="W142" s="47"/>
      <c r="X142" s="47"/>
    </row>
    <row r="143" spans="1:24" ht="15">
      <c r="A143" s="121" t="s">
        <v>3719</v>
      </c>
      <c r="B143" s="65" t="s">
        <v>4477</v>
      </c>
      <c r="C143" s="65" t="s">
        <v>61</v>
      </c>
      <c r="D143" s="122"/>
      <c r="E143" s="65"/>
      <c r="F143" s="123"/>
      <c r="G143" s="63"/>
      <c r="H143" s="63"/>
      <c r="I143" s="124"/>
      <c r="J143" s="71"/>
      <c r="K143" s="125"/>
      <c r="L143" s="46"/>
      <c r="M143" s="46"/>
      <c r="N143" s="46"/>
      <c r="O143" s="46"/>
      <c r="P143" s="46"/>
      <c r="Q143" s="46"/>
      <c r="R143" s="46"/>
      <c r="S143" s="46"/>
      <c r="T143" s="46"/>
      <c r="U143" s="46"/>
      <c r="V143" s="46"/>
      <c r="W143" s="47"/>
      <c r="X143" s="47"/>
    </row>
    <row r="144" spans="1:24" ht="15">
      <c r="A144" s="121" t="s">
        <v>3720</v>
      </c>
      <c r="B144" s="65" t="s">
        <v>4478</v>
      </c>
      <c r="C144" s="65" t="s">
        <v>61</v>
      </c>
      <c r="D144" s="122"/>
      <c r="E144" s="65"/>
      <c r="F144" s="123"/>
      <c r="G144" s="63"/>
      <c r="H144" s="63"/>
      <c r="I144" s="124"/>
      <c r="J144" s="71"/>
      <c r="K144" s="125"/>
      <c r="L144" s="46"/>
      <c r="M144" s="46"/>
      <c r="N144" s="46"/>
      <c r="O144" s="46"/>
      <c r="P144" s="46"/>
      <c r="Q144" s="46"/>
      <c r="R144" s="46"/>
      <c r="S144" s="46"/>
      <c r="T144" s="46"/>
      <c r="U144" s="46"/>
      <c r="V144" s="46"/>
      <c r="W144" s="47"/>
      <c r="X144" s="47"/>
    </row>
    <row r="145" spans="1:24" ht="15">
      <c r="A145" s="121" t="s">
        <v>3961</v>
      </c>
      <c r="B145" s="65" t="s">
        <v>4479</v>
      </c>
      <c r="C145" s="65" t="s">
        <v>61</v>
      </c>
      <c r="D145" s="122"/>
      <c r="E145" s="65"/>
      <c r="F145" s="123"/>
      <c r="G145" s="63"/>
      <c r="H145" s="63"/>
      <c r="I145" s="124"/>
      <c r="J145" s="71"/>
      <c r="K145" s="125"/>
      <c r="L145" s="46"/>
      <c r="M145" s="46"/>
      <c r="N145" s="46"/>
      <c r="O145" s="46"/>
      <c r="P145" s="46"/>
      <c r="Q145" s="46"/>
      <c r="R145" s="46"/>
      <c r="S145" s="46"/>
      <c r="T145" s="46"/>
      <c r="U145" s="46"/>
      <c r="V145" s="46"/>
      <c r="W145" s="47"/>
      <c r="X145" s="47"/>
    </row>
    <row r="146" spans="1:24" ht="15">
      <c r="A146" s="121" t="s">
        <v>3962</v>
      </c>
      <c r="B146" s="65" t="s">
        <v>4480</v>
      </c>
      <c r="C146" s="65" t="s">
        <v>61</v>
      </c>
      <c r="D146" s="122"/>
      <c r="E146" s="65"/>
      <c r="F146" s="123"/>
      <c r="G146" s="63"/>
      <c r="H146" s="63"/>
      <c r="I146" s="124"/>
      <c r="J146" s="71"/>
      <c r="K146" s="125"/>
      <c r="L146" s="46"/>
      <c r="M146" s="46"/>
      <c r="N146" s="46"/>
      <c r="O146" s="46"/>
      <c r="P146" s="46"/>
      <c r="Q146" s="46"/>
      <c r="R146" s="46"/>
      <c r="S146" s="46"/>
      <c r="T146" s="46"/>
      <c r="U146" s="46"/>
      <c r="V146" s="46"/>
      <c r="W146" s="47"/>
      <c r="X146" s="47"/>
    </row>
    <row r="147" spans="1:24" ht="15">
      <c r="A147" s="121" t="s">
        <v>3963</v>
      </c>
      <c r="B147" s="65" t="s">
        <v>4469</v>
      </c>
      <c r="C147" s="65" t="s">
        <v>63</v>
      </c>
      <c r="D147" s="122"/>
      <c r="E147" s="65"/>
      <c r="F147" s="123"/>
      <c r="G147" s="63"/>
      <c r="H147" s="63"/>
      <c r="I147" s="124"/>
      <c r="J147" s="71"/>
      <c r="K147" s="125"/>
      <c r="L147" s="46"/>
      <c r="M147" s="46"/>
      <c r="N147" s="46"/>
      <c r="O147" s="46"/>
      <c r="P147" s="46"/>
      <c r="Q147" s="46"/>
      <c r="R147" s="46"/>
      <c r="S147" s="46"/>
      <c r="T147" s="46"/>
      <c r="U147" s="46"/>
      <c r="V147" s="46"/>
      <c r="W147" s="47"/>
      <c r="X147" s="47"/>
    </row>
    <row r="148" spans="1:24" ht="15">
      <c r="A148" s="121" t="s">
        <v>3964</v>
      </c>
      <c r="B148" s="65" t="s">
        <v>4470</v>
      </c>
      <c r="C148" s="65" t="s">
        <v>63</v>
      </c>
      <c r="D148" s="122"/>
      <c r="E148" s="65"/>
      <c r="F148" s="123"/>
      <c r="G148" s="63"/>
      <c r="H148" s="63"/>
      <c r="I148" s="124"/>
      <c r="J148" s="71"/>
      <c r="K148" s="125"/>
      <c r="L148" s="46"/>
      <c r="M148" s="46"/>
      <c r="N148" s="46"/>
      <c r="O148" s="46"/>
      <c r="P148" s="46"/>
      <c r="Q148" s="46"/>
      <c r="R148" s="46"/>
      <c r="S148" s="46"/>
      <c r="T148" s="46"/>
      <c r="U148" s="46"/>
      <c r="V148" s="46"/>
      <c r="W148" s="47"/>
      <c r="X148" s="47"/>
    </row>
    <row r="149" spans="1:24" ht="15">
      <c r="A149" s="121" t="s">
        <v>1569</v>
      </c>
      <c r="B149" s="65" t="s">
        <v>4471</v>
      </c>
      <c r="C149" s="65" t="s">
        <v>63</v>
      </c>
      <c r="D149" s="122"/>
      <c r="E149" s="65"/>
      <c r="F149" s="123"/>
      <c r="G149" s="63"/>
      <c r="H149" s="63"/>
      <c r="I149" s="124"/>
      <c r="J149" s="71"/>
      <c r="K149" s="125"/>
      <c r="L149" s="46"/>
      <c r="M149" s="46"/>
      <c r="N149" s="46"/>
      <c r="O149" s="46"/>
      <c r="P149" s="46"/>
      <c r="Q149" s="46"/>
      <c r="R149" s="46"/>
      <c r="S149" s="46"/>
      <c r="T149" s="46"/>
      <c r="U149" s="46"/>
      <c r="V149" s="46"/>
      <c r="W149" s="47"/>
      <c r="X149" s="47"/>
    </row>
    <row r="150" spans="1:24" ht="15">
      <c r="A150" s="121" t="s">
        <v>1581</v>
      </c>
      <c r="B150" s="65" t="s">
        <v>4472</v>
      </c>
      <c r="C150" s="65" t="s">
        <v>63</v>
      </c>
      <c r="D150" s="122"/>
      <c r="E150" s="65"/>
      <c r="F150" s="123"/>
      <c r="G150" s="63"/>
      <c r="H150" s="63"/>
      <c r="I150" s="124"/>
      <c r="J150" s="71"/>
      <c r="K150" s="125"/>
      <c r="L150" s="46"/>
      <c r="M150" s="46"/>
      <c r="N150" s="46"/>
      <c r="O150" s="46"/>
      <c r="P150" s="46"/>
      <c r="Q150" s="46"/>
      <c r="R150" s="46"/>
      <c r="S150" s="46"/>
      <c r="T150" s="46"/>
      <c r="U150" s="46"/>
      <c r="V150" s="46"/>
      <c r="W150" s="47"/>
      <c r="X150" s="47"/>
    </row>
    <row r="151" spans="1:24" ht="15">
      <c r="A151" s="121" t="s">
        <v>3965</v>
      </c>
      <c r="B151" s="65" t="s">
        <v>4473</v>
      </c>
      <c r="C151" s="65" t="s">
        <v>63</v>
      </c>
      <c r="D151" s="122"/>
      <c r="E151" s="65"/>
      <c r="F151" s="123"/>
      <c r="G151" s="63"/>
      <c r="H151" s="63"/>
      <c r="I151" s="124"/>
      <c r="J151" s="71"/>
      <c r="K151" s="125"/>
      <c r="L151" s="46"/>
      <c r="M151" s="46"/>
      <c r="N151" s="46"/>
      <c r="O151" s="46"/>
      <c r="P151" s="46"/>
      <c r="Q151" s="46"/>
      <c r="R151" s="46"/>
      <c r="S151" s="46"/>
      <c r="T151" s="46"/>
      <c r="U151" s="46"/>
      <c r="V151" s="46"/>
      <c r="W151" s="47"/>
      <c r="X151" s="47"/>
    </row>
    <row r="152" spans="1:24" ht="15">
      <c r="A152" s="121" t="s">
        <v>1580</v>
      </c>
      <c r="B152" s="65" t="s">
        <v>4474</v>
      </c>
      <c r="C152" s="65" t="s">
        <v>63</v>
      </c>
      <c r="D152" s="122"/>
      <c r="E152" s="65"/>
      <c r="F152" s="123"/>
      <c r="G152" s="63"/>
      <c r="H152" s="63"/>
      <c r="I152" s="124"/>
      <c r="J152" s="71"/>
      <c r="K152" s="125"/>
      <c r="L152" s="46"/>
      <c r="M152" s="46"/>
      <c r="N152" s="46"/>
      <c r="O152" s="46"/>
      <c r="P152" s="46"/>
      <c r="Q152" s="46"/>
      <c r="R152" s="46"/>
      <c r="S152" s="46"/>
      <c r="T152" s="46"/>
      <c r="U152" s="46"/>
      <c r="V152" s="46"/>
      <c r="W152" s="47"/>
      <c r="X152" s="47"/>
    </row>
    <row r="153" spans="1:24" ht="15">
      <c r="A153" s="121" t="s">
        <v>3966</v>
      </c>
      <c r="B153" s="65" t="s">
        <v>4475</v>
      </c>
      <c r="C153" s="65" t="s">
        <v>63</v>
      </c>
      <c r="D153" s="122"/>
      <c r="E153" s="65"/>
      <c r="F153" s="123"/>
      <c r="G153" s="63"/>
      <c r="H153" s="63"/>
      <c r="I153" s="124"/>
      <c r="J153" s="71"/>
      <c r="K153" s="125"/>
      <c r="L153" s="46"/>
      <c r="M153" s="46"/>
      <c r="N153" s="46"/>
      <c r="O153" s="46"/>
      <c r="P153" s="46"/>
      <c r="Q153" s="46"/>
      <c r="R153" s="46"/>
      <c r="S153" s="46"/>
      <c r="T153" s="46"/>
      <c r="U153" s="46"/>
      <c r="V153" s="46"/>
      <c r="W153" s="47"/>
      <c r="X153" s="47"/>
    </row>
    <row r="154" spans="1:24" ht="15">
      <c r="A154" s="121" t="s">
        <v>1513</v>
      </c>
      <c r="B154" s="65" t="s">
        <v>4476</v>
      </c>
      <c r="C154" s="65" t="s">
        <v>63</v>
      </c>
      <c r="D154" s="122"/>
      <c r="E154" s="65"/>
      <c r="F154" s="123"/>
      <c r="G154" s="63"/>
      <c r="H154" s="63"/>
      <c r="I154" s="124"/>
      <c r="J154" s="71"/>
      <c r="K154" s="125"/>
      <c r="L154" s="46"/>
      <c r="M154" s="46"/>
      <c r="N154" s="46"/>
      <c r="O154" s="46"/>
      <c r="P154" s="46"/>
      <c r="Q154" s="46"/>
      <c r="R154" s="46"/>
      <c r="S154" s="46"/>
      <c r="T154" s="46"/>
      <c r="U154" s="46"/>
      <c r="V154" s="46"/>
      <c r="W154" s="47"/>
      <c r="X154" s="47"/>
    </row>
    <row r="155" spans="1:24" ht="15">
      <c r="A155" s="121" t="s">
        <v>1517</v>
      </c>
      <c r="B155" s="65" t="s">
        <v>4477</v>
      </c>
      <c r="C155" s="65" t="s">
        <v>63</v>
      </c>
      <c r="D155" s="122"/>
      <c r="E155" s="65"/>
      <c r="F155" s="123"/>
      <c r="G155" s="63"/>
      <c r="H155" s="63"/>
      <c r="I155" s="124"/>
      <c r="J155" s="71"/>
      <c r="K155" s="125"/>
      <c r="L155" s="46"/>
      <c r="M155" s="46"/>
      <c r="N155" s="46"/>
      <c r="O155" s="46"/>
      <c r="P155" s="46"/>
      <c r="Q155" s="46"/>
      <c r="R155" s="46"/>
      <c r="S155" s="46"/>
      <c r="T155" s="46"/>
      <c r="U155" s="46"/>
      <c r="V155" s="46"/>
      <c r="W155" s="47"/>
      <c r="X155" s="47"/>
    </row>
    <row r="156" spans="1:24" ht="15">
      <c r="A156" s="121" t="s">
        <v>3967</v>
      </c>
      <c r="B156" s="65" t="s">
        <v>4478</v>
      </c>
      <c r="C156" s="65" t="s">
        <v>63</v>
      </c>
      <c r="D156" s="122"/>
      <c r="E156" s="65"/>
      <c r="F156" s="123"/>
      <c r="G156" s="63"/>
      <c r="H156" s="63"/>
      <c r="I156" s="124"/>
      <c r="J156" s="71"/>
      <c r="K156" s="125"/>
      <c r="L156" s="46"/>
      <c r="M156" s="46"/>
      <c r="N156" s="46"/>
      <c r="O156" s="46"/>
      <c r="P156" s="46"/>
      <c r="Q156" s="46"/>
      <c r="R156" s="46"/>
      <c r="S156" s="46"/>
      <c r="T156" s="46"/>
      <c r="U156" s="46"/>
      <c r="V156" s="46"/>
      <c r="W156" s="47"/>
      <c r="X156" s="47"/>
    </row>
    <row r="157" spans="1:24" ht="15">
      <c r="A157" s="121" t="s">
        <v>1592</v>
      </c>
      <c r="B157" s="65" t="s">
        <v>4479</v>
      </c>
      <c r="C157" s="65" t="s">
        <v>63</v>
      </c>
      <c r="D157" s="122"/>
      <c r="E157" s="65"/>
      <c r="F157" s="123"/>
      <c r="G157" s="63"/>
      <c r="H157" s="63"/>
      <c r="I157" s="124"/>
      <c r="J157" s="71"/>
      <c r="K157" s="125"/>
      <c r="L157" s="46"/>
      <c r="M157" s="46"/>
      <c r="N157" s="46"/>
      <c r="O157" s="46"/>
      <c r="P157" s="46"/>
      <c r="Q157" s="46"/>
      <c r="R157" s="46"/>
      <c r="S157" s="46"/>
      <c r="T157" s="46"/>
      <c r="U157" s="46"/>
      <c r="V157" s="46"/>
      <c r="W157" s="47"/>
      <c r="X157" s="47"/>
    </row>
    <row r="158" spans="1:24" ht="15">
      <c r="A158" s="121" t="s">
        <v>1678</v>
      </c>
      <c r="B158" s="65" t="s">
        <v>4480</v>
      </c>
      <c r="C158" s="65" t="s">
        <v>63</v>
      </c>
      <c r="D158" s="122"/>
      <c r="E158" s="65"/>
      <c r="F158" s="123"/>
      <c r="G158" s="63"/>
      <c r="H158" s="63"/>
      <c r="I158" s="124"/>
      <c r="J158" s="71"/>
      <c r="K158" s="125"/>
      <c r="L158" s="46"/>
      <c r="M158" s="46"/>
      <c r="N158" s="46"/>
      <c r="O158" s="46"/>
      <c r="P158" s="46"/>
      <c r="Q158" s="46"/>
      <c r="R158" s="46"/>
      <c r="S158" s="46"/>
      <c r="T158" s="46"/>
      <c r="U158" s="46"/>
      <c r="V158" s="46"/>
      <c r="W158" s="47"/>
      <c r="X158" s="47"/>
    </row>
    <row r="159" spans="1:24" ht="15">
      <c r="A159" s="121" t="s">
        <v>1540</v>
      </c>
      <c r="B159" s="65" t="s">
        <v>4469</v>
      </c>
      <c r="C159" s="65" t="s">
        <v>57</v>
      </c>
      <c r="D159" s="122"/>
      <c r="E159" s="65"/>
      <c r="F159" s="123"/>
      <c r="G159" s="63"/>
      <c r="H159" s="63"/>
      <c r="I159" s="124"/>
      <c r="J159" s="71"/>
      <c r="K159" s="125"/>
      <c r="L159" s="46"/>
      <c r="M159" s="46"/>
      <c r="N159" s="46"/>
      <c r="O159" s="46"/>
      <c r="P159" s="46"/>
      <c r="Q159" s="46"/>
      <c r="R159" s="46"/>
      <c r="S159" s="46"/>
      <c r="T159" s="46"/>
      <c r="U159" s="46"/>
      <c r="V159" s="46"/>
      <c r="W159" s="47"/>
      <c r="X159" s="47"/>
    </row>
    <row r="160" spans="1:24" ht="15">
      <c r="A160" s="121" t="s">
        <v>1509</v>
      </c>
      <c r="B160" s="65" t="s">
        <v>4470</v>
      </c>
      <c r="C160" s="65" t="s">
        <v>57</v>
      </c>
      <c r="D160" s="122"/>
      <c r="E160" s="65"/>
      <c r="F160" s="123"/>
      <c r="G160" s="63"/>
      <c r="H160" s="63"/>
      <c r="I160" s="124"/>
      <c r="J160" s="71"/>
      <c r="K160" s="125"/>
      <c r="L160" s="46"/>
      <c r="M160" s="46"/>
      <c r="N160" s="46"/>
      <c r="O160" s="46"/>
      <c r="P160" s="46"/>
      <c r="Q160" s="46"/>
      <c r="R160" s="46"/>
      <c r="S160" s="46"/>
      <c r="T160" s="46"/>
      <c r="U160" s="46"/>
      <c r="V160" s="46"/>
      <c r="W160" s="47"/>
      <c r="X160" s="47"/>
    </row>
    <row r="161" spans="1:24" ht="15">
      <c r="A161" s="121" t="s">
        <v>1502</v>
      </c>
      <c r="B161" s="65" t="s">
        <v>4471</v>
      </c>
      <c r="C161" s="65" t="s">
        <v>57</v>
      </c>
      <c r="D161" s="122"/>
      <c r="E161" s="65"/>
      <c r="F161" s="123"/>
      <c r="G161" s="63"/>
      <c r="H161" s="63"/>
      <c r="I161" s="124"/>
      <c r="J161" s="71"/>
      <c r="K161" s="125"/>
      <c r="L161" s="46"/>
      <c r="M161" s="46"/>
      <c r="N161" s="46"/>
      <c r="O161" s="46"/>
      <c r="P161" s="46"/>
      <c r="Q161" s="46"/>
      <c r="R161" s="46"/>
      <c r="S161" s="46"/>
      <c r="T161" s="46"/>
      <c r="U161" s="46"/>
      <c r="V161" s="46"/>
      <c r="W161" s="47"/>
      <c r="X161" s="47"/>
    </row>
    <row r="162" spans="1:24" ht="15">
      <c r="A162" s="121" t="s">
        <v>1536</v>
      </c>
      <c r="B162" s="65" t="s">
        <v>4472</v>
      </c>
      <c r="C162" s="65" t="s">
        <v>57</v>
      </c>
      <c r="D162" s="122"/>
      <c r="E162" s="65"/>
      <c r="F162" s="123"/>
      <c r="G162" s="63"/>
      <c r="H162" s="63"/>
      <c r="I162" s="124"/>
      <c r="J162" s="71"/>
      <c r="K162" s="125"/>
      <c r="L162" s="46"/>
      <c r="M162" s="46"/>
      <c r="N162" s="46"/>
      <c r="O162" s="46"/>
      <c r="P162" s="46"/>
      <c r="Q162" s="46"/>
      <c r="R162" s="46"/>
      <c r="S162" s="46"/>
      <c r="T162" s="46"/>
      <c r="U162" s="46"/>
      <c r="V162" s="46"/>
      <c r="W162" s="47"/>
      <c r="X162" s="47"/>
    </row>
    <row r="163" spans="1:24" ht="15">
      <c r="A163" s="121" t="s">
        <v>1531</v>
      </c>
      <c r="B163" s="65" t="s">
        <v>4473</v>
      </c>
      <c r="C163" s="65" t="s">
        <v>57</v>
      </c>
      <c r="D163" s="122"/>
      <c r="E163" s="65"/>
      <c r="F163" s="123"/>
      <c r="G163" s="63"/>
      <c r="H163" s="63"/>
      <c r="I163" s="124"/>
      <c r="J163" s="71"/>
      <c r="K163" s="125"/>
      <c r="L163" s="46"/>
      <c r="M163" s="46"/>
      <c r="N163" s="46"/>
      <c r="O163" s="46"/>
      <c r="P163" s="46"/>
      <c r="Q163" s="46"/>
      <c r="R163" s="46"/>
      <c r="S163" s="46"/>
      <c r="T163" s="46"/>
      <c r="U163" s="46"/>
      <c r="V163" s="46"/>
      <c r="W163" s="47"/>
      <c r="X163" s="47"/>
    </row>
    <row r="164" spans="1:24" ht="15">
      <c r="A164" s="121" t="s">
        <v>3904</v>
      </c>
      <c r="B164" s="65" t="s">
        <v>4474</v>
      </c>
      <c r="C164" s="65" t="s">
        <v>57</v>
      </c>
      <c r="D164" s="122"/>
      <c r="E164" s="65"/>
      <c r="F164" s="123"/>
      <c r="G164" s="63"/>
      <c r="H164" s="63"/>
      <c r="I164" s="124"/>
      <c r="J164" s="71"/>
      <c r="K164" s="125"/>
      <c r="L164" s="46"/>
      <c r="M164" s="46"/>
      <c r="N164" s="46"/>
      <c r="O164" s="46"/>
      <c r="P164" s="46"/>
      <c r="Q164" s="46"/>
      <c r="R164" s="46"/>
      <c r="S164" s="46"/>
      <c r="T164" s="46"/>
      <c r="U164" s="46"/>
      <c r="V164" s="46"/>
      <c r="W164" s="47"/>
      <c r="X164" s="47"/>
    </row>
    <row r="165" spans="1:24" ht="15">
      <c r="A165" s="121" t="s">
        <v>3905</v>
      </c>
      <c r="B165" s="65" t="s">
        <v>4475</v>
      </c>
      <c r="C165" s="65" t="s">
        <v>57</v>
      </c>
      <c r="D165" s="122"/>
      <c r="E165" s="65"/>
      <c r="F165" s="123"/>
      <c r="G165" s="63"/>
      <c r="H165" s="63"/>
      <c r="I165" s="124"/>
      <c r="J165" s="71"/>
      <c r="K165" s="125"/>
      <c r="L165" s="46"/>
      <c r="M165" s="46"/>
      <c r="N165" s="46"/>
      <c r="O165" s="46"/>
      <c r="P165" s="46"/>
      <c r="Q165" s="46"/>
      <c r="R165" s="46"/>
      <c r="S165" s="46"/>
      <c r="T165" s="46"/>
      <c r="U165" s="46"/>
      <c r="V165" s="46"/>
      <c r="W165" s="47"/>
      <c r="X165" s="47"/>
    </row>
    <row r="166" spans="1:24" ht="15">
      <c r="A166" s="121" t="s">
        <v>3906</v>
      </c>
      <c r="B166" s="65" t="s">
        <v>4476</v>
      </c>
      <c r="C166" s="65" t="s">
        <v>57</v>
      </c>
      <c r="D166" s="122"/>
      <c r="E166" s="65"/>
      <c r="F166" s="123"/>
      <c r="G166" s="63"/>
      <c r="H166" s="63"/>
      <c r="I166" s="124"/>
      <c r="J166" s="71"/>
      <c r="K166" s="125"/>
      <c r="L166" s="46"/>
      <c r="M166" s="46"/>
      <c r="N166" s="46"/>
      <c r="O166" s="46"/>
      <c r="P166" s="46"/>
      <c r="Q166" s="46"/>
      <c r="R166" s="46"/>
      <c r="S166" s="46"/>
      <c r="T166" s="46"/>
      <c r="U166" s="46"/>
      <c r="V166" s="46"/>
      <c r="W166" s="47"/>
      <c r="X166" s="47"/>
    </row>
    <row r="167" spans="1:24" ht="15">
      <c r="A167" s="121" t="s">
        <v>3907</v>
      </c>
      <c r="B167" s="65" t="s">
        <v>4477</v>
      </c>
      <c r="C167" s="65" t="s">
        <v>57</v>
      </c>
      <c r="D167" s="122"/>
      <c r="E167" s="65"/>
      <c r="F167" s="123"/>
      <c r="G167" s="63"/>
      <c r="H167" s="63"/>
      <c r="I167" s="124"/>
      <c r="J167" s="71"/>
      <c r="K167" s="125"/>
      <c r="L167" s="46"/>
      <c r="M167" s="46"/>
      <c r="N167" s="46"/>
      <c r="O167" s="46"/>
      <c r="P167" s="46"/>
      <c r="Q167" s="46"/>
      <c r="R167" s="46"/>
      <c r="S167" s="46"/>
      <c r="T167" s="46"/>
      <c r="U167" s="46"/>
      <c r="V167" s="46"/>
      <c r="W167" s="47"/>
      <c r="X167" s="47"/>
    </row>
    <row r="168" spans="1:24" ht="15">
      <c r="A168" s="121" t="s">
        <v>3908</v>
      </c>
      <c r="B168" s="65" t="s">
        <v>4478</v>
      </c>
      <c r="C168" s="65" t="s">
        <v>57</v>
      </c>
      <c r="D168" s="122"/>
      <c r="E168" s="65"/>
      <c r="F168" s="123"/>
      <c r="G168" s="63"/>
      <c r="H168" s="63"/>
      <c r="I168" s="124"/>
      <c r="J168" s="71"/>
      <c r="K168" s="125"/>
      <c r="L168" s="46"/>
      <c r="M168" s="46"/>
      <c r="N168" s="46"/>
      <c r="O168" s="46"/>
      <c r="P168" s="46"/>
      <c r="Q168" s="46"/>
      <c r="R168" s="46"/>
      <c r="S168" s="46"/>
      <c r="T168" s="46"/>
      <c r="U168" s="46"/>
      <c r="V168" s="46"/>
      <c r="W168" s="47"/>
      <c r="X168" s="47"/>
    </row>
    <row r="169" spans="1:24" ht="15">
      <c r="A169" s="121" t="s">
        <v>3909</v>
      </c>
      <c r="B169" s="65" t="s">
        <v>4479</v>
      </c>
      <c r="C169" s="65" t="s">
        <v>57</v>
      </c>
      <c r="D169" s="122"/>
      <c r="E169" s="65"/>
      <c r="F169" s="123"/>
      <c r="G169" s="63"/>
      <c r="H169" s="63"/>
      <c r="I169" s="124"/>
      <c r="J169" s="71"/>
      <c r="K169" s="125"/>
      <c r="L169" s="46"/>
      <c r="M169" s="46"/>
      <c r="N169" s="46"/>
      <c r="O169" s="46"/>
      <c r="P169" s="46"/>
      <c r="Q169" s="46"/>
      <c r="R169" s="46"/>
      <c r="S169" s="46"/>
      <c r="T169" s="46"/>
      <c r="U169" s="46"/>
      <c r="V169" s="46"/>
      <c r="W169" s="47"/>
      <c r="X169" s="47"/>
    </row>
    <row r="170" spans="1:24" ht="15">
      <c r="A170" s="121" t="s">
        <v>3910</v>
      </c>
      <c r="B170" s="65" t="s">
        <v>4480</v>
      </c>
      <c r="C170" s="65" t="s">
        <v>57</v>
      </c>
      <c r="D170" s="122"/>
      <c r="E170" s="65"/>
      <c r="F170" s="123"/>
      <c r="G170" s="63"/>
      <c r="H170" s="63"/>
      <c r="I170" s="124"/>
      <c r="J170" s="71"/>
      <c r="K170" s="125"/>
      <c r="L170" s="46"/>
      <c r="M170" s="46"/>
      <c r="N170" s="46"/>
      <c r="O170" s="46"/>
      <c r="P170" s="46"/>
      <c r="Q170" s="46"/>
      <c r="R170" s="46"/>
      <c r="S170" s="46"/>
      <c r="T170" s="46"/>
      <c r="U170" s="46"/>
      <c r="V170" s="46"/>
      <c r="W170" s="47"/>
      <c r="X170" s="47"/>
    </row>
    <row r="171" spans="1:24" ht="15">
      <c r="A171" s="121" t="s">
        <v>3888</v>
      </c>
      <c r="B171" s="65" t="s">
        <v>4469</v>
      </c>
      <c r="C171" s="65" t="s">
        <v>55</v>
      </c>
      <c r="D171" s="122"/>
      <c r="E171" s="65"/>
      <c r="F171" s="123"/>
      <c r="G171" s="63"/>
      <c r="H171" s="63"/>
      <c r="I171" s="124"/>
      <c r="J171" s="71"/>
      <c r="K171" s="125"/>
      <c r="L171" s="46"/>
      <c r="M171" s="46"/>
      <c r="N171" s="46"/>
      <c r="O171" s="46"/>
      <c r="P171" s="46"/>
      <c r="Q171" s="46"/>
      <c r="R171" s="46"/>
      <c r="S171" s="46"/>
      <c r="T171" s="46"/>
      <c r="U171" s="46"/>
      <c r="V171" s="46"/>
      <c r="W171" s="47"/>
      <c r="X171" s="47"/>
    </row>
    <row r="172" spans="1:24" ht="15">
      <c r="A172" s="121" t="s">
        <v>3911</v>
      </c>
      <c r="B172" s="65" t="s">
        <v>4470</v>
      </c>
      <c r="C172" s="65" t="s">
        <v>55</v>
      </c>
      <c r="D172" s="122"/>
      <c r="E172" s="65"/>
      <c r="F172" s="123"/>
      <c r="G172" s="63"/>
      <c r="H172" s="63"/>
      <c r="I172" s="124"/>
      <c r="J172" s="71"/>
      <c r="K172" s="125"/>
      <c r="L172" s="46"/>
      <c r="M172" s="46"/>
      <c r="N172" s="46"/>
      <c r="O172" s="46"/>
      <c r="P172" s="46"/>
      <c r="Q172" s="46"/>
      <c r="R172" s="46"/>
      <c r="S172" s="46"/>
      <c r="T172" s="46"/>
      <c r="U172" s="46"/>
      <c r="V172" s="46"/>
      <c r="W172" s="47"/>
      <c r="X172" s="47"/>
    </row>
    <row r="173" spans="1:24" ht="15">
      <c r="A173" s="121" t="s">
        <v>3912</v>
      </c>
      <c r="B173" s="65" t="s">
        <v>4471</v>
      </c>
      <c r="C173" s="65" t="s">
        <v>55</v>
      </c>
      <c r="D173" s="122"/>
      <c r="E173" s="65"/>
      <c r="F173" s="123"/>
      <c r="G173" s="63"/>
      <c r="H173" s="63"/>
      <c r="I173" s="124"/>
      <c r="J173" s="71"/>
      <c r="K173" s="125"/>
      <c r="L173" s="46"/>
      <c r="M173" s="46"/>
      <c r="N173" s="46"/>
      <c r="O173" s="46"/>
      <c r="P173" s="46"/>
      <c r="Q173" s="46"/>
      <c r="R173" s="46"/>
      <c r="S173" s="46"/>
      <c r="T173" s="46"/>
      <c r="U173" s="46"/>
      <c r="V173" s="46"/>
      <c r="W173" s="47"/>
      <c r="X173" s="47"/>
    </row>
    <row r="174" spans="1:24" ht="15">
      <c r="A174" s="121" t="s">
        <v>3913</v>
      </c>
      <c r="B174" s="65" t="s">
        <v>4472</v>
      </c>
      <c r="C174" s="65" t="s">
        <v>55</v>
      </c>
      <c r="D174" s="122"/>
      <c r="E174" s="65"/>
      <c r="F174" s="123"/>
      <c r="G174" s="63"/>
      <c r="H174" s="63"/>
      <c r="I174" s="124"/>
      <c r="J174" s="71"/>
      <c r="K174" s="125"/>
      <c r="L174" s="46"/>
      <c r="M174" s="46"/>
      <c r="N174" s="46"/>
      <c r="O174" s="46"/>
      <c r="P174" s="46"/>
      <c r="Q174" s="46"/>
      <c r="R174" s="46"/>
      <c r="S174" s="46"/>
      <c r="T174" s="46"/>
      <c r="U174" s="46"/>
      <c r="V174" s="46"/>
      <c r="W174" s="47"/>
      <c r="X174" s="47"/>
    </row>
    <row r="175" spans="1:24" ht="15">
      <c r="A175" s="121" t="s">
        <v>3914</v>
      </c>
      <c r="B175" s="65" t="s">
        <v>4473</v>
      </c>
      <c r="C175" s="65" t="s">
        <v>55</v>
      </c>
      <c r="D175" s="122"/>
      <c r="E175" s="65"/>
      <c r="F175" s="123"/>
      <c r="G175" s="63"/>
      <c r="H175" s="63"/>
      <c r="I175" s="124"/>
      <c r="J175" s="71"/>
      <c r="K175" s="125"/>
      <c r="L175" s="46"/>
      <c r="M175" s="46"/>
      <c r="N175" s="46"/>
      <c r="O175" s="46"/>
      <c r="P175" s="46"/>
      <c r="Q175" s="46"/>
      <c r="R175" s="46"/>
      <c r="S175" s="46"/>
      <c r="T175" s="46"/>
      <c r="U175" s="46"/>
      <c r="V175" s="46"/>
      <c r="W175" s="47"/>
      <c r="X175" s="47"/>
    </row>
    <row r="176" spans="1:24" ht="15">
      <c r="A176" s="121" t="s">
        <v>3915</v>
      </c>
      <c r="B176" s="65" t="s">
        <v>4474</v>
      </c>
      <c r="C176" s="65" t="s">
        <v>55</v>
      </c>
      <c r="D176" s="122"/>
      <c r="E176" s="65"/>
      <c r="F176" s="123"/>
      <c r="G176" s="63"/>
      <c r="H176" s="63"/>
      <c r="I176" s="124"/>
      <c r="J176" s="71"/>
      <c r="K176" s="125"/>
      <c r="L176" s="46"/>
      <c r="M176" s="46"/>
      <c r="N176" s="46"/>
      <c r="O176" s="46"/>
      <c r="P176" s="46"/>
      <c r="Q176" s="46"/>
      <c r="R176" s="46"/>
      <c r="S176" s="46"/>
      <c r="T176" s="46"/>
      <c r="U176" s="46"/>
      <c r="V176" s="46"/>
      <c r="W176" s="47"/>
      <c r="X176" s="47"/>
    </row>
    <row r="177" spans="1:24" ht="15">
      <c r="A177" s="121" t="s">
        <v>3916</v>
      </c>
      <c r="B177" s="65" t="s">
        <v>4475</v>
      </c>
      <c r="C177" s="65" t="s">
        <v>55</v>
      </c>
      <c r="D177" s="122"/>
      <c r="E177" s="65"/>
      <c r="F177" s="123"/>
      <c r="G177" s="63"/>
      <c r="H177" s="63"/>
      <c r="I177" s="124"/>
      <c r="J177" s="71"/>
      <c r="K177" s="125"/>
      <c r="L177" s="46"/>
      <c r="M177" s="46"/>
      <c r="N177" s="46"/>
      <c r="O177" s="46"/>
      <c r="P177" s="46"/>
      <c r="Q177" s="46"/>
      <c r="R177" s="46"/>
      <c r="S177" s="46"/>
      <c r="T177" s="46"/>
      <c r="U177" s="46"/>
      <c r="V177" s="46"/>
      <c r="W177" s="47"/>
      <c r="X177" s="47"/>
    </row>
    <row r="178" spans="1:24" ht="15">
      <c r="A178" s="121" t="s">
        <v>3917</v>
      </c>
      <c r="B178" s="65" t="s">
        <v>4476</v>
      </c>
      <c r="C178" s="65" t="s">
        <v>55</v>
      </c>
      <c r="D178" s="122"/>
      <c r="E178" s="65"/>
      <c r="F178" s="123"/>
      <c r="G178" s="63"/>
      <c r="H178" s="63"/>
      <c r="I178" s="124"/>
      <c r="J178" s="71"/>
      <c r="K178" s="125"/>
      <c r="L178" s="46"/>
      <c r="M178" s="46"/>
      <c r="N178" s="46"/>
      <c r="O178" s="46"/>
      <c r="P178" s="46"/>
      <c r="Q178" s="46"/>
      <c r="R178" s="46"/>
      <c r="S178" s="46"/>
      <c r="T178" s="46"/>
      <c r="U178" s="46"/>
      <c r="V178" s="46"/>
      <c r="W178" s="47"/>
      <c r="X178" s="47"/>
    </row>
    <row r="179" spans="1:24" ht="15">
      <c r="A179" s="121" t="s">
        <v>3918</v>
      </c>
      <c r="B179" s="65" t="s">
        <v>4477</v>
      </c>
      <c r="C179" s="65" t="s">
        <v>55</v>
      </c>
      <c r="D179" s="122"/>
      <c r="E179" s="65"/>
      <c r="F179" s="123"/>
      <c r="G179" s="63"/>
      <c r="H179" s="63"/>
      <c r="I179" s="124"/>
      <c r="J179" s="71"/>
      <c r="K179" s="125"/>
      <c r="L179" s="46"/>
      <c r="M179" s="46"/>
      <c r="N179" s="46"/>
      <c r="O179" s="46"/>
      <c r="P179" s="46"/>
      <c r="Q179" s="46"/>
      <c r="R179" s="46"/>
      <c r="S179" s="46"/>
      <c r="T179" s="46"/>
      <c r="U179" s="46"/>
      <c r="V179" s="46"/>
      <c r="W179" s="47"/>
      <c r="X179" s="47"/>
    </row>
    <row r="180" spans="1:24" ht="15">
      <c r="A180" s="121" t="s">
        <v>3919</v>
      </c>
      <c r="B180" s="65" t="s">
        <v>4478</v>
      </c>
      <c r="C180" s="65" t="s">
        <v>55</v>
      </c>
      <c r="D180" s="122"/>
      <c r="E180" s="65"/>
      <c r="F180" s="123"/>
      <c r="G180" s="63"/>
      <c r="H180" s="63"/>
      <c r="I180" s="124"/>
      <c r="J180" s="71"/>
      <c r="K180" s="125"/>
      <c r="L180" s="46"/>
      <c r="M180" s="46"/>
      <c r="N180" s="46"/>
      <c r="O180" s="46"/>
      <c r="P180" s="46"/>
      <c r="Q180" s="46"/>
      <c r="R180" s="46"/>
      <c r="S180" s="46"/>
      <c r="T180" s="46"/>
      <c r="U180" s="46"/>
      <c r="V180" s="46"/>
      <c r="W180" s="47"/>
      <c r="X180" s="47"/>
    </row>
    <row r="181" spans="1:24" ht="15">
      <c r="A181" s="121" t="s">
        <v>3920</v>
      </c>
      <c r="B181" s="65" t="s">
        <v>4479</v>
      </c>
      <c r="C181" s="65" t="s">
        <v>55</v>
      </c>
      <c r="D181" s="122"/>
      <c r="E181" s="65"/>
      <c r="F181" s="123"/>
      <c r="G181" s="63"/>
      <c r="H181" s="63"/>
      <c r="I181" s="124"/>
      <c r="J181" s="71"/>
      <c r="K181" s="125"/>
      <c r="L181" s="46"/>
      <c r="M181" s="46"/>
      <c r="N181" s="46"/>
      <c r="O181" s="46"/>
      <c r="P181" s="46"/>
      <c r="Q181" s="46"/>
      <c r="R181" s="46"/>
      <c r="S181" s="46"/>
      <c r="T181" s="46"/>
      <c r="U181" s="46"/>
      <c r="V181" s="46"/>
      <c r="W181" s="47"/>
      <c r="X181" s="47"/>
    </row>
    <row r="182" spans="1:24" ht="15">
      <c r="A182" s="121" t="s">
        <v>1582</v>
      </c>
      <c r="B182" s="65" t="s">
        <v>4480</v>
      </c>
      <c r="C182" s="65" t="s">
        <v>55</v>
      </c>
      <c r="D182" s="122"/>
      <c r="E182" s="65"/>
      <c r="F182" s="123"/>
      <c r="G182" s="63"/>
      <c r="H182" s="63"/>
      <c r="I182" s="124"/>
      <c r="J182" s="71"/>
      <c r="K182" s="125"/>
      <c r="L182" s="46"/>
      <c r="M182" s="46"/>
      <c r="N182" s="46"/>
      <c r="O182" s="46"/>
      <c r="P182" s="46"/>
      <c r="Q182" s="46"/>
      <c r="R182" s="46"/>
      <c r="S182" s="46"/>
      <c r="T182" s="46"/>
      <c r="U182" s="46"/>
      <c r="V182" s="46"/>
      <c r="W182" s="47"/>
      <c r="X182" s="47"/>
    </row>
    <row r="183" spans="1:24" ht="15">
      <c r="A183" s="121" t="s">
        <v>3921</v>
      </c>
      <c r="B183" s="65" t="s">
        <v>4469</v>
      </c>
      <c r="C183" s="65" t="s">
        <v>58</v>
      </c>
      <c r="D183" s="122"/>
      <c r="E183" s="65"/>
      <c r="F183" s="123"/>
      <c r="G183" s="63"/>
      <c r="H183" s="63"/>
      <c r="I183" s="124"/>
      <c r="J183" s="71"/>
      <c r="K183" s="125"/>
      <c r="L183" s="46"/>
      <c r="M183" s="46"/>
      <c r="N183" s="46"/>
      <c r="O183" s="46"/>
      <c r="P183" s="46"/>
      <c r="Q183" s="46"/>
      <c r="R183" s="46"/>
      <c r="S183" s="46"/>
      <c r="T183" s="46"/>
      <c r="U183" s="46"/>
      <c r="V183" s="46"/>
      <c r="W183" s="47"/>
      <c r="X183" s="47"/>
    </row>
    <row r="184" spans="1:24" ht="15">
      <c r="A184" s="121" t="s">
        <v>3887</v>
      </c>
      <c r="B184" s="65" t="s">
        <v>4470</v>
      </c>
      <c r="C184" s="65" t="s">
        <v>58</v>
      </c>
      <c r="D184" s="122"/>
      <c r="E184" s="65"/>
      <c r="F184" s="123"/>
      <c r="G184" s="63"/>
      <c r="H184" s="63"/>
      <c r="I184" s="124"/>
      <c r="J184" s="71"/>
      <c r="K184" s="125"/>
      <c r="L184" s="46"/>
      <c r="M184" s="46"/>
      <c r="N184" s="46"/>
      <c r="O184" s="46"/>
      <c r="P184" s="46"/>
      <c r="Q184" s="46"/>
      <c r="R184" s="46"/>
      <c r="S184" s="46"/>
      <c r="T184" s="46"/>
      <c r="U184" s="46"/>
      <c r="V184" s="46"/>
      <c r="W184" s="47"/>
      <c r="X184" s="47"/>
    </row>
    <row r="185" spans="1:24" ht="15">
      <c r="A185" s="121" t="s">
        <v>1620</v>
      </c>
      <c r="B185" s="65" t="s">
        <v>4471</v>
      </c>
      <c r="C185" s="65" t="s">
        <v>58</v>
      </c>
      <c r="D185" s="122"/>
      <c r="E185" s="65"/>
      <c r="F185" s="123"/>
      <c r="G185" s="63"/>
      <c r="H185" s="63"/>
      <c r="I185" s="124"/>
      <c r="J185" s="71"/>
      <c r="K185" s="125"/>
      <c r="L185" s="46"/>
      <c r="M185" s="46"/>
      <c r="N185" s="46"/>
      <c r="O185" s="46"/>
      <c r="P185" s="46"/>
      <c r="Q185" s="46"/>
      <c r="R185" s="46"/>
      <c r="S185" s="46"/>
      <c r="T185" s="46"/>
      <c r="U185" s="46"/>
      <c r="V185" s="46"/>
      <c r="W185" s="47"/>
      <c r="X185" s="47"/>
    </row>
    <row r="186" spans="1:24" ht="15">
      <c r="A186" s="121" t="s">
        <v>3922</v>
      </c>
      <c r="B186" s="65" t="s">
        <v>4472</v>
      </c>
      <c r="C186" s="65" t="s">
        <v>58</v>
      </c>
      <c r="D186" s="122"/>
      <c r="E186" s="65"/>
      <c r="F186" s="123"/>
      <c r="G186" s="63"/>
      <c r="H186" s="63"/>
      <c r="I186" s="124"/>
      <c r="J186" s="71"/>
      <c r="K186" s="125"/>
      <c r="L186" s="46"/>
      <c r="M186" s="46"/>
      <c r="N186" s="46"/>
      <c r="O186" s="46"/>
      <c r="P186" s="46"/>
      <c r="Q186" s="46"/>
      <c r="R186" s="46"/>
      <c r="S186" s="46"/>
      <c r="T186" s="46"/>
      <c r="U186" s="46"/>
      <c r="V186" s="46"/>
      <c r="W186" s="47"/>
      <c r="X186" s="47"/>
    </row>
    <row r="187" spans="1:24" ht="15">
      <c r="A187" s="121" t="s">
        <v>1570</v>
      </c>
      <c r="B187" s="65" t="s">
        <v>4473</v>
      </c>
      <c r="C187" s="65" t="s">
        <v>58</v>
      </c>
      <c r="D187" s="122"/>
      <c r="E187" s="65"/>
      <c r="F187" s="123"/>
      <c r="G187" s="63"/>
      <c r="H187" s="63"/>
      <c r="I187" s="124"/>
      <c r="J187" s="71"/>
      <c r="K187" s="125"/>
      <c r="L187" s="46"/>
      <c r="M187" s="46"/>
      <c r="N187" s="46"/>
      <c r="O187" s="46"/>
      <c r="P187" s="46"/>
      <c r="Q187" s="46"/>
      <c r="R187" s="46"/>
      <c r="S187" s="46"/>
      <c r="T187" s="46"/>
      <c r="U187" s="46"/>
      <c r="V187" s="46"/>
      <c r="W187" s="47"/>
      <c r="X187" s="47"/>
    </row>
    <row r="188" spans="1:24" ht="15">
      <c r="A188" s="121" t="s">
        <v>1521</v>
      </c>
      <c r="B188" s="65" t="s">
        <v>4474</v>
      </c>
      <c r="C188" s="65" t="s">
        <v>58</v>
      </c>
      <c r="D188" s="122"/>
      <c r="E188" s="65"/>
      <c r="F188" s="123"/>
      <c r="G188" s="63"/>
      <c r="H188" s="63"/>
      <c r="I188" s="124"/>
      <c r="J188" s="71"/>
      <c r="K188" s="125"/>
      <c r="L188" s="46"/>
      <c r="M188" s="46"/>
      <c r="N188" s="46"/>
      <c r="O188" s="46"/>
      <c r="P188" s="46"/>
      <c r="Q188" s="46"/>
      <c r="R188" s="46"/>
      <c r="S188" s="46"/>
      <c r="T188" s="46"/>
      <c r="U188" s="46"/>
      <c r="V188" s="46"/>
      <c r="W188" s="47"/>
      <c r="X188" s="47"/>
    </row>
    <row r="189" spans="1:24" ht="15">
      <c r="A189" s="121" t="s">
        <v>1559</v>
      </c>
      <c r="B189" s="65" t="s">
        <v>4475</v>
      </c>
      <c r="C189" s="65" t="s">
        <v>58</v>
      </c>
      <c r="D189" s="122"/>
      <c r="E189" s="65"/>
      <c r="F189" s="123"/>
      <c r="G189" s="63"/>
      <c r="H189" s="63"/>
      <c r="I189" s="124"/>
      <c r="J189" s="71"/>
      <c r="K189" s="125"/>
      <c r="L189" s="46"/>
      <c r="M189" s="46"/>
      <c r="N189" s="46"/>
      <c r="O189" s="46"/>
      <c r="P189" s="46"/>
      <c r="Q189" s="46"/>
      <c r="R189" s="46"/>
      <c r="S189" s="46"/>
      <c r="T189" s="46"/>
      <c r="U189" s="46"/>
      <c r="V189" s="46"/>
      <c r="W189" s="47"/>
      <c r="X189" s="47"/>
    </row>
    <row r="190" spans="1:24" ht="15">
      <c r="A190" s="121" t="s">
        <v>1676</v>
      </c>
      <c r="B190" s="65" t="s">
        <v>4476</v>
      </c>
      <c r="C190" s="65" t="s">
        <v>58</v>
      </c>
      <c r="D190" s="122"/>
      <c r="E190" s="65"/>
      <c r="F190" s="123"/>
      <c r="G190" s="63"/>
      <c r="H190" s="63"/>
      <c r="I190" s="124"/>
      <c r="J190" s="71"/>
      <c r="K190" s="125"/>
      <c r="L190" s="46"/>
      <c r="M190" s="46"/>
      <c r="N190" s="46"/>
      <c r="O190" s="46"/>
      <c r="P190" s="46"/>
      <c r="Q190" s="46"/>
      <c r="R190" s="46"/>
      <c r="S190" s="46"/>
      <c r="T190" s="46"/>
      <c r="U190" s="46"/>
      <c r="V190" s="46"/>
      <c r="W190" s="47"/>
      <c r="X190" s="47"/>
    </row>
    <row r="191" spans="1:24" ht="15">
      <c r="A191" s="121" t="s">
        <v>3948</v>
      </c>
      <c r="B191" s="65" t="s">
        <v>4477</v>
      </c>
      <c r="C191" s="65" t="s">
        <v>58</v>
      </c>
      <c r="D191" s="122"/>
      <c r="E191" s="65"/>
      <c r="F191" s="123"/>
      <c r="G191" s="63"/>
      <c r="H191" s="63"/>
      <c r="I191" s="124"/>
      <c r="J191" s="71"/>
      <c r="K191" s="125"/>
      <c r="L191" s="46"/>
      <c r="M191" s="46"/>
      <c r="N191" s="46"/>
      <c r="O191" s="46"/>
      <c r="P191" s="46"/>
      <c r="Q191" s="46"/>
      <c r="R191" s="46"/>
      <c r="S191" s="46"/>
      <c r="T191" s="46"/>
      <c r="U191" s="46"/>
      <c r="V191" s="46"/>
      <c r="W191" s="47"/>
      <c r="X191" s="47"/>
    </row>
    <row r="192" spans="1:24" ht="15">
      <c r="A192" s="121" t="s">
        <v>3754</v>
      </c>
      <c r="B192" s="65" t="s">
        <v>4478</v>
      </c>
      <c r="C192" s="65" t="s">
        <v>58</v>
      </c>
      <c r="D192" s="122"/>
      <c r="E192" s="65"/>
      <c r="F192" s="123"/>
      <c r="G192" s="63"/>
      <c r="H192" s="63"/>
      <c r="I192" s="124"/>
      <c r="J192" s="71"/>
      <c r="K192" s="125"/>
      <c r="L192" s="46"/>
      <c r="M192" s="46"/>
      <c r="N192" s="46"/>
      <c r="O192" s="46"/>
      <c r="P192" s="46"/>
      <c r="Q192" s="46"/>
      <c r="R192" s="46"/>
      <c r="S192" s="46"/>
      <c r="T192" s="46"/>
      <c r="U192" s="46"/>
      <c r="V192" s="46"/>
      <c r="W192" s="47"/>
      <c r="X192" s="47"/>
    </row>
    <row r="193" spans="1:24" ht="15">
      <c r="A193" s="121" t="s">
        <v>3756</v>
      </c>
      <c r="B193" s="65" t="s">
        <v>4479</v>
      </c>
      <c r="C193" s="65" t="s">
        <v>58</v>
      </c>
      <c r="D193" s="122"/>
      <c r="E193" s="65"/>
      <c r="F193" s="123"/>
      <c r="G193" s="63"/>
      <c r="H193" s="63"/>
      <c r="I193" s="124"/>
      <c r="J193" s="71"/>
      <c r="K193" s="125"/>
      <c r="L193" s="46"/>
      <c r="M193" s="46"/>
      <c r="N193" s="46"/>
      <c r="O193" s="46"/>
      <c r="P193" s="46"/>
      <c r="Q193" s="46"/>
      <c r="R193" s="46"/>
      <c r="S193" s="46"/>
      <c r="T193" s="46"/>
      <c r="U193" s="46"/>
      <c r="V193" s="46"/>
      <c r="W193" s="47"/>
      <c r="X193" s="47"/>
    </row>
    <row r="194" spans="1:24" ht="15">
      <c r="A194" s="121" t="s">
        <v>3757</v>
      </c>
      <c r="B194" s="65" t="s">
        <v>4480</v>
      </c>
      <c r="C194" s="65" t="s">
        <v>58</v>
      </c>
      <c r="D194" s="122"/>
      <c r="E194" s="65"/>
      <c r="F194" s="123"/>
      <c r="G194" s="63"/>
      <c r="H194" s="63"/>
      <c r="I194" s="124"/>
      <c r="J194" s="71"/>
      <c r="K194" s="125"/>
      <c r="L194" s="46"/>
      <c r="M194" s="46"/>
      <c r="N194" s="46"/>
      <c r="O194" s="46"/>
      <c r="P194" s="46"/>
      <c r="Q194" s="46"/>
      <c r="R194" s="46"/>
      <c r="S194" s="46"/>
      <c r="T194" s="46"/>
      <c r="U194" s="46"/>
      <c r="V194" s="46"/>
      <c r="W194" s="47"/>
      <c r="X194" s="47"/>
    </row>
    <row r="195" spans="1:24" ht="15">
      <c r="A195" s="121" t="s">
        <v>3758</v>
      </c>
      <c r="B195" s="65" t="s">
        <v>4469</v>
      </c>
      <c r="C195" s="65" t="s">
        <v>60</v>
      </c>
      <c r="D195" s="122"/>
      <c r="E195" s="65"/>
      <c r="F195" s="123"/>
      <c r="G195" s="63"/>
      <c r="H195" s="63"/>
      <c r="I195" s="124"/>
      <c r="J195" s="71"/>
      <c r="K195" s="125"/>
      <c r="L195" s="46"/>
      <c r="M195" s="46"/>
      <c r="N195" s="46"/>
      <c r="O195" s="46"/>
      <c r="P195" s="46"/>
      <c r="Q195" s="46"/>
      <c r="R195" s="46"/>
      <c r="S195" s="46"/>
      <c r="T195" s="46"/>
      <c r="U195" s="46"/>
      <c r="V195" s="46"/>
      <c r="W195" s="47"/>
      <c r="X195" s="47"/>
    </row>
    <row r="196" spans="1:24" ht="15">
      <c r="A196" s="121" t="s">
        <v>3759</v>
      </c>
      <c r="B196" s="65" t="s">
        <v>4470</v>
      </c>
      <c r="C196" s="65" t="s">
        <v>60</v>
      </c>
      <c r="D196" s="122"/>
      <c r="E196" s="65"/>
      <c r="F196" s="123"/>
      <c r="G196" s="63"/>
      <c r="H196" s="63"/>
      <c r="I196" s="124"/>
      <c r="J196" s="71"/>
      <c r="K196" s="125"/>
      <c r="L196" s="46"/>
      <c r="M196" s="46"/>
      <c r="N196" s="46"/>
      <c r="O196" s="46"/>
      <c r="P196" s="46"/>
      <c r="Q196" s="46"/>
      <c r="R196" s="46"/>
      <c r="S196" s="46"/>
      <c r="T196" s="46"/>
      <c r="U196" s="46"/>
      <c r="V196" s="46"/>
      <c r="W196" s="47"/>
      <c r="X196" s="47"/>
    </row>
    <row r="197" spans="1:24" ht="15">
      <c r="A197" s="121" t="s">
        <v>3760</v>
      </c>
      <c r="B197" s="65" t="s">
        <v>4471</v>
      </c>
      <c r="C197" s="65" t="s">
        <v>60</v>
      </c>
      <c r="D197" s="122"/>
      <c r="E197" s="65"/>
      <c r="F197" s="123"/>
      <c r="G197" s="63"/>
      <c r="H197" s="63"/>
      <c r="I197" s="124"/>
      <c r="J197" s="71"/>
      <c r="K197" s="125"/>
      <c r="L197" s="46"/>
      <c r="M197" s="46"/>
      <c r="N197" s="46"/>
      <c r="O197" s="46"/>
      <c r="P197" s="46"/>
      <c r="Q197" s="46"/>
      <c r="R197" s="46"/>
      <c r="S197" s="46"/>
      <c r="T197" s="46"/>
      <c r="U197" s="46"/>
      <c r="V197" s="46"/>
      <c r="W197" s="47"/>
      <c r="X197" s="47"/>
    </row>
    <row r="198" spans="1:24" ht="15">
      <c r="A198" s="121" t="s">
        <v>3761</v>
      </c>
      <c r="B198" s="65" t="s">
        <v>4472</v>
      </c>
      <c r="C198" s="65" t="s">
        <v>60</v>
      </c>
      <c r="D198" s="122"/>
      <c r="E198" s="65"/>
      <c r="F198" s="123"/>
      <c r="G198" s="63"/>
      <c r="H198" s="63"/>
      <c r="I198" s="124"/>
      <c r="J198" s="71"/>
      <c r="K198" s="125"/>
      <c r="L198" s="46"/>
      <c r="M198" s="46"/>
      <c r="N198" s="46"/>
      <c r="O198" s="46"/>
      <c r="P198" s="46"/>
      <c r="Q198" s="46"/>
      <c r="R198" s="46"/>
      <c r="S198" s="46"/>
      <c r="T198" s="46"/>
      <c r="U198" s="46"/>
      <c r="V198" s="46"/>
      <c r="W198" s="47"/>
      <c r="X198" s="47"/>
    </row>
    <row r="199" spans="1:24" ht="15">
      <c r="A199" s="121" t="s">
        <v>3762</v>
      </c>
      <c r="B199" s="65" t="s">
        <v>4473</v>
      </c>
      <c r="C199" s="65" t="s">
        <v>60</v>
      </c>
      <c r="D199" s="122"/>
      <c r="E199" s="65"/>
      <c r="F199" s="123"/>
      <c r="G199" s="63"/>
      <c r="H199" s="63"/>
      <c r="I199" s="124"/>
      <c r="J199" s="71"/>
      <c r="K199" s="125"/>
      <c r="L199" s="46"/>
      <c r="M199" s="46"/>
      <c r="N199" s="46"/>
      <c r="O199" s="46"/>
      <c r="P199" s="46"/>
      <c r="Q199" s="46"/>
      <c r="R199" s="46"/>
      <c r="S199" s="46"/>
      <c r="T199" s="46"/>
      <c r="U199" s="46"/>
      <c r="V199" s="46"/>
      <c r="W199" s="47"/>
      <c r="X199" s="47"/>
    </row>
    <row r="200" spans="1:24" ht="15">
      <c r="A200" s="121" t="s">
        <v>3763</v>
      </c>
      <c r="B200" s="65" t="s">
        <v>4474</v>
      </c>
      <c r="C200" s="65" t="s">
        <v>60</v>
      </c>
      <c r="D200" s="122"/>
      <c r="E200" s="65"/>
      <c r="F200" s="123"/>
      <c r="G200" s="63"/>
      <c r="H200" s="63"/>
      <c r="I200" s="124"/>
      <c r="J200" s="71"/>
      <c r="K200" s="125"/>
      <c r="L200" s="46"/>
      <c r="M200" s="46"/>
      <c r="N200" s="46"/>
      <c r="O200" s="46"/>
      <c r="P200" s="46"/>
      <c r="Q200" s="46"/>
      <c r="R200" s="46"/>
      <c r="S200" s="46"/>
      <c r="T200" s="46"/>
      <c r="U200" s="46"/>
      <c r="V200" s="46"/>
      <c r="W200" s="47"/>
      <c r="X200" s="47"/>
    </row>
    <row r="201" spans="1:24" ht="15">
      <c r="A201" s="121" t="s">
        <v>3764</v>
      </c>
      <c r="B201" s="65" t="s">
        <v>4475</v>
      </c>
      <c r="C201" s="65" t="s">
        <v>60</v>
      </c>
      <c r="D201" s="122"/>
      <c r="E201" s="65"/>
      <c r="F201" s="123"/>
      <c r="G201" s="63"/>
      <c r="H201" s="63"/>
      <c r="I201" s="124"/>
      <c r="J201" s="71"/>
      <c r="K201" s="125"/>
      <c r="L201" s="46"/>
      <c r="M201" s="46"/>
      <c r="N201" s="46"/>
      <c r="O201" s="46"/>
      <c r="P201" s="46"/>
      <c r="Q201" s="46"/>
      <c r="R201" s="46"/>
      <c r="S201" s="46"/>
      <c r="T201" s="46"/>
      <c r="U201" s="46"/>
      <c r="V201" s="46"/>
      <c r="W201" s="47"/>
      <c r="X201" s="47"/>
    </row>
    <row r="202" spans="1:24" ht="15">
      <c r="A202" s="121" t="s">
        <v>3765</v>
      </c>
      <c r="B202" s="65" t="s">
        <v>4476</v>
      </c>
      <c r="C202" s="65" t="s">
        <v>60</v>
      </c>
      <c r="D202" s="122"/>
      <c r="E202" s="65"/>
      <c r="F202" s="123"/>
      <c r="G202" s="63"/>
      <c r="H202" s="63"/>
      <c r="I202" s="124"/>
      <c r="J202" s="71"/>
      <c r="K202" s="125"/>
      <c r="L202" s="46"/>
      <c r="M202" s="46"/>
      <c r="N202" s="46"/>
      <c r="O202" s="46"/>
      <c r="P202" s="46"/>
      <c r="Q202" s="46"/>
      <c r="R202" s="46"/>
      <c r="S202" s="46"/>
      <c r="T202" s="46"/>
      <c r="U202" s="46"/>
      <c r="V202" s="46"/>
      <c r="W202" s="47"/>
      <c r="X202" s="47"/>
    </row>
    <row r="203" spans="1:24" ht="15">
      <c r="A203" s="121" t="s">
        <v>1485</v>
      </c>
      <c r="B203" s="65" t="s">
        <v>4477</v>
      </c>
      <c r="C203" s="65" t="s">
        <v>60</v>
      </c>
      <c r="D203" s="122"/>
      <c r="E203" s="65"/>
      <c r="F203" s="123"/>
      <c r="G203" s="63"/>
      <c r="H203" s="63"/>
      <c r="I203" s="124"/>
      <c r="J203" s="71"/>
      <c r="K203" s="125"/>
      <c r="L203" s="46"/>
      <c r="M203" s="46"/>
      <c r="N203" s="46"/>
      <c r="O203" s="46"/>
      <c r="P203" s="46"/>
      <c r="Q203" s="46"/>
      <c r="R203" s="46"/>
      <c r="S203" s="46"/>
      <c r="T203" s="46"/>
      <c r="U203" s="46"/>
      <c r="V203" s="46"/>
      <c r="W203" s="47"/>
      <c r="X203" s="47"/>
    </row>
    <row r="204" spans="1:24" ht="15">
      <c r="A204" s="121" t="s">
        <v>1486</v>
      </c>
      <c r="B204" s="65" t="s">
        <v>4478</v>
      </c>
      <c r="C204" s="65" t="s">
        <v>60</v>
      </c>
      <c r="D204" s="122"/>
      <c r="E204" s="65"/>
      <c r="F204" s="123"/>
      <c r="G204" s="63"/>
      <c r="H204" s="63"/>
      <c r="I204" s="124"/>
      <c r="J204" s="71"/>
      <c r="K204" s="125"/>
      <c r="L204" s="46"/>
      <c r="M204" s="46"/>
      <c r="N204" s="46"/>
      <c r="O204" s="46"/>
      <c r="P204" s="46"/>
      <c r="Q204" s="46"/>
      <c r="R204" s="46"/>
      <c r="S204" s="46"/>
      <c r="T204" s="46"/>
      <c r="U204" s="46"/>
      <c r="V204" s="46"/>
      <c r="W204" s="47"/>
      <c r="X204" s="47"/>
    </row>
    <row r="205" spans="1:24" ht="15">
      <c r="A205" s="121" t="s">
        <v>1487</v>
      </c>
      <c r="B205" s="65" t="s">
        <v>4479</v>
      </c>
      <c r="C205" s="65" t="s">
        <v>60</v>
      </c>
      <c r="D205" s="122"/>
      <c r="E205" s="65"/>
      <c r="F205" s="123"/>
      <c r="G205" s="63"/>
      <c r="H205" s="63"/>
      <c r="I205" s="124"/>
      <c r="J205" s="71"/>
      <c r="K205" s="125"/>
      <c r="L205" s="46"/>
      <c r="M205" s="46"/>
      <c r="N205" s="46"/>
      <c r="O205" s="46"/>
      <c r="P205" s="46"/>
      <c r="Q205" s="46"/>
      <c r="R205" s="46"/>
      <c r="S205" s="46"/>
      <c r="T205" s="46"/>
      <c r="U205" s="46"/>
      <c r="V205" s="46"/>
      <c r="W205" s="47"/>
      <c r="X205" s="47"/>
    </row>
    <row r="206" spans="1:24" ht="15">
      <c r="A206" s="121" t="s">
        <v>3819</v>
      </c>
      <c r="B206" s="65" t="s">
        <v>4480</v>
      </c>
      <c r="C206" s="65" t="s">
        <v>60</v>
      </c>
      <c r="D206" s="122"/>
      <c r="E206" s="65"/>
      <c r="F206" s="123"/>
      <c r="G206" s="63"/>
      <c r="H206" s="63"/>
      <c r="I206" s="124"/>
      <c r="J206" s="71"/>
      <c r="K206" s="125"/>
      <c r="L206" s="46"/>
      <c r="M206" s="46"/>
      <c r="N206" s="46"/>
      <c r="O206" s="46"/>
      <c r="P206" s="46"/>
      <c r="Q206" s="46"/>
      <c r="R206" s="46"/>
      <c r="S206" s="46"/>
      <c r="T206" s="46"/>
      <c r="U206" s="46"/>
      <c r="V206" s="46"/>
      <c r="W206" s="47"/>
      <c r="X206" s="47"/>
    </row>
    <row r="207" spans="1:24" ht="15">
      <c r="A207" s="121" t="s">
        <v>3820</v>
      </c>
      <c r="B207" s="65" t="s">
        <v>4469</v>
      </c>
      <c r="C207" s="65" t="s">
        <v>62</v>
      </c>
      <c r="D207" s="122"/>
      <c r="E207" s="65"/>
      <c r="F207" s="123"/>
      <c r="G207" s="63"/>
      <c r="H207" s="63"/>
      <c r="I207" s="124"/>
      <c r="J207" s="71"/>
      <c r="K207" s="125"/>
      <c r="L207" s="46"/>
      <c r="M207" s="46"/>
      <c r="N207" s="46"/>
      <c r="O207" s="46"/>
      <c r="P207" s="46"/>
      <c r="Q207" s="46"/>
      <c r="R207" s="46"/>
      <c r="S207" s="46"/>
      <c r="T207" s="46"/>
      <c r="U207" s="46"/>
      <c r="V207" s="46"/>
      <c r="W207" s="47"/>
      <c r="X207" s="47"/>
    </row>
    <row r="208" spans="1:24" ht="15">
      <c r="A208" s="121" t="s">
        <v>3821</v>
      </c>
      <c r="B208" s="65" t="s">
        <v>4470</v>
      </c>
      <c r="C208" s="65" t="s">
        <v>62</v>
      </c>
      <c r="D208" s="122"/>
      <c r="E208" s="65"/>
      <c r="F208" s="123"/>
      <c r="G208" s="63"/>
      <c r="H208" s="63"/>
      <c r="I208" s="124"/>
      <c r="J208" s="71"/>
      <c r="K208" s="125"/>
      <c r="L208" s="46"/>
      <c r="M208" s="46"/>
      <c r="N208" s="46"/>
      <c r="O208" s="46"/>
      <c r="P208" s="46"/>
      <c r="Q208" s="46"/>
      <c r="R208" s="46"/>
      <c r="S208" s="46"/>
      <c r="T208" s="46"/>
      <c r="U208" s="46"/>
      <c r="V208" s="46"/>
      <c r="W208" s="47"/>
      <c r="X208" s="47"/>
    </row>
    <row r="209" spans="1:24" ht="15">
      <c r="A209" s="121" t="s">
        <v>3822</v>
      </c>
      <c r="B209" s="65" t="s">
        <v>4471</v>
      </c>
      <c r="C209" s="65" t="s">
        <v>62</v>
      </c>
      <c r="D209" s="122"/>
      <c r="E209" s="65"/>
      <c r="F209" s="123"/>
      <c r="G209" s="63"/>
      <c r="H209" s="63"/>
      <c r="I209" s="124"/>
      <c r="J209" s="71"/>
      <c r="K209" s="125"/>
      <c r="L209" s="46"/>
      <c r="M209" s="46"/>
      <c r="N209" s="46"/>
      <c r="O209" s="46"/>
      <c r="P209" s="46"/>
      <c r="Q209" s="46"/>
      <c r="R209" s="46"/>
      <c r="S209" s="46"/>
      <c r="T209" s="46"/>
      <c r="U209" s="46"/>
      <c r="V209" s="46"/>
      <c r="W209" s="47"/>
      <c r="X209" s="47"/>
    </row>
    <row r="210" spans="1:24" ht="15">
      <c r="A210" s="121" t="s">
        <v>3823</v>
      </c>
      <c r="B210" s="65" t="s">
        <v>4472</v>
      </c>
      <c r="C210" s="65" t="s">
        <v>62</v>
      </c>
      <c r="D210" s="122"/>
      <c r="E210" s="65"/>
      <c r="F210" s="123"/>
      <c r="G210" s="63"/>
      <c r="H210" s="63"/>
      <c r="I210" s="124"/>
      <c r="J210" s="71"/>
      <c r="K210" s="125"/>
      <c r="L210" s="46"/>
      <c r="M210" s="46"/>
      <c r="N210" s="46"/>
      <c r="O210" s="46"/>
      <c r="P210" s="46"/>
      <c r="Q210" s="46"/>
      <c r="R210" s="46"/>
      <c r="S210" s="46"/>
      <c r="T210" s="46"/>
      <c r="U210" s="46"/>
      <c r="V210" s="46"/>
      <c r="W210" s="47"/>
      <c r="X210" s="47"/>
    </row>
    <row r="211" spans="1:24" ht="15">
      <c r="A211" s="121" t="s">
        <v>3824</v>
      </c>
      <c r="B211" s="65" t="s">
        <v>4473</v>
      </c>
      <c r="C211" s="65" t="s">
        <v>62</v>
      </c>
      <c r="D211" s="122"/>
      <c r="E211" s="65"/>
      <c r="F211" s="123"/>
      <c r="G211" s="63"/>
      <c r="H211" s="63"/>
      <c r="I211" s="124"/>
      <c r="J211" s="71"/>
      <c r="K211" s="125"/>
      <c r="L211" s="46"/>
      <c r="M211" s="46"/>
      <c r="N211" s="46"/>
      <c r="O211" s="46"/>
      <c r="P211" s="46"/>
      <c r="Q211" s="46"/>
      <c r="R211" s="46"/>
      <c r="S211" s="46"/>
      <c r="T211" s="46"/>
      <c r="U211" s="46"/>
      <c r="V211" s="46"/>
      <c r="W211" s="47"/>
      <c r="X211" s="47"/>
    </row>
    <row r="212" spans="1:24" ht="15">
      <c r="A212" s="121" t="s">
        <v>3825</v>
      </c>
      <c r="B212" s="65" t="s">
        <v>4474</v>
      </c>
      <c r="C212" s="65" t="s">
        <v>62</v>
      </c>
      <c r="D212" s="122"/>
      <c r="E212" s="65"/>
      <c r="F212" s="123"/>
      <c r="G212" s="63"/>
      <c r="H212" s="63"/>
      <c r="I212" s="124"/>
      <c r="J212" s="71"/>
      <c r="K212" s="125"/>
      <c r="L212" s="46"/>
      <c r="M212" s="46"/>
      <c r="N212" s="46"/>
      <c r="O212" s="46"/>
      <c r="P212" s="46"/>
      <c r="Q212" s="46"/>
      <c r="R212" s="46"/>
      <c r="S212" s="46"/>
      <c r="T212" s="46"/>
      <c r="U212" s="46"/>
      <c r="V212" s="46"/>
      <c r="W212" s="47"/>
      <c r="X212" s="47"/>
    </row>
    <row r="213" spans="1:24" ht="15">
      <c r="A213" s="121" t="s">
        <v>3826</v>
      </c>
      <c r="B213" s="65" t="s">
        <v>4475</v>
      </c>
      <c r="C213" s="65" t="s">
        <v>62</v>
      </c>
      <c r="D213" s="122"/>
      <c r="E213" s="65"/>
      <c r="F213" s="123"/>
      <c r="G213" s="63"/>
      <c r="H213" s="63"/>
      <c r="I213" s="124"/>
      <c r="J213" s="71"/>
      <c r="K213" s="125"/>
      <c r="L213" s="46"/>
      <c r="M213" s="46"/>
      <c r="N213" s="46"/>
      <c r="O213" s="46"/>
      <c r="P213" s="46"/>
      <c r="Q213" s="46"/>
      <c r="R213" s="46"/>
      <c r="S213" s="46"/>
      <c r="T213" s="46"/>
      <c r="U213" s="46"/>
      <c r="V213" s="46"/>
      <c r="W213" s="47"/>
      <c r="X213" s="47"/>
    </row>
    <row r="214" spans="1:24" ht="15">
      <c r="A214" s="121" t="s">
        <v>3827</v>
      </c>
      <c r="B214" s="65" t="s">
        <v>4476</v>
      </c>
      <c r="C214" s="65" t="s">
        <v>62</v>
      </c>
      <c r="D214" s="122"/>
      <c r="E214" s="65"/>
      <c r="F214" s="123"/>
      <c r="G214" s="63"/>
      <c r="H214" s="63"/>
      <c r="I214" s="124"/>
      <c r="J214" s="71"/>
      <c r="K214" s="125"/>
      <c r="L214" s="46"/>
      <c r="M214" s="46"/>
      <c r="N214" s="46"/>
      <c r="O214" s="46"/>
      <c r="P214" s="46"/>
      <c r="Q214" s="46"/>
      <c r="R214" s="46"/>
      <c r="S214" s="46"/>
      <c r="T214" s="46"/>
      <c r="U214" s="46"/>
      <c r="V214" s="46"/>
      <c r="W214" s="47"/>
      <c r="X214" s="47"/>
    </row>
    <row r="215" spans="1:24" ht="15">
      <c r="A215" s="121" t="s">
        <v>3722</v>
      </c>
      <c r="B215" s="65" t="s">
        <v>4477</v>
      </c>
      <c r="C215" s="65" t="s">
        <v>62</v>
      </c>
      <c r="D215" s="122"/>
      <c r="E215" s="65"/>
      <c r="F215" s="123"/>
      <c r="G215" s="63"/>
      <c r="H215" s="63"/>
      <c r="I215" s="124"/>
      <c r="J215" s="71"/>
      <c r="K215" s="125"/>
      <c r="L215" s="46"/>
      <c r="M215" s="46"/>
      <c r="N215" s="46"/>
      <c r="O215" s="46"/>
      <c r="P215" s="46"/>
      <c r="Q215" s="46"/>
      <c r="R215" s="46"/>
      <c r="S215" s="46"/>
      <c r="T215" s="46"/>
      <c r="U215" s="46"/>
      <c r="V215" s="46"/>
      <c r="W215" s="47"/>
      <c r="X215" s="47"/>
    </row>
    <row r="216" spans="1:24" ht="15">
      <c r="A216" s="121" t="s">
        <v>3723</v>
      </c>
      <c r="B216" s="65" t="s">
        <v>4478</v>
      </c>
      <c r="C216" s="65" t="s">
        <v>62</v>
      </c>
      <c r="D216" s="122"/>
      <c r="E216" s="65"/>
      <c r="F216" s="123"/>
      <c r="G216" s="63"/>
      <c r="H216" s="63"/>
      <c r="I216" s="124"/>
      <c r="J216" s="71"/>
      <c r="K216" s="125"/>
      <c r="L216" s="46"/>
      <c r="M216" s="46"/>
      <c r="N216" s="46"/>
      <c r="O216" s="46"/>
      <c r="P216" s="46"/>
      <c r="Q216" s="46"/>
      <c r="R216" s="46"/>
      <c r="S216" s="46"/>
      <c r="T216" s="46"/>
      <c r="U216" s="46"/>
      <c r="V216" s="46"/>
      <c r="W216" s="47"/>
      <c r="X216" s="47"/>
    </row>
    <row r="217" spans="1:24" ht="15">
      <c r="A217" s="121" t="s">
        <v>3725</v>
      </c>
      <c r="B217" s="65" t="s">
        <v>4479</v>
      </c>
      <c r="C217" s="65" t="s">
        <v>62</v>
      </c>
      <c r="D217" s="122"/>
      <c r="E217" s="65"/>
      <c r="F217" s="123"/>
      <c r="G217" s="63"/>
      <c r="H217" s="63"/>
      <c r="I217" s="124"/>
      <c r="J217" s="71"/>
      <c r="K217" s="125"/>
      <c r="L217" s="46"/>
      <c r="M217" s="46"/>
      <c r="N217" s="46"/>
      <c r="O217" s="46"/>
      <c r="P217" s="46"/>
      <c r="Q217" s="46"/>
      <c r="R217" s="46"/>
      <c r="S217" s="46"/>
      <c r="T217" s="46"/>
      <c r="U217" s="46"/>
      <c r="V217" s="46"/>
      <c r="W217" s="47"/>
      <c r="X217" s="47"/>
    </row>
    <row r="218" spans="1:24" ht="15">
      <c r="A218" s="121" t="s">
        <v>3726</v>
      </c>
      <c r="B218" s="65" t="s">
        <v>4480</v>
      </c>
      <c r="C218" s="65" t="s">
        <v>62</v>
      </c>
      <c r="D218" s="122"/>
      <c r="E218" s="65"/>
      <c r="F218" s="123"/>
      <c r="G218" s="63"/>
      <c r="H218" s="63"/>
      <c r="I218" s="124"/>
      <c r="J218" s="71"/>
      <c r="K218" s="125"/>
      <c r="L218" s="46"/>
      <c r="M218" s="46"/>
      <c r="N218" s="46"/>
      <c r="O218" s="46"/>
      <c r="P218" s="46"/>
      <c r="Q218" s="46"/>
      <c r="R218" s="46"/>
      <c r="S218" s="46"/>
      <c r="T218" s="46"/>
      <c r="U218" s="46"/>
      <c r="V218" s="46"/>
      <c r="W218" s="47"/>
      <c r="X218" s="47"/>
    </row>
    <row r="219" spans="1:24" ht="15">
      <c r="A219" s="121" t="s">
        <v>3727</v>
      </c>
      <c r="B219" s="65" t="s">
        <v>4481</v>
      </c>
      <c r="C219" s="65" t="s">
        <v>56</v>
      </c>
      <c r="D219" s="122"/>
      <c r="E219" s="65"/>
      <c r="F219" s="123"/>
      <c r="G219" s="63"/>
      <c r="H219" s="63"/>
      <c r="I219" s="124"/>
      <c r="J219" s="71"/>
      <c r="K219" s="125"/>
      <c r="L219" s="46"/>
      <c r="M219" s="46"/>
      <c r="N219" s="46"/>
      <c r="O219" s="46"/>
      <c r="P219" s="46"/>
      <c r="Q219" s="46"/>
      <c r="R219" s="46"/>
      <c r="S219" s="46"/>
      <c r="T219" s="46"/>
      <c r="U219" s="46"/>
      <c r="V219" s="46"/>
      <c r="W219" s="47"/>
      <c r="X219" s="47"/>
    </row>
    <row r="220" spans="1:24" ht="15">
      <c r="A220" s="121" t="s">
        <v>3728</v>
      </c>
      <c r="B220" s="65" t="s">
        <v>4482</v>
      </c>
      <c r="C220" s="65" t="s">
        <v>56</v>
      </c>
      <c r="D220" s="122"/>
      <c r="E220" s="65"/>
      <c r="F220" s="123"/>
      <c r="G220" s="63"/>
      <c r="H220" s="63"/>
      <c r="I220" s="124"/>
      <c r="J220" s="71"/>
      <c r="K220" s="125"/>
      <c r="L220" s="46"/>
      <c r="M220" s="46"/>
      <c r="N220" s="46"/>
      <c r="O220" s="46"/>
      <c r="P220" s="46"/>
      <c r="Q220" s="46"/>
      <c r="R220" s="46"/>
      <c r="S220" s="46"/>
      <c r="T220" s="46"/>
      <c r="U220" s="46"/>
      <c r="V220" s="46"/>
      <c r="W220" s="47"/>
      <c r="X220" s="47"/>
    </row>
    <row r="221" spans="1:24" ht="15">
      <c r="A221" s="121" t="s">
        <v>3729</v>
      </c>
      <c r="B221" s="65" t="s">
        <v>4483</v>
      </c>
      <c r="C221" s="65" t="s">
        <v>56</v>
      </c>
      <c r="D221" s="122"/>
      <c r="E221" s="65"/>
      <c r="F221" s="123"/>
      <c r="G221" s="63"/>
      <c r="H221" s="63"/>
      <c r="I221" s="124"/>
      <c r="J221" s="71"/>
      <c r="K221" s="125"/>
      <c r="L221" s="46"/>
      <c r="M221" s="46"/>
      <c r="N221" s="46"/>
      <c r="O221" s="46"/>
      <c r="P221" s="46"/>
      <c r="Q221" s="46"/>
      <c r="R221" s="46"/>
      <c r="S221" s="46"/>
      <c r="T221" s="46"/>
      <c r="U221" s="46"/>
      <c r="V221" s="46"/>
      <c r="W221" s="47"/>
      <c r="X221" s="47"/>
    </row>
    <row r="222" spans="1:24" ht="15">
      <c r="A222" s="121" t="s">
        <v>3730</v>
      </c>
      <c r="B222" s="65" t="s">
        <v>4484</v>
      </c>
      <c r="C222" s="65" t="s">
        <v>56</v>
      </c>
      <c r="D222" s="122"/>
      <c r="E222" s="65"/>
      <c r="F222" s="123"/>
      <c r="G222" s="63"/>
      <c r="H222" s="63"/>
      <c r="I222" s="124"/>
      <c r="J222" s="71"/>
      <c r="K222" s="125"/>
      <c r="L222" s="46"/>
      <c r="M222" s="46"/>
      <c r="N222" s="46"/>
      <c r="O222" s="46"/>
      <c r="P222" s="46"/>
      <c r="Q222" s="46"/>
      <c r="R222" s="46"/>
      <c r="S222" s="46"/>
      <c r="T222" s="46"/>
      <c r="U222" s="46"/>
      <c r="V222" s="46"/>
      <c r="W222" s="47"/>
      <c r="X222" s="47"/>
    </row>
    <row r="223" spans="1:24" ht="15">
      <c r="A223" s="121" t="s">
        <v>3731</v>
      </c>
      <c r="B223" s="65" t="s">
        <v>4485</v>
      </c>
      <c r="C223" s="65" t="s">
        <v>56</v>
      </c>
      <c r="D223" s="122"/>
      <c r="E223" s="65"/>
      <c r="F223" s="123"/>
      <c r="G223" s="63"/>
      <c r="H223" s="63"/>
      <c r="I223" s="124"/>
      <c r="J223" s="71"/>
      <c r="K223" s="125"/>
      <c r="L223" s="46"/>
      <c r="M223" s="46"/>
      <c r="N223" s="46"/>
      <c r="O223" s="46"/>
      <c r="P223" s="46"/>
      <c r="Q223" s="46"/>
      <c r="R223" s="46"/>
      <c r="S223" s="46"/>
      <c r="T223" s="46"/>
      <c r="U223" s="46"/>
      <c r="V223" s="46"/>
      <c r="W223" s="47"/>
      <c r="X223" s="47"/>
    </row>
    <row r="224" spans="1:24" ht="15">
      <c r="A224" s="121" t="s">
        <v>3732</v>
      </c>
      <c r="B224" s="65" t="s">
        <v>4486</v>
      </c>
      <c r="C224" s="65" t="s">
        <v>56</v>
      </c>
      <c r="D224" s="122"/>
      <c r="E224" s="65"/>
      <c r="F224" s="123"/>
      <c r="G224" s="63"/>
      <c r="H224" s="63"/>
      <c r="I224" s="124"/>
      <c r="J224" s="71"/>
      <c r="K224" s="125"/>
      <c r="L224" s="46"/>
      <c r="M224" s="46"/>
      <c r="N224" s="46"/>
      <c r="O224" s="46"/>
      <c r="P224" s="46"/>
      <c r="Q224" s="46"/>
      <c r="R224" s="46"/>
      <c r="S224" s="46"/>
      <c r="T224" s="46"/>
      <c r="U224" s="46"/>
      <c r="V224" s="46"/>
      <c r="W224" s="47"/>
      <c r="X224" s="47"/>
    </row>
    <row r="225" spans="1:24" ht="15">
      <c r="A225" s="121" t="s">
        <v>3733</v>
      </c>
      <c r="B225" s="65" t="s">
        <v>4487</v>
      </c>
      <c r="C225" s="65" t="s">
        <v>56</v>
      </c>
      <c r="D225" s="122"/>
      <c r="E225" s="65"/>
      <c r="F225" s="123"/>
      <c r="G225" s="63"/>
      <c r="H225" s="63"/>
      <c r="I225" s="124"/>
      <c r="J225" s="71"/>
      <c r="K225" s="125"/>
      <c r="L225" s="46"/>
      <c r="M225" s="46"/>
      <c r="N225" s="46"/>
      <c r="O225" s="46"/>
      <c r="P225" s="46"/>
      <c r="Q225" s="46"/>
      <c r="R225" s="46"/>
      <c r="S225" s="46"/>
      <c r="T225" s="46"/>
      <c r="U225" s="46"/>
      <c r="V225" s="46"/>
      <c r="W225" s="47"/>
      <c r="X225" s="47"/>
    </row>
    <row r="226" spans="1:24" ht="15">
      <c r="A226" s="121" t="s">
        <v>3734</v>
      </c>
      <c r="B226" s="65" t="s">
        <v>4488</v>
      </c>
      <c r="C226" s="65" t="s">
        <v>56</v>
      </c>
      <c r="D226" s="122"/>
      <c r="E226" s="65"/>
      <c r="F226" s="123"/>
      <c r="G226" s="63"/>
      <c r="H226" s="63"/>
      <c r="I226" s="124"/>
      <c r="J226" s="71"/>
      <c r="K226" s="125"/>
      <c r="L226" s="46"/>
      <c r="M226" s="46"/>
      <c r="N226" s="46"/>
      <c r="O226" s="46"/>
      <c r="P226" s="46"/>
      <c r="Q226" s="46"/>
      <c r="R226" s="46"/>
      <c r="S226" s="46"/>
      <c r="T226" s="46"/>
      <c r="U226" s="46"/>
      <c r="V226" s="46"/>
      <c r="W226" s="47"/>
      <c r="X226" s="47"/>
    </row>
    <row r="227" spans="1:24" ht="15">
      <c r="A227" s="121" t="s">
        <v>3735</v>
      </c>
      <c r="B227" s="65" t="s">
        <v>4489</v>
      </c>
      <c r="C227" s="65" t="s">
        <v>56</v>
      </c>
      <c r="D227" s="122"/>
      <c r="E227" s="65"/>
      <c r="F227" s="123"/>
      <c r="G227" s="63"/>
      <c r="H227" s="63"/>
      <c r="I227" s="124"/>
      <c r="J227" s="71"/>
      <c r="K227" s="125"/>
      <c r="L227" s="46"/>
      <c r="M227" s="46"/>
      <c r="N227" s="46"/>
      <c r="O227" s="46"/>
      <c r="P227" s="46"/>
      <c r="Q227" s="46"/>
      <c r="R227" s="46"/>
      <c r="S227" s="46"/>
      <c r="T227" s="46"/>
      <c r="U227" s="46"/>
      <c r="V227" s="46"/>
      <c r="W227" s="47"/>
      <c r="X227" s="47"/>
    </row>
    <row r="228" spans="1:24" ht="15">
      <c r="A228" s="121" t="s">
        <v>3736</v>
      </c>
      <c r="B228" s="65" t="s">
        <v>4490</v>
      </c>
      <c r="C228" s="65" t="s">
        <v>56</v>
      </c>
      <c r="D228" s="122"/>
      <c r="E228" s="65"/>
      <c r="F228" s="123"/>
      <c r="G228" s="63"/>
      <c r="H228" s="63"/>
      <c r="I228" s="124"/>
      <c r="J228" s="71"/>
      <c r="K228" s="125"/>
      <c r="L228" s="46"/>
      <c r="M228" s="46"/>
      <c r="N228" s="46"/>
      <c r="O228" s="46"/>
      <c r="P228" s="46"/>
      <c r="Q228" s="46"/>
      <c r="R228" s="46"/>
      <c r="S228" s="46"/>
      <c r="T228" s="46"/>
      <c r="U228" s="46"/>
      <c r="V228" s="46"/>
      <c r="W228" s="47"/>
      <c r="X228" s="47"/>
    </row>
    <row r="229" spans="1:24" ht="15">
      <c r="A229" s="121" t="s">
        <v>3737</v>
      </c>
      <c r="B229" s="65" t="s">
        <v>4491</v>
      </c>
      <c r="C229" s="65" t="s">
        <v>56</v>
      </c>
      <c r="D229" s="122"/>
      <c r="E229" s="65"/>
      <c r="F229" s="123"/>
      <c r="G229" s="63"/>
      <c r="H229" s="63"/>
      <c r="I229" s="124"/>
      <c r="J229" s="71"/>
      <c r="K229" s="125"/>
      <c r="L229" s="46"/>
      <c r="M229" s="46"/>
      <c r="N229" s="46"/>
      <c r="O229" s="46"/>
      <c r="P229" s="46"/>
      <c r="Q229" s="46"/>
      <c r="R229" s="46"/>
      <c r="S229" s="46"/>
      <c r="T229" s="46"/>
      <c r="U229" s="46"/>
      <c r="V229" s="46"/>
      <c r="W229" s="47"/>
      <c r="X229" s="47"/>
    </row>
    <row r="230" spans="1:24" ht="15">
      <c r="A230" s="121" t="s">
        <v>1484</v>
      </c>
      <c r="B230" s="65" t="s">
        <v>4492</v>
      </c>
      <c r="C230" s="65" t="s">
        <v>56</v>
      </c>
      <c r="D230" s="122"/>
      <c r="E230" s="65"/>
      <c r="F230" s="123"/>
      <c r="G230" s="63"/>
      <c r="H230" s="63"/>
      <c r="I230" s="124"/>
      <c r="J230" s="71"/>
      <c r="K230" s="125"/>
      <c r="L230" s="46"/>
      <c r="M230" s="46"/>
      <c r="N230" s="46"/>
      <c r="O230" s="46"/>
      <c r="P230" s="46"/>
      <c r="Q230" s="46"/>
      <c r="R230" s="46"/>
      <c r="S230" s="46"/>
      <c r="T230" s="46"/>
      <c r="U230" s="46"/>
      <c r="V230" s="46"/>
      <c r="W230" s="47"/>
      <c r="X230" s="47"/>
    </row>
    <row r="231" spans="1:24" ht="15">
      <c r="A231" s="121" t="s">
        <v>3738</v>
      </c>
      <c r="B231" s="65" t="s">
        <v>4481</v>
      </c>
      <c r="C231" s="65" t="s">
        <v>59</v>
      </c>
      <c r="D231" s="122"/>
      <c r="E231" s="65"/>
      <c r="F231" s="123"/>
      <c r="G231" s="63"/>
      <c r="H231" s="63"/>
      <c r="I231" s="124"/>
      <c r="J231" s="71"/>
      <c r="K231" s="125"/>
      <c r="L231" s="46"/>
      <c r="M231" s="46"/>
      <c r="N231" s="46"/>
      <c r="O231" s="46"/>
      <c r="P231" s="46"/>
      <c r="Q231" s="46"/>
      <c r="R231" s="46"/>
      <c r="S231" s="46"/>
      <c r="T231" s="46"/>
      <c r="U231" s="46"/>
      <c r="V231" s="46"/>
      <c r="W231" s="47"/>
      <c r="X231" s="47"/>
    </row>
    <row r="232" spans="1:24" ht="15">
      <c r="A232" s="121" t="s">
        <v>1586</v>
      </c>
      <c r="B232" s="65" t="s">
        <v>4482</v>
      </c>
      <c r="C232" s="65" t="s">
        <v>59</v>
      </c>
      <c r="D232" s="122"/>
      <c r="E232" s="65"/>
      <c r="F232" s="123"/>
      <c r="G232" s="63"/>
      <c r="H232" s="63"/>
      <c r="I232" s="124"/>
      <c r="J232" s="71"/>
      <c r="K232" s="125"/>
      <c r="L232" s="46"/>
      <c r="M232" s="46"/>
      <c r="N232" s="46"/>
      <c r="O232" s="46"/>
      <c r="P232" s="46"/>
      <c r="Q232" s="46"/>
      <c r="R232" s="46"/>
      <c r="S232" s="46"/>
      <c r="T232" s="46"/>
      <c r="U232" s="46"/>
      <c r="V232" s="46"/>
      <c r="W232" s="47"/>
      <c r="X232" s="47"/>
    </row>
    <row r="233" spans="1:24" ht="15">
      <c r="A233" s="121" t="s">
        <v>1542</v>
      </c>
      <c r="B233" s="65" t="s">
        <v>4483</v>
      </c>
      <c r="C233" s="65" t="s">
        <v>59</v>
      </c>
      <c r="D233" s="122"/>
      <c r="E233" s="65"/>
      <c r="F233" s="123"/>
      <c r="G233" s="63"/>
      <c r="H233" s="63"/>
      <c r="I233" s="124"/>
      <c r="J233" s="71"/>
      <c r="K233" s="125"/>
      <c r="L233" s="46"/>
      <c r="M233" s="46"/>
      <c r="N233" s="46"/>
      <c r="O233" s="46"/>
      <c r="P233" s="46"/>
      <c r="Q233" s="46"/>
      <c r="R233" s="46"/>
      <c r="S233" s="46"/>
      <c r="T233" s="46"/>
      <c r="U233" s="46"/>
      <c r="V233" s="46"/>
      <c r="W233" s="47"/>
      <c r="X233" s="47"/>
    </row>
    <row r="234" spans="1:24" ht="15">
      <c r="A234" s="121" t="s">
        <v>1557</v>
      </c>
      <c r="B234" s="65" t="s">
        <v>4484</v>
      </c>
      <c r="C234" s="65" t="s">
        <v>59</v>
      </c>
      <c r="D234" s="122"/>
      <c r="E234" s="65"/>
      <c r="F234" s="123"/>
      <c r="G234" s="63"/>
      <c r="H234" s="63"/>
      <c r="I234" s="124"/>
      <c r="J234" s="71"/>
      <c r="K234" s="125"/>
      <c r="L234" s="46"/>
      <c r="M234" s="46"/>
      <c r="N234" s="46"/>
      <c r="O234" s="46"/>
      <c r="P234" s="46"/>
      <c r="Q234" s="46"/>
      <c r="R234" s="46"/>
      <c r="S234" s="46"/>
      <c r="T234" s="46"/>
      <c r="U234" s="46"/>
      <c r="V234" s="46"/>
      <c r="W234" s="47"/>
      <c r="X234" s="47"/>
    </row>
    <row r="235" spans="1:24" ht="15">
      <c r="A235" s="121" t="s">
        <v>1508</v>
      </c>
      <c r="B235" s="65" t="s">
        <v>4485</v>
      </c>
      <c r="C235" s="65" t="s">
        <v>59</v>
      </c>
      <c r="D235" s="122"/>
      <c r="E235" s="65"/>
      <c r="F235" s="123"/>
      <c r="G235" s="63"/>
      <c r="H235" s="63"/>
      <c r="I235" s="124"/>
      <c r="J235" s="71"/>
      <c r="K235" s="125"/>
      <c r="L235" s="46"/>
      <c r="M235" s="46"/>
      <c r="N235" s="46"/>
      <c r="O235" s="46"/>
      <c r="P235" s="46"/>
      <c r="Q235" s="46"/>
      <c r="R235" s="46"/>
      <c r="S235" s="46"/>
      <c r="T235" s="46"/>
      <c r="U235" s="46"/>
      <c r="V235" s="46"/>
      <c r="W235" s="47"/>
      <c r="X235" s="47"/>
    </row>
    <row r="236" spans="1:24" ht="15">
      <c r="A236" s="121" t="s">
        <v>1515</v>
      </c>
      <c r="B236" s="65" t="s">
        <v>4486</v>
      </c>
      <c r="C236" s="65" t="s">
        <v>59</v>
      </c>
      <c r="D236" s="122"/>
      <c r="E236" s="65"/>
      <c r="F236" s="123"/>
      <c r="G236" s="63"/>
      <c r="H236" s="63"/>
      <c r="I236" s="124"/>
      <c r="J236" s="71"/>
      <c r="K236" s="125"/>
      <c r="L236" s="46"/>
      <c r="M236" s="46"/>
      <c r="N236" s="46"/>
      <c r="O236" s="46"/>
      <c r="P236" s="46"/>
      <c r="Q236" s="46"/>
      <c r="R236" s="46"/>
      <c r="S236" s="46"/>
      <c r="T236" s="46"/>
      <c r="U236" s="46"/>
      <c r="V236" s="46"/>
      <c r="W236" s="47"/>
      <c r="X236" s="47"/>
    </row>
    <row r="237" spans="1:24" ht="15">
      <c r="A237" s="121" t="s">
        <v>1558</v>
      </c>
      <c r="B237" s="65" t="s">
        <v>4487</v>
      </c>
      <c r="C237" s="65" t="s">
        <v>59</v>
      </c>
      <c r="D237" s="122"/>
      <c r="E237" s="65"/>
      <c r="F237" s="123"/>
      <c r="G237" s="63"/>
      <c r="H237" s="63"/>
      <c r="I237" s="124"/>
      <c r="J237" s="71"/>
      <c r="K237" s="125"/>
      <c r="L237" s="46"/>
      <c r="M237" s="46"/>
      <c r="N237" s="46"/>
      <c r="O237" s="46"/>
      <c r="P237" s="46"/>
      <c r="Q237" s="46"/>
      <c r="R237" s="46"/>
      <c r="S237" s="46"/>
      <c r="T237" s="46"/>
      <c r="U237" s="46"/>
      <c r="V237" s="46"/>
      <c r="W237" s="47"/>
      <c r="X237" s="47"/>
    </row>
    <row r="238" spans="1:24" ht="15">
      <c r="A238" s="121" t="s">
        <v>1621</v>
      </c>
      <c r="B238" s="65" t="s">
        <v>4488</v>
      </c>
      <c r="C238" s="65" t="s">
        <v>59</v>
      </c>
      <c r="D238" s="122"/>
      <c r="E238" s="65"/>
      <c r="F238" s="123"/>
      <c r="G238" s="63"/>
      <c r="H238" s="63"/>
      <c r="I238" s="124"/>
      <c r="J238" s="71"/>
      <c r="K238" s="125"/>
      <c r="L238" s="46"/>
      <c r="M238" s="46"/>
      <c r="N238" s="46"/>
      <c r="O238" s="46"/>
      <c r="P238" s="46"/>
      <c r="Q238" s="46"/>
      <c r="R238" s="46"/>
      <c r="S238" s="46"/>
      <c r="T238" s="46"/>
      <c r="U238" s="46"/>
      <c r="V238" s="46"/>
      <c r="W238" s="47"/>
      <c r="X238" s="47"/>
    </row>
    <row r="239" spans="1:24" ht="15">
      <c r="A239" s="121" t="s">
        <v>1622</v>
      </c>
      <c r="B239" s="65" t="s">
        <v>4489</v>
      </c>
      <c r="C239" s="65" t="s">
        <v>59</v>
      </c>
      <c r="D239" s="122"/>
      <c r="E239" s="65"/>
      <c r="F239" s="123"/>
      <c r="G239" s="63"/>
      <c r="H239" s="63"/>
      <c r="I239" s="124"/>
      <c r="J239" s="71"/>
      <c r="K239" s="125"/>
      <c r="L239" s="46"/>
      <c r="M239" s="46"/>
      <c r="N239" s="46"/>
      <c r="O239" s="46"/>
      <c r="P239" s="46"/>
      <c r="Q239" s="46"/>
      <c r="R239" s="46"/>
      <c r="S239" s="46"/>
      <c r="T239" s="46"/>
      <c r="U239" s="46"/>
      <c r="V239" s="46"/>
      <c r="W239" s="47"/>
      <c r="X239" s="47"/>
    </row>
    <row r="240" spans="1:24" ht="15">
      <c r="A240" s="121" t="s">
        <v>1568</v>
      </c>
      <c r="B240" s="65" t="s">
        <v>4490</v>
      </c>
      <c r="C240" s="65" t="s">
        <v>59</v>
      </c>
      <c r="D240" s="122"/>
      <c r="E240" s="65"/>
      <c r="F240" s="123"/>
      <c r="G240" s="63"/>
      <c r="H240" s="63"/>
      <c r="I240" s="124"/>
      <c r="J240" s="71"/>
      <c r="K240" s="125"/>
      <c r="L240" s="46"/>
      <c r="M240" s="46"/>
      <c r="N240" s="46"/>
      <c r="O240" s="46"/>
      <c r="P240" s="46"/>
      <c r="Q240" s="46"/>
      <c r="R240" s="46"/>
      <c r="S240" s="46"/>
      <c r="T240" s="46"/>
      <c r="U240" s="46"/>
      <c r="V240" s="46"/>
      <c r="W240" s="47"/>
      <c r="X240" s="47"/>
    </row>
    <row r="241" spans="1:24" ht="15">
      <c r="A241" s="121" t="s">
        <v>3886</v>
      </c>
      <c r="B241" s="65" t="s">
        <v>4491</v>
      </c>
      <c r="C241" s="65" t="s">
        <v>59</v>
      </c>
      <c r="D241" s="122"/>
      <c r="E241" s="65"/>
      <c r="F241" s="123"/>
      <c r="G241" s="63"/>
      <c r="H241" s="63"/>
      <c r="I241" s="124"/>
      <c r="J241" s="71"/>
      <c r="K241" s="125"/>
      <c r="L241" s="46"/>
      <c r="M241" s="46"/>
      <c r="N241" s="46"/>
      <c r="O241" s="46"/>
      <c r="P241" s="46"/>
      <c r="Q241" s="46"/>
      <c r="R241" s="46"/>
      <c r="S241" s="46"/>
      <c r="T241" s="46"/>
      <c r="U241" s="46"/>
      <c r="V241" s="46"/>
      <c r="W241" s="47"/>
      <c r="X241" s="47"/>
    </row>
    <row r="242" spans="1:24" ht="15">
      <c r="A242" s="121" t="s">
        <v>3786</v>
      </c>
      <c r="B242" s="65" t="s">
        <v>4492</v>
      </c>
      <c r="C242" s="65" t="s">
        <v>59</v>
      </c>
      <c r="D242" s="122"/>
      <c r="E242" s="65"/>
      <c r="F242" s="123"/>
      <c r="G242" s="63"/>
      <c r="H242" s="63"/>
      <c r="I242" s="124"/>
      <c r="J242" s="71"/>
      <c r="K242" s="125"/>
      <c r="L242" s="46"/>
      <c r="M242" s="46"/>
      <c r="N242" s="46"/>
      <c r="O242" s="46"/>
      <c r="P242" s="46"/>
      <c r="Q242" s="46"/>
      <c r="R242" s="46"/>
      <c r="S242" s="46"/>
      <c r="T242" s="46"/>
      <c r="U242" s="46"/>
      <c r="V242" s="46"/>
      <c r="W242" s="47"/>
      <c r="X242" s="47"/>
    </row>
    <row r="243" spans="1:24" ht="15">
      <c r="A243" s="121" t="s">
        <v>3787</v>
      </c>
      <c r="B243" s="65" t="s">
        <v>4481</v>
      </c>
      <c r="C243" s="65" t="s">
        <v>61</v>
      </c>
      <c r="D243" s="122"/>
      <c r="E243" s="65"/>
      <c r="F243" s="123"/>
      <c r="G243" s="63"/>
      <c r="H243" s="63"/>
      <c r="I243" s="124"/>
      <c r="J243" s="71"/>
      <c r="K243" s="125"/>
      <c r="L243" s="46"/>
      <c r="M243" s="46"/>
      <c r="N243" s="46"/>
      <c r="O243" s="46"/>
      <c r="P243" s="46"/>
      <c r="Q243" s="46"/>
      <c r="R243" s="46"/>
      <c r="S243" s="46"/>
      <c r="T243" s="46"/>
      <c r="U243" s="46"/>
      <c r="V243" s="46"/>
      <c r="W243" s="47"/>
      <c r="X243" s="47"/>
    </row>
    <row r="244" spans="1:24" ht="15">
      <c r="A244" s="121" t="s">
        <v>3788</v>
      </c>
      <c r="B244" s="65" t="s">
        <v>4482</v>
      </c>
      <c r="C244" s="65" t="s">
        <v>61</v>
      </c>
      <c r="D244" s="122"/>
      <c r="E244" s="65"/>
      <c r="F244" s="123"/>
      <c r="G244" s="63"/>
      <c r="H244" s="63"/>
      <c r="I244" s="124"/>
      <c r="J244" s="71"/>
      <c r="K244" s="125"/>
      <c r="L244" s="46"/>
      <c r="M244" s="46"/>
      <c r="N244" s="46"/>
      <c r="O244" s="46"/>
      <c r="P244" s="46"/>
      <c r="Q244" s="46"/>
      <c r="R244" s="46"/>
      <c r="S244" s="46"/>
      <c r="T244" s="46"/>
      <c r="U244" s="46"/>
      <c r="V244" s="46"/>
      <c r="W244" s="47"/>
      <c r="X244" s="47"/>
    </row>
    <row r="245" spans="1:24" ht="15">
      <c r="A245" s="121" t="s">
        <v>3789</v>
      </c>
      <c r="B245" s="65" t="s">
        <v>4483</v>
      </c>
      <c r="C245" s="65" t="s">
        <v>61</v>
      </c>
      <c r="D245" s="122"/>
      <c r="E245" s="65"/>
      <c r="F245" s="123"/>
      <c r="G245" s="63"/>
      <c r="H245" s="63"/>
      <c r="I245" s="124"/>
      <c r="J245" s="71"/>
      <c r="K245" s="125"/>
      <c r="L245" s="46"/>
      <c r="M245" s="46"/>
      <c r="N245" s="46"/>
      <c r="O245" s="46"/>
      <c r="P245" s="46"/>
      <c r="Q245" s="46"/>
      <c r="R245" s="46"/>
      <c r="S245" s="46"/>
      <c r="T245" s="46"/>
      <c r="U245" s="46"/>
      <c r="V245" s="46"/>
      <c r="W245" s="47"/>
      <c r="X245" s="47"/>
    </row>
    <row r="246" spans="1:24" ht="15">
      <c r="A246" s="121" t="s">
        <v>3790</v>
      </c>
      <c r="B246" s="65" t="s">
        <v>4484</v>
      </c>
      <c r="C246" s="65" t="s">
        <v>61</v>
      </c>
      <c r="D246" s="122"/>
      <c r="E246" s="65"/>
      <c r="F246" s="123"/>
      <c r="G246" s="63"/>
      <c r="H246" s="63"/>
      <c r="I246" s="124"/>
      <c r="J246" s="71"/>
      <c r="K246" s="125"/>
      <c r="L246" s="46"/>
      <c r="M246" s="46"/>
      <c r="N246" s="46"/>
      <c r="O246" s="46"/>
      <c r="P246" s="46"/>
      <c r="Q246" s="46"/>
      <c r="R246" s="46"/>
      <c r="S246" s="46"/>
      <c r="T246" s="46"/>
      <c r="U246" s="46"/>
      <c r="V246" s="46"/>
      <c r="W246" s="47"/>
      <c r="X246" s="47"/>
    </row>
    <row r="247" spans="1:24" ht="15">
      <c r="A247" s="121" t="s">
        <v>4464</v>
      </c>
      <c r="B247" s="65" t="s">
        <v>4485</v>
      </c>
      <c r="C247" s="65" t="s">
        <v>61</v>
      </c>
      <c r="D247" s="122"/>
      <c r="E247" s="65"/>
      <c r="F247" s="123"/>
      <c r="G247" s="63"/>
      <c r="H247" s="63"/>
      <c r="I247" s="124"/>
      <c r="J247" s="71"/>
      <c r="K247" s="125"/>
      <c r="L247" s="46"/>
      <c r="M247" s="46"/>
      <c r="N247" s="46"/>
      <c r="O247" s="46"/>
      <c r="P247" s="46"/>
      <c r="Q247" s="46"/>
      <c r="R247" s="46"/>
      <c r="S247" s="46"/>
      <c r="T247" s="46"/>
      <c r="U247" s="46"/>
      <c r="V247" s="46"/>
      <c r="W247" s="47"/>
      <c r="X247" s="47"/>
    </row>
    <row r="248" spans="1:24" ht="15">
      <c r="A248" s="121" t="s">
        <v>3792</v>
      </c>
      <c r="B248" s="65" t="s">
        <v>4486</v>
      </c>
      <c r="C248" s="65" t="s">
        <v>61</v>
      </c>
      <c r="D248" s="122"/>
      <c r="E248" s="65"/>
      <c r="F248" s="123"/>
      <c r="G248" s="63"/>
      <c r="H248" s="63"/>
      <c r="I248" s="124"/>
      <c r="J248" s="71"/>
      <c r="K248" s="125"/>
      <c r="L248" s="46"/>
      <c r="M248" s="46"/>
      <c r="N248" s="46"/>
      <c r="O248" s="46"/>
      <c r="P248" s="46"/>
      <c r="Q248" s="46"/>
      <c r="R248" s="46"/>
      <c r="S248" s="46"/>
      <c r="T248" s="46"/>
      <c r="U248" s="46"/>
      <c r="V248" s="46"/>
      <c r="W248" s="47"/>
      <c r="X248" s="47"/>
    </row>
    <row r="249" spans="1:24" ht="15">
      <c r="A249" s="121" t="s">
        <v>3793</v>
      </c>
      <c r="B249" s="65" t="s">
        <v>4487</v>
      </c>
      <c r="C249" s="65" t="s">
        <v>61</v>
      </c>
      <c r="D249" s="122"/>
      <c r="E249" s="65"/>
      <c r="F249" s="123"/>
      <c r="G249" s="63"/>
      <c r="H249" s="63"/>
      <c r="I249" s="124"/>
      <c r="J249" s="71"/>
      <c r="K249" s="125"/>
      <c r="L249" s="46"/>
      <c r="M249" s="46"/>
      <c r="N249" s="46"/>
      <c r="O249" s="46"/>
      <c r="P249" s="46"/>
      <c r="Q249" s="46"/>
      <c r="R249" s="46"/>
      <c r="S249" s="46"/>
      <c r="T249" s="46"/>
      <c r="U249" s="46"/>
      <c r="V249" s="46"/>
      <c r="W249" s="47"/>
      <c r="X249" s="47"/>
    </row>
    <row r="250" spans="1:24" ht="15">
      <c r="A250" s="121" t="s">
        <v>3795</v>
      </c>
      <c r="B250" s="65" t="s">
        <v>4488</v>
      </c>
      <c r="C250" s="65" t="s">
        <v>61</v>
      </c>
      <c r="D250" s="122"/>
      <c r="E250" s="65"/>
      <c r="F250" s="123"/>
      <c r="G250" s="63"/>
      <c r="H250" s="63"/>
      <c r="I250" s="124"/>
      <c r="J250" s="71"/>
      <c r="K250" s="125"/>
      <c r="L250" s="46"/>
      <c r="M250" s="46"/>
      <c r="N250" s="46"/>
      <c r="O250" s="46"/>
      <c r="P250" s="46"/>
      <c r="Q250" s="46"/>
      <c r="R250" s="46"/>
      <c r="S250" s="46"/>
      <c r="T250" s="46"/>
      <c r="U250" s="46"/>
      <c r="V250" s="46"/>
      <c r="W250" s="47"/>
      <c r="X250" s="47"/>
    </row>
    <row r="251" spans="1:24" ht="15">
      <c r="A251" s="121" t="s">
        <v>3796</v>
      </c>
      <c r="B251" s="65" t="s">
        <v>4489</v>
      </c>
      <c r="C251" s="65" t="s">
        <v>61</v>
      </c>
      <c r="D251" s="122"/>
      <c r="E251" s="65"/>
      <c r="F251" s="123"/>
      <c r="G251" s="63"/>
      <c r="H251" s="63"/>
      <c r="I251" s="124"/>
      <c r="J251" s="71"/>
      <c r="K251" s="125"/>
      <c r="L251" s="46"/>
      <c r="M251" s="46"/>
      <c r="N251" s="46"/>
      <c r="O251" s="46"/>
      <c r="P251" s="46"/>
      <c r="Q251" s="46"/>
      <c r="R251" s="46"/>
      <c r="S251" s="46"/>
      <c r="T251" s="46"/>
      <c r="U251" s="46"/>
      <c r="V251" s="46"/>
      <c r="W251" s="47"/>
      <c r="X251" s="47"/>
    </row>
    <row r="252" spans="1:24" ht="15">
      <c r="A252" s="121" t="s">
        <v>3797</v>
      </c>
      <c r="B252" s="65" t="s">
        <v>4490</v>
      </c>
      <c r="C252" s="65" t="s">
        <v>61</v>
      </c>
      <c r="D252" s="122"/>
      <c r="E252" s="65"/>
      <c r="F252" s="123"/>
      <c r="G252" s="63"/>
      <c r="H252" s="63"/>
      <c r="I252" s="124"/>
      <c r="J252" s="71"/>
      <c r="K252" s="125"/>
      <c r="L252" s="46"/>
      <c r="M252" s="46"/>
      <c r="N252" s="46"/>
      <c r="O252" s="46"/>
      <c r="P252" s="46"/>
      <c r="Q252" s="46"/>
      <c r="R252" s="46"/>
      <c r="S252" s="46"/>
      <c r="T252" s="46"/>
      <c r="U252" s="46"/>
      <c r="V252" s="46"/>
      <c r="W252" s="47"/>
      <c r="X252" s="47"/>
    </row>
    <row r="253" spans="1:24" ht="15">
      <c r="A253" s="121" t="s">
        <v>3798</v>
      </c>
      <c r="B253" s="65" t="s">
        <v>4491</v>
      </c>
      <c r="C253" s="65" t="s">
        <v>61</v>
      </c>
      <c r="D253" s="122"/>
      <c r="E253" s="65"/>
      <c r="F253" s="123"/>
      <c r="G253" s="63"/>
      <c r="H253" s="63"/>
      <c r="I253" s="124"/>
      <c r="J253" s="71"/>
      <c r="K253" s="125"/>
      <c r="L253" s="46"/>
      <c r="M253" s="46"/>
      <c r="N253" s="46"/>
      <c r="O253" s="46"/>
      <c r="P253" s="46"/>
      <c r="Q253" s="46"/>
      <c r="R253" s="46"/>
      <c r="S253" s="46"/>
      <c r="T253" s="46"/>
      <c r="U253" s="46"/>
      <c r="V253" s="46"/>
      <c r="W253" s="47"/>
      <c r="X253" s="47"/>
    </row>
    <row r="254" spans="1:24" ht="15">
      <c r="A254" s="121" t="s">
        <v>3799</v>
      </c>
      <c r="B254" s="65" t="s">
        <v>4492</v>
      </c>
      <c r="C254" s="65" t="s">
        <v>61</v>
      </c>
      <c r="D254" s="122"/>
      <c r="E254" s="65"/>
      <c r="F254" s="123"/>
      <c r="G254" s="63"/>
      <c r="H254" s="63"/>
      <c r="I254" s="124"/>
      <c r="J254" s="71"/>
      <c r="K254" s="125"/>
      <c r="L254" s="46"/>
      <c r="M254" s="46"/>
      <c r="N254" s="46"/>
      <c r="O254" s="46"/>
      <c r="P254" s="46"/>
      <c r="Q254" s="46"/>
      <c r="R254" s="46"/>
      <c r="S254" s="46"/>
      <c r="T254" s="46"/>
      <c r="U254" s="46"/>
      <c r="V254" s="46"/>
      <c r="W254" s="47"/>
      <c r="X254" s="47"/>
    </row>
    <row r="255" spans="1:24" ht="15">
      <c r="A255" s="121" t="s">
        <v>3800</v>
      </c>
      <c r="B255" s="65" t="s">
        <v>4481</v>
      </c>
      <c r="C255" s="65" t="s">
        <v>63</v>
      </c>
      <c r="D255" s="122"/>
      <c r="E255" s="65"/>
      <c r="F255" s="123"/>
      <c r="G255" s="63"/>
      <c r="H255" s="63"/>
      <c r="I255" s="124"/>
      <c r="J255" s="71"/>
      <c r="K255" s="125"/>
      <c r="L255" s="46"/>
      <c r="M255" s="46"/>
      <c r="N255" s="46"/>
      <c r="O255" s="46"/>
      <c r="P255" s="46"/>
      <c r="Q255" s="46"/>
      <c r="R255" s="46"/>
      <c r="S255" s="46"/>
      <c r="T255" s="46"/>
      <c r="U255" s="46"/>
      <c r="V255" s="46"/>
      <c r="W255" s="47"/>
      <c r="X255" s="47"/>
    </row>
    <row r="256" spans="1:24" ht="15">
      <c r="A256" s="121" t="s">
        <v>3801</v>
      </c>
      <c r="B256" s="65" t="s">
        <v>4482</v>
      </c>
      <c r="C256" s="65" t="s">
        <v>63</v>
      </c>
      <c r="D256" s="122"/>
      <c r="E256" s="65"/>
      <c r="F256" s="123"/>
      <c r="G256" s="63"/>
      <c r="H256" s="63"/>
      <c r="I256" s="124"/>
      <c r="J256" s="71"/>
      <c r="K256" s="125"/>
      <c r="L256" s="46"/>
      <c r="M256" s="46"/>
      <c r="N256" s="46"/>
      <c r="O256" s="46"/>
      <c r="P256" s="46"/>
      <c r="Q256" s="46"/>
      <c r="R256" s="46"/>
      <c r="S256" s="46"/>
      <c r="T256" s="46"/>
      <c r="U256" s="46"/>
      <c r="V256" s="46"/>
      <c r="W256" s="47"/>
      <c r="X256" s="47"/>
    </row>
    <row r="257" spans="1:24" ht="15">
      <c r="A257" s="121" t="s">
        <v>3802</v>
      </c>
      <c r="B257" s="65" t="s">
        <v>4483</v>
      </c>
      <c r="C257" s="65" t="s">
        <v>63</v>
      </c>
      <c r="D257" s="122"/>
      <c r="E257" s="65"/>
      <c r="F257" s="123"/>
      <c r="G257" s="63"/>
      <c r="H257" s="63"/>
      <c r="I257" s="124"/>
      <c r="J257" s="71"/>
      <c r="K257" s="125"/>
      <c r="L257" s="46"/>
      <c r="M257" s="46"/>
      <c r="N257" s="46"/>
      <c r="O257" s="46"/>
      <c r="P257" s="46"/>
      <c r="Q257" s="46"/>
      <c r="R257" s="46"/>
      <c r="S257" s="46"/>
      <c r="T257" s="46"/>
      <c r="U257" s="46"/>
      <c r="V257" s="46"/>
      <c r="W257" s="47"/>
      <c r="X257" s="47"/>
    </row>
    <row r="258" spans="1:24" ht="15">
      <c r="A258" s="121" t="s">
        <v>3803</v>
      </c>
      <c r="B258" s="65" t="s">
        <v>4484</v>
      </c>
      <c r="C258" s="65" t="s">
        <v>63</v>
      </c>
      <c r="D258" s="122"/>
      <c r="E258" s="65"/>
      <c r="F258" s="123"/>
      <c r="G258" s="63"/>
      <c r="H258" s="63"/>
      <c r="I258" s="124"/>
      <c r="J258" s="71"/>
      <c r="K258" s="125"/>
      <c r="L258" s="46"/>
      <c r="M258" s="46"/>
      <c r="N258" s="46"/>
      <c r="O258" s="46"/>
      <c r="P258" s="46"/>
      <c r="Q258" s="46"/>
      <c r="R258" s="46"/>
      <c r="S258" s="46"/>
      <c r="T258" s="46"/>
      <c r="U258" s="46"/>
      <c r="V258" s="46"/>
      <c r="W258" s="47"/>
      <c r="X258" s="47"/>
    </row>
    <row r="259" spans="1:24" ht="15">
      <c r="A259" s="121" t="s">
        <v>3867</v>
      </c>
      <c r="B259" s="65" t="s">
        <v>4485</v>
      </c>
      <c r="C259" s="65" t="s">
        <v>63</v>
      </c>
      <c r="D259" s="122"/>
      <c r="E259" s="65"/>
      <c r="F259" s="123"/>
      <c r="G259" s="63"/>
      <c r="H259" s="63"/>
      <c r="I259" s="124"/>
      <c r="J259" s="71"/>
      <c r="K259" s="125"/>
      <c r="L259" s="46"/>
      <c r="M259" s="46"/>
      <c r="N259" s="46"/>
      <c r="O259" s="46"/>
      <c r="P259" s="46"/>
      <c r="Q259" s="46"/>
      <c r="R259" s="46"/>
      <c r="S259" s="46"/>
      <c r="T259" s="46"/>
      <c r="U259" s="46"/>
      <c r="V259" s="46"/>
      <c r="W259" s="47"/>
      <c r="X259" s="47"/>
    </row>
    <row r="260" spans="1:24" ht="15">
      <c r="A260" s="121" t="s">
        <v>3868</v>
      </c>
      <c r="B260" s="65" t="s">
        <v>4486</v>
      </c>
      <c r="C260" s="65" t="s">
        <v>63</v>
      </c>
      <c r="D260" s="122"/>
      <c r="E260" s="65"/>
      <c r="F260" s="123"/>
      <c r="G260" s="63"/>
      <c r="H260" s="63"/>
      <c r="I260" s="124"/>
      <c r="J260" s="71"/>
      <c r="K260" s="125"/>
      <c r="L260" s="46"/>
      <c r="M260" s="46"/>
      <c r="N260" s="46"/>
      <c r="O260" s="46"/>
      <c r="P260" s="46"/>
      <c r="Q260" s="46"/>
      <c r="R260" s="46"/>
      <c r="S260" s="46"/>
      <c r="T260" s="46"/>
      <c r="U260" s="46"/>
      <c r="V260" s="46"/>
      <c r="W260" s="47"/>
      <c r="X260" s="47"/>
    </row>
    <row r="261" spans="1:24" ht="15">
      <c r="A261" s="121" t="s">
        <v>3869</v>
      </c>
      <c r="B261" s="65" t="s">
        <v>4487</v>
      </c>
      <c r="C261" s="65" t="s">
        <v>63</v>
      </c>
      <c r="D261" s="122"/>
      <c r="E261" s="65"/>
      <c r="F261" s="123"/>
      <c r="G261" s="63"/>
      <c r="H261" s="63"/>
      <c r="I261" s="124"/>
      <c r="J261" s="71"/>
      <c r="K261" s="125"/>
      <c r="L261" s="46"/>
      <c r="M261" s="46"/>
      <c r="N261" s="46"/>
      <c r="O261" s="46"/>
      <c r="P261" s="46"/>
      <c r="Q261" s="46"/>
      <c r="R261" s="46"/>
      <c r="S261" s="46"/>
      <c r="T261" s="46"/>
      <c r="U261" s="46"/>
      <c r="V261" s="46"/>
      <c r="W261" s="47"/>
      <c r="X261" s="47"/>
    </row>
    <row r="262" spans="1:24" ht="15">
      <c r="A262" s="121" t="s">
        <v>1669</v>
      </c>
      <c r="B262" s="65" t="s">
        <v>4488</v>
      </c>
      <c r="C262" s="65" t="s">
        <v>63</v>
      </c>
      <c r="D262" s="122"/>
      <c r="E262" s="65"/>
      <c r="F262" s="123"/>
      <c r="G262" s="63"/>
      <c r="H262" s="63"/>
      <c r="I262" s="124"/>
      <c r="J262" s="71"/>
      <c r="K262" s="125"/>
      <c r="L262" s="46"/>
      <c r="M262" s="46"/>
      <c r="N262" s="46"/>
      <c r="O262" s="46"/>
      <c r="P262" s="46"/>
      <c r="Q262" s="46"/>
      <c r="R262" s="46"/>
      <c r="S262" s="46"/>
      <c r="T262" s="46"/>
      <c r="U262" s="46"/>
      <c r="V262" s="46"/>
      <c r="W262" s="47"/>
      <c r="X262" s="47"/>
    </row>
    <row r="263" spans="1:24" ht="15">
      <c r="A263" s="121" t="s">
        <v>3857</v>
      </c>
      <c r="B263" s="65" t="s">
        <v>4489</v>
      </c>
      <c r="C263" s="65" t="s">
        <v>63</v>
      </c>
      <c r="D263" s="122"/>
      <c r="E263" s="65"/>
      <c r="F263" s="123"/>
      <c r="G263" s="63"/>
      <c r="H263" s="63"/>
      <c r="I263" s="124"/>
      <c r="J263" s="71"/>
      <c r="K263" s="125"/>
      <c r="L263" s="46"/>
      <c r="M263" s="46"/>
      <c r="N263" s="46"/>
      <c r="O263" s="46"/>
      <c r="P263" s="46"/>
      <c r="Q263" s="46"/>
      <c r="R263" s="46"/>
      <c r="S263" s="46"/>
      <c r="T263" s="46"/>
      <c r="U263" s="46"/>
      <c r="V263" s="46"/>
      <c r="W263" s="47"/>
      <c r="X263" s="47"/>
    </row>
    <row r="264" spans="1:24" ht="15">
      <c r="A264" s="121" t="s">
        <v>3858</v>
      </c>
      <c r="B264" s="65" t="s">
        <v>4490</v>
      </c>
      <c r="C264" s="65" t="s">
        <v>63</v>
      </c>
      <c r="D264" s="122"/>
      <c r="E264" s="65"/>
      <c r="F264" s="123"/>
      <c r="G264" s="63"/>
      <c r="H264" s="63"/>
      <c r="I264" s="124"/>
      <c r="J264" s="71"/>
      <c r="K264" s="125"/>
      <c r="L264" s="46"/>
      <c r="M264" s="46"/>
      <c r="N264" s="46"/>
      <c r="O264" s="46"/>
      <c r="P264" s="46"/>
      <c r="Q264" s="46"/>
      <c r="R264" s="46"/>
      <c r="S264" s="46"/>
      <c r="T264" s="46"/>
      <c r="U264" s="46"/>
      <c r="V264" s="46"/>
      <c r="W264" s="47"/>
      <c r="X264" s="47"/>
    </row>
    <row r="265" spans="1:24" ht="15">
      <c r="A265" s="121" t="s">
        <v>3859</v>
      </c>
      <c r="B265" s="65" t="s">
        <v>4491</v>
      </c>
      <c r="C265" s="65" t="s">
        <v>63</v>
      </c>
      <c r="D265" s="122"/>
      <c r="E265" s="65"/>
      <c r="F265" s="123"/>
      <c r="G265" s="63"/>
      <c r="H265" s="63"/>
      <c r="I265" s="124"/>
      <c r="J265" s="71"/>
      <c r="K265" s="125"/>
      <c r="L265" s="46"/>
      <c r="M265" s="46"/>
      <c r="N265" s="46"/>
      <c r="O265" s="46"/>
      <c r="P265" s="46"/>
      <c r="Q265" s="46"/>
      <c r="R265" s="46"/>
      <c r="S265" s="46"/>
      <c r="T265" s="46"/>
      <c r="U265" s="46"/>
      <c r="V265" s="46"/>
      <c r="W265" s="47"/>
      <c r="X265" s="47"/>
    </row>
    <row r="266" spans="1:24" ht="15">
      <c r="A266" s="121" t="s">
        <v>3860</v>
      </c>
      <c r="B266" s="65" t="s">
        <v>4492</v>
      </c>
      <c r="C266" s="65" t="s">
        <v>63</v>
      </c>
      <c r="D266" s="122"/>
      <c r="E266" s="65"/>
      <c r="F266" s="123"/>
      <c r="G266" s="63"/>
      <c r="H266" s="63"/>
      <c r="I266" s="124"/>
      <c r="J266" s="71"/>
      <c r="K266" s="125"/>
      <c r="L266" s="46"/>
      <c r="M266" s="46"/>
      <c r="N266" s="46"/>
      <c r="O266" s="46"/>
      <c r="P266" s="46"/>
      <c r="Q266" s="46"/>
      <c r="R266" s="46"/>
      <c r="S266" s="46"/>
      <c r="T266" s="46"/>
      <c r="U266" s="46"/>
      <c r="V266" s="46"/>
      <c r="W266" s="47"/>
      <c r="X266" s="47"/>
    </row>
    <row r="267" spans="1:24" ht="15">
      <c r="A267" s="121" t="s">
        <v>3861</v>
      </c>
      <c r="B267" s="65" t="s">
        <v>4481</v>
      </c>
      <c r="C267" s="65" t="s">
        <v>57</v>
      </c>
      <c r="D267" s="122"/>
      <c r="E267" s="65"/>
      <c r="F267" s="123"/>
      <c r="G267" s="63"/>
      <c r="H267" s="63"/>
      <c r="I267" s="124"/>
      <c r="J267" s="71"/>
      <c r="K267" s="125"/>
      <c r="L267" s="46"/>
      <c r="M267" s="46"/>
      <c r="N267" s="46"/>
      <c r="O267" s="46"/>
      <c r="P267" s="46"/>
      <c r="Q267" s="46"/>
      <c r="R267" s="46"/>
      <c r="S267" s="46"/>
      <c r="T267" s="46"/>
      <c r="U267" s="46"/>
      <c r="V267" s="46"/>
      <c r="W267" s="47"/>
      <c r="X267" s="47"/>
    </row>
    <row r="268" spans="1:24" ht="15">
      <c r="A268" s="121" t="s">
        <v>3862</v>
      </c>
      <c r="B268" s="65" t="s">
        <v>4482</v>
      </c>
      <c r="C268" s="65" t="s">
        <v>57</v>
      </c>
      <c r="D268" s="122"/>
      <c r="E268" s="65"/>
      <c r="F268" s="123"/>
      <c r="G268" s="63"/>
      <c r="H268" s="63"/>
      <c r="I268" s="124"/>
      <c r="J268" s="71"/>
      <c r="K268" s="125"/>
      <c r="L268" s="46"/>
      <c r="M268" s="46"/>
      <c r="N268" s="46"/>
      <c r="O268" s="46"/>
      <c r="P268" s="46"/>
      <c r="Q268" s="46"/>
      <c r="R268" s="46"/>
      <c r="S268" s="46"/>
      <c r="T268" s="46"/>
      <c r="U268" s="46"/>
      <c r="V268" s="46"/>
      <c r="W268" s="47"/>
      <c r="X268" s="47"/>
    </row>
    <row r="269" spans="1:24" ht="15">
      <c r="A269" s="121" t="s">
        <v>3863</v>
      </c>
      <c r="B269" s="65" t="s">
        <v>4483</v>
      </c>
      <c r="C269" s="65" t="s">
        <v>57</v>
      </c>
      <c r="D269" s="122"/>
      <c r="E269" s="65"/>
      <c r="F269" s="123"/>
      <c r="G269" s="63"/>
      <c r="H269" s="63"/>
      <c r="I269" s="124"/>
      <c r="J269" s="71"/>
      <c r="K269" s="125"/>
      <c r="L269" s="46"/>
      <c r="M269" s="46"/>
      <c r="N269" s="46"/>
      <c r="O269" s="46"/>
      <c r="P269" s="46"/>
      <c r="Q269" s="46"/>
      <c r="R269" s="46"/>
      <c r="S269" s="46"/>
      <c r="T269" s="46"/>
      <c r="U269" s="46"/>
      <c r="V269" s="46"/>
      <c r="W269" s="47"/>
      <c r="X269" s="47"/>
    </row>
    <row r="270" spans="1:24" ht="15">
      <c r="A270" s="121" t="s">
        <v>3864</v>
      </c>
      <c r="B270" s="65" t="s">
        <v>4484</v>
      </c>
      <c r="C270" s="65" t="s">
        <v>57</v>
      </c>
      <c r="D270" s="122"/>
      <c r="E270" s="65"/>
      <c r="F270" s="123"/>
      <c r="G270" s="63"/>
      <c r="H270" s="63"/>
      <c r="I270" s="124"/>
      <c r="J270" s="71"/>
      <c r="K270" s="125"/>
      <c r="L270" s="46"/>
      <c r="M270" s="46"/>
      <c r="N270" s="46"/>
      <c r="O270" s="46"/>
      <c r="P270" s="46"/>
      <c r="Q270" s="46"/>
      <c r="R270" s="46"/>
      <c r="S270" s="46"/>
      <c r="T270" s="46"/>
      <c r="U270" s="46"/>
      <c r="V270" s="46"/>
      <c r="W270" s="47"/>
      <c r="X270" s="47"/>
    </row>
    <row r="271" spans="1:24" ht="15">
      <c r="A271" s="121" t="s">
        <v>3865</v>
      </c>
      <c r="B271" s="65" t="s">
        <v>4485</v>
      </c>
      <c r="C271" s="65" t="s">
        <v>57</v>
      </c>
      <c r="D271" s="122"/>
      <c r="E271" s="65"/>
      <c r="F271" s="123"/>
      <c r="G271" s="63"/>
      <c r="H271" s="63"/>
      <c r="I271" s="124"/>
      <c r="J271" s="71"/>
      <c r="K271" s="125"/>
      <c r="L271" s="46"/>
      <c r="M271" s="46"/>
      <c r="N271" s="46"/>
      <c r="O271" s="46"/>
      <c r="P271" s="46"/>
      <c r="Q271" s="46"/>
      <c r="R271" s="46"/>
      <c r="S271" s="46"/>
      <c r="T271" s="46"/>
      <c r="U271" s="46"/>
      <c r="V271" s="46"/>
      <c r="W271" s="47"/>
      <c r="X271" s="47"/>
    </row>
    <row r="272" spans="1:24" ht="15">
      <c r="A272" s="121" t="s">
        <v>1563</v>
      </c>
      <c r="B272" s="65" t="s">
        <v>4486</v>
      </c>
      <c r="C272" s="65" t="s">
        <v>57</v>
      </c>
      <c r="D272" s="122"/>
      <c r="E272" s="65"/>
      <c r="F272" s="123"/>
      <c r="G272" s="63"/>
      <c r="H272" s="63"/>
      <c r="I272" s="124"/>
      <c r="J272" s="71"/>
      <c r="K272" s="125"/>
      <c r="L272" s="46"/>
      <c r="M272" s="46"/>
      <c r="N272" s="46"/>
      <c r="O272" s="46"/>
      <c r="P272" s="46"/>
      <c r="Q272" s="46"/>
      <c r="R272" s="46"/>
      <c r="S272" s="46"/>
      <c r="T272" s="46"/>
      <c r="U272" s="46"/>
      <c r="V272" s="46"/>
      <c r="W272" s="47"/>
      <c r="X272" s="47"/>
    </row>
    <row r="273" spans="1:24" ht="15">
      <c r="A273" s="121" t="s">
        <v>1514</v>
      </c>
      <c r="B273" s="65" t="s">
        <v>4487</v>
      </c>
      <c r="C273" s="65" t="s">
        <v>57</v>
      </c>
      <c r="D273" s="122"/>
      <c r="E273" s="65"/>
      <c r="F273" s="123"/>
      <c r="G273" s="63"/>
      <c r="H273" s="63"/>
      <c r="I273" s="124"/>
      <c r="J273" s="71"/>
      <c r="K273" s="125"/>
      <c r="L273" s="46"/>
      <c r="M273" s="46"/>
      <c r="N273" s="46"/>
      <c r="O273" s="46"/>
      <c r="P273" s="46"/>
      <c r="Q273" s="46"/>
      <c r="R273" s="46"/>
      <c r="S273" s="46"/>
      <c r="T273" s="46"/>
      <c r="U273" s="46"/>
      <c r="V273" s="46"/>
      <c r="W273" s="47"/>
      <c r="X273" s="47"/>
    </row>
    <row r="274" spans="1:24" ht="15">
      <c r="A274" s="121" t="s">
        <v>3866</v>
      </c>
      <c r="B274" s="65" t="s">
        <v>4488</v>
      </c>
      <c r="C274" s="65" t="s">
        <v>57</v>
      </c>
      <c r="D274" s="122"/>
      <c r="E274" s="65"/>
      <c r="F274" s="123"/>
      <c r="G274" s="63"/>
      <c r="H274" s="63"/>
      <c r="I274" s="124"/>
      <c r="J274" s="71"/>
      <c r="K274" s="125"/>
      <c r="L274" s="46"/>
      <c r="M274" s="46"/>
      <c r="N274" s="46"/>
      <c r="O274" s="46"/>
      <c r="P274" s="46"/>
      <c r="Q274" s="46"/>
      <c r="R274" s="46"/>
      <c r="S274" s="46"/>
      <c r="T274" s="46"/>
      <c r="U274" s="46"/>
      <c r="V274" s="46"/>
      <c r="W274" s="47"/>
      <c r="X274" s="47"/>
    </row>
    <row r="275" spans="1:24" ht="15">
      <c r="A275" s="121" t="s">
        <v>3889</v>
      </c>
      <c r="B275" s="65" t="s">
        <v>4489</v>
      </c>
      <c r="C275" s="65" t="s">
        <v>57</v>
      </c>
      <c r="D275" s="122"/>
      <c r="E275" s="65"/>
      <c r="F275" s="123"/>
      <c r="G275" s="63"/>
      <c r="H275" s="63"/>
      <c r="I275" s="124"/>
      <c r="J275" s="71"/>
      <c r="K275" s="125"/>
      <c r="L275" s="46"/>
      <c r="M275" s="46"/>
      <c r="N275" s="46"/>
      <c r="O275" s="46"/>
      <c r="P275" s="46"/>
      <c r="Q275" s="46"/>
      <c r="R275" s="46"/>
      <c r="S275" s="46"/>
      <c r="T275" s="46"/>
      <c r="U275" s="46"/>
      <c r="V275" s="46"/>
      <c r="W275" s="47"/>
      <c r="X275" s="47"/>
    </row>
    <row r="276" spans="1:24" ht="15">
      <c r="A276" s="121" t="s">
        <v>3890</v>
      </c>
      <c r="B276" s="65" t="s">
        <v>4490</v>
      </c>
      <c r="C276" s="65" t="s">
        <v>57</v>
      </c>
      <c r="D276" s="122"/>
      <c r="E276" s="65"/>
      <c r="F276" s="123"/>
      <c r="G276" s="63"/>
      <c r="H276" s="63"/>
      <c r="I276" s="124"/>
      <c r="J276" s="71"/>
      <c r="K276" s="125"/>
      <c r="L276" s="46"/>
      <c r="M276" s="46"/>
      <c r="N276" s="46"/>
      <c r="O276" s="46"/>
      <c r="P276" s="46"/>
      <c r="Q276" s="46"/>
      <c r="R276" s="46"/>
      <c r="S276" s="46"/>
      <c r="T276" s="46"/>
      <c r="U276" s="46"/>
      <c r="V276" s="46"/>
      <c r="W276" s="47"/>
      <c r="X276" s="47"/>
    </row>
    <row r="277" spans="1:24" ht="15">
      <c r="A277" s="121" t="s">
        <v>3891</v>
      </c>
      <c r="B277" s="65" t="s">
        <v>4491</v>
      </c>
      <c r="C277" s="65" t="s">
        <v>57</v>
      </c>
      <c r="D277" s="122"/>
      <c r="E277" s="65"/>
      <c r="F277" s="123"/>
      <c r="G277" s="63"/>
      <c r="H277" s="63"/>
      <c r="I277" s="124"/>
      <c r="J277" s="71"/>
      <c r="K277" s="125"/>
      <c r="L277" s="46"/>
      <c r="M277" s="46"/>
      <c r="N277" s="46"/>
      <c r="O277" s="46"/>
      <c r="P277" s="46"/>
      <c r="Q277" s="46"/>
      <c r="R277" s="46"/>
      <c r="S277" s="46"/>
      <c r="T277" s="46"/>
      <c r="U277" s="46"/>
      <c r="V277" s="46"/>
      <c r="W277" s="47"/>
      <c r="X277" s="47"/>
    </row>
    <row r="278" spans="1:24" ht="15">
      <c r="A278" s="121" t="s">
        <v>3892</v>
      </c>
      <c r="B278" s="65" t="s">
        <v>4492</v>
      </c>
      <c r="C278" s="65" t="s">
        <v>57</v>
      </c>
      <c r="D278" s="122"/>
      <c r="E278" s="65"/>
      <c r="F278" s="123"/>
      <c r="G278" s="63"/>
      <c r="H278" s="63"/>
      <c r="I278" s="124"/>
      <c r="J278" s="71"/>
      <c r="K278" s="125"/>
      <c r="L278" s="46"/>
      <c r="M278" s="46"/>
      <c r="N278" s="46"/>
      <c r="O278" s="46"/>
      <c r="P278" s="46"/>
      <c r="Q278" s="46"/>
      <c r="R278" s="46"/>
      <c r="S278" s="46"/>
      <c r="T278" s="46"/>
      <c r="U278" s="46"/>
      <c r="V278" s="46"/>
      <c r="W278" s="47"/>
      <c r="X278" s="47"/>
    </row>
    <row r="279" spans="1:24" ht="15">
      <c r="A279" s="121" t="s">
        <v>3893</v>
      </c>
      <c r="B279" s="65" t="s">
        <v>4481</v>
      </c>
      <c r="C279" s="65" t="s">
        <v>55</v>
      </c>
      <c r="D279" s="122"/>
      <c r="E279" s="65"/>
      <c r="F279" s="123"/>
      <c r="G279" s="63"/>
      <c r="H279" s="63"/>
      <c r="I279" s="124"/>
      <c r="J279" s="71"/>
      <c r="K279" s="125"/>
      <c r="L279" s="46"/>
      <c r="M279" s="46"/>
      <c r="N279" s="46"/>
      <c r="O279" s="46"/>
      <c r="P279" s="46"/>
      <c r="Q279" s="46"/>
      <c r="R279" s="46"/>
      <c r="S279" s="46"/>
      <c r="T279" s="46"/>
      <c r="U279" s="46"/>
      <c r="V279" s="46"/>
      <c r="W279" s="47"/>
      <c r="X279" s="47"/>
    </row>
    <row r="280" spans="1:24" ht="15">
      <c r="A280" s="121" t="s">
        <v>3895</v>
      </c>
      <c r="B280" s="65" t="s">
        <v>4482</v>
      </c>
      <c r="C280" s="65" t="s">
        <v>55</v>
      </c>
      <c r="D280" s="122"/>
      <c r="E280" s="65"/>
      <c r="F280" s="123"/>
      <c r="G280" s="63"/>
      <c r="H280" s="63"/>
      <c r="I280" s="124"/>
      <c r="J280" s="71"/>
      <c r="K280" s="125"/>
      <c r="L280" s="46"/>
      <c r="M280" s="46"/>
      <c r="N280" s="46"/>
      <c r="O280" s="46"/>
      <c r="P280" s="46"/>
      <c r="Q280" s="46"/>
      <c r="R280" s="46"/>
      <c r="S280" s="46"/>
      <c r="T280" s="46"/>
      <c r="U280" s="46"/>
      <c r="V280" s="46"/>
      <c r="W280" s="47"/>
      <c r="X280" s="47"/>
    </row>
    <row r="281" spans="1:24" ht="15">
      <c r="A281" s="121" t="s">
        <v>3896</v>
      </c>
      <c r="B281" s="65" t="s">
        <v>4483</v>
      </c>
      <c r="C281" s="65" t="s">
        <v>55</v>
      </c>
      <c r="D281" s="122"/>
      <c r="E281" s="65"/>
      <c r="F281" s="123"/>
      <c r="G281" s="63"/>
      <c r="H281" s="63"/>
      <c r="I281" s="124"/>
      <c r="J281" s="71"/>
      <c r="K281" s="125"/>
      <c r="L281" s="46"/>
      <c r="M281" s="46"/>
      <c r="N281" s="46"/>
      <c r="O281" s="46"/>
      <c r="P281" s="46"/>
      <c r="Q281" s="46"/>
      <c r="R281" s="46"/>
      <c r="S281" s="46"/>
      <c r="T281" s="46"/>
      <c r="U281" s="46"/>
      <c r="V281" s="46"/>
      <c r="W281" s="47"/>
      <c r="X281" s="47"/>
    </row>
    <row r="282" spans="1:24" ht="15">
      <c r="A282" s="121" t="s">
        <v>3898</v>
      </c>
      <c r="B282" s="65" t="s">
        <v>4484</v>
      </c>
      <c r="C282" s="65" t="s">
        <v>55</v>
      </c>
      <c r="D282" s="122"/>
      <c r="E282" s="65"/>
      <c r="F282" s="123"/>
      <c r="G282" s="63"/>
      <c r="H282" s="63"/>
      <c r="I282" s="124"/>
      <c r="J282" s="71"/>
      <c r="K282" s="125"/>
      <c r="L282" s="46"/>
      <c r="M282" s="46"/>
      <c r="N282" s="46"/>
      <c r="O282" s="46"/>
      <c r="P282" s="46"/>
      <c r="Q282" s="46"/>
      <c r="R282" s="46"/>
      <c r="S282" s="46"/>
      <c r="T282" s="46"/>
      <c r="U282" s="46"/>
      <c r="V282" s="46"/>
      <c r="W282" s="47"/>
      <c r="X282" s="47"/>
    </row>
    <row r="283" spans="1:24" ht="15">
      <c r="A283" s="121" t="s">
        <v>3899</v>
      </c>
      <c r="B283" s="65" t="s">
        <v>4485</v>
      </c>
      <c r="C283" s="65" t="s">
        <v>55</v>
      </c>
      <c r="D283" s="122"/>
      <c r="E283" s="65"/>
      <c r="F283" s="123"/>
      <c r="G283" s="63"/>
      <c r="H283" s="63"/>
      <c r="I283" s="124"/>
      <c r="J283" s="71"/>
      <c r="K283" s="125"/>
      <c r="L283" s="46"/>
      <c r="M283" s="46"/>
      <c r="N283" s="46"/>
      <c r="O283" s="46"/>
      <c r="P283" s="46"/>
      <c r="Q283" s="46"/>
      <c r="R283" s="46"/>
      <c r="S283" s="46"/>
      <c r="T283" s="46"/>
      <c r="U283" s="46"/>
      <c r="V283" s="46"/>
      <c r="W283" s="47"/>
      <c r="X283" s="47"/>
    </row>
    <row r="284" spans="1:24" ht="15">
      <c r="A284" s="121" t="s">
        <v>3900</v>
      </c>
      <c r="B284" s="65" t="s">
        <v>4486</v>
      </c>
      <c r="C284" s="65" t="s">
        <v>55</v>
      </c>
      <c r="D284" s="122"/>
      <c r="E284" s="65"/>
      <c r="F284" s="123"/>
      <c r="G284" s="63"/>
      <c r="H284" s="63"/>
      <c r="I284" s="124"/>
      <c r="J284" s="71"/>
      <c r="K284" s="125"/>
      <c r="L284" s="46"/>
      <c r="M284" s="46"/>
      <c r="N284" s="46"/>
      <c r="O284" s="46"/>
      <c r="P284" s="46"/>
      <c r="Q284" s="46"/>
      <c r="R284" s="46"/>
      <c r="S284" s="46"/>
      <c r="T284" s="46"/>
      <c r="U284" s="46"/>
      <c r="V284" s="46"/>
      <c r="W284" s="47"/>
      <c r="X284" s="47"/>
    </row>
    <row r="285" spans="1:24" ht="15">
      <c r="A285" s="121" t="s">
        <v>3901</v>
      </c>
      <c r="B285" s="65" t="s">
        <v>4487</v>
      </c>
      <c r="C285" s="65" t="s">
        <v>55</v>
      </c>
      <c r="D285" s="122"/>
      <c r="E285" s="65"/>
      <c r="F285" s="123"/>
      <c r="G285" s="63"/>
      <c r="H285" s="63"/>
      <c r="I285" s="124"/>
      <c r="J285" s="71"/>
      <c r="K285" s="125"/>
      <c r="L285" s="46"/>
      <c r="M285" s="46"/>
      <c r="N285" s="46"/>
      <c r="O285" s="46"/>
      <c r="P285" s="46"/>
      <c r="Q285" s="46"/>
      <c r="R285" s="46"/>
      <c r="S285" s="46"/>
      <c r="T285" s="46"/>
      <c r="U285" s="46"/>
      <c r="V285" s="46"/>
      <c r="W285" s="47"/>
      <c r="X285" s="47"/>
    </row>
    <row r="286" spans="1:24" ht="15">
      <c r="A286" s="121" t="s">
        <v>3902</v>
      </c>
      <c r="B286" s="65" t="s">
        <v>4488</v>
      </c>
      <c r="C286" s="65" t="s">
        <v>55</v>
      </c>
      <c r="D286" s="122"/>
      <c r="E286" s="65"/>
      <c r="F286" s="123"/>
      <c r="G286" s="63"/>
      <c r="H286" s="63"/>
      <c r="I286" s="124"/>
      <c r="J286" s="71"/>
      <c r="K286" s="125"/>
      <c r="L286" s="46"/>
      <c r="M286" s="46"/>
      <c r="N286" s="46"/>
      <c r="O286" s="46"/>
      <c r="P286" s="46"/>
      <c r="Q286" s="46"/>
      <c r="R286" s="46"/>
      <c r="S286" s="46"/>
      <c r="T286" s="46"/>
      <c r="U286" s="46"/>
      <c r="V286" s="46"/>
      <c r="W286" s="47"/>
      <c r="X286" s="47"/>
    </row>
    <row r="287" spans="1:24" ht="15">
      <c r="A287" s="121" t="s">
        <v>3903</v>
      </c>
      <c r="B287" s="65" t="s">
        <v>4489</v>
      </c>
      <c r="C287" s="65" t="s">
        <v>55</v>
      </c>
      <c r="D287" s="122"/>
      <c r="E287" s="65"/>
      <c r="F287" s="123"/>
      <c r="G287" s="63"/>
      <c r="H287" s="63"/>
      <c r="I287" s="124"/>
      <c r="J287" s="71"/>
      <c r="K287" s="125"/>
      <c r="L287" s="46"/>
      <c r="M287" s="46"/>
      <c r="N287" s="46"/>
      <c r="O287" s="46"/>
      <c r="P287" s="46"/>
      <c r="Q287" s="46"/>
      <c r="R287" s="46"/>
      <c r="S287" s="46"/>
      <c r="T287" s="46"/>
      <c r="U287" s="46"/>
      <c r="V287" s="46"/>
      <c r="W287" s="47"/>
      <c r="X287" s="47"/>
    </row>
    <row r="288" spans="1:24" ht="15">
      <c r="A288" s="121" t="s">
        <v>3816</v>
      </c>
      <c r="B288" s="65" t="s">
        <v>4490</v>
      </c>
      <c r="C288" s="65" t="s">
        <v>55</v>
      </c>
      <c r="D288" s="122"/>
      <c r="E288" s="65"/>
      <c r="F288" s="123"/>
      <c r="G288" s="63"/>
      <c r="H288" s="63"/>
      <c r="I288" s="124"/>
      <c r="J288" s="71"/>
      <c r="K288" s="125"/>
      <c r="L288" s="46"/>
      <c r="M288" s="46"/>
      <c r="N288" s="46"/>
      <c r="O288" s="46"/>
      <c r="P288" s="46"/>
      <c r="Q288" s="46"/>
      <c r="R288" s="46"/>
      <c r="S288" s="46"/>
      <c r="T288" s="46"/>
      <c r="U288" s="46"/>
      <c r="V288" s="46"/>
      <c r="W288" s="47"/>
      <c r="X288" s="47"/>
    </row>
    <row r="289" spans="1:24" ht="15">
      <c r="A289" s="121" t="s">
        <v>1647</v>
      </c>
      <c r="B289" s="65" t="s">
        <v>4491</v>
      </c>
      <c r="C289" s="65" t="s">
        <v>55</v>
      </c>
      <c r="D289" s="122"/>
      <c r="E289" s="65"/>
      <c r="F289" s="123"/>
      <c r="G289" s="63"/>
      <c r="H289" s="63"/>
      <c r="I289" s="124"/>
      <c r="J289" s="71"/>
      <c r="K289" s="125"/>
      <c r="L289" s="46"/>
      <c r="M289" s="46"/>
      <c r="N289" s="46"/>
      <c r="O289" s="46"/>
      <c r="P289" s="46"/>
      <c r="Q289" s="46"/>
      <c r="R289" s="46"/>
      <c r="S289" s="46"/>
      <c r="T289" s="46"/>
      <c r="U289" s="46"/>
      <c r="V289" s="46"/>
      <c r="W289" s="47"/>
      <c r="X289" s="47"/>
    </row>
    <row r="290" spans="1:24" ht="15">
      <c r="A290" s="121" t="s">
        <v>1648</v>
      </c>
      <c r="B290" s="65" t="s">
        <v>4492</v>
      </c>
      <c r="C290" s="65" t="s">
        <v>55</v>
      </c>
      <c r="D290" s="122"/>
      <c r="E290" s="65"/>
      <c r="F290" s="123"/>
      <c r="G290" s="63"/>
      <c r="H290" s="63"/>
      <c r="I290" s="124"/>
      <c r="J290" s="71"/>
      <c r="K290" s="125"/>
      <c r="L290" s="46"/>
      <c r="M290" s="46"/>
      <c r="N290" s="46"/>
      <c r="O290" s="46"/>
      <c r="P290" s="46"/>
      <c r="Q290" s="46"/>
      <c r="R290" s="46"/>
      <c r="S290" s="46"/>
      <c r="T290" s="46"/>
      <c r="U290" s="46"/>
      <c r="V290" s="46"/>
      <c r="W290" s="47"/>
      <c r="X290" s="47"/>
    </row>
    <row r="291" spans="1:24" ht="15">
      <c r="A291" s="121" t="s">
        <v>1649</v>
      </c>
      <c r="B291" s="65" t="s">
        <v>4481</v>
      </c>
      <c r="C291" s="65" t="s">
        <v>58</v>
      </c>
      <c r="D291" s="122"/>
      <c r="E291" s="65"/>
      <c r="F291" s="123"/>
      <c r="G291" s="63"/>
      <c r="H291" s="63"/>
      <c r="I291" s="124"/>
      <c r="J291" s="71"/>
      <c r="K291" s="125"/>
      <c r="L291" s="46"/>
      <c r="M291" s="46"/>
      <c r="N291" s="46"/>
      <c r="O291" s="46"/>
      <c r="P291" s="46"/>
      <c r="Q291" s="46"/>
      <c r="R291" s="46"/>
      <c r="S291" s="46"/>
      <c r="T291" s="46"/>
      <c r="U291" s="46"/>
      <c r="V291" s="46"/>
      <c r="W291" s="47"/>
      <c r="X291" s="47"/>
    </row>
    <row r="292" spans="1:24" ht="15">
      <c r="A292" s="121" t="s">
        <v>1650</v>
      </c>
      <c r="B292" s="65" t="s">
        <v>4482</v>
      </c>
      <c r="C292" s="65" t="s">
        <v>58</v>
      </c>
      <c r="D292" s="122"/>
      <c r="E292" s="65"/>
      <c r="F292" s="123"/>
      <c r="G292" s="63"/>
      <c r="H292" s="63"/>
      <c r="I292" s="124"/>
      <c r="J292" s="71"/>
      <c r="K292" s="125"/>
      <c r="L292" s="46"/>
      <c r="M292" s="46"/>
      <c r="N292" s="46"/>
      <c r="O292" s="46"/>
      <c r="P292" s="46"/>
      <c r="Q292" s="46"/>
      <c r="R292" s="46"/>
      <c r="S292" s="46"/>
      <c r="T292" s="46"/>
      <c r="U292" s="46"/>
      <c r="V292" s="46"/>
      <c r="W292" s="47"/>
      <c r="X292" s="47"/>
    </row>
    <row r="293" spans="1:24" ht="15">
      <c r="A293" s="121" t="s">
        <v>3817</v>
      </c>
      <c r="B293" s="65" t="s">
        <v>4483</v>
      </c>
      <c r="C293" s="65" t="s">
        <v>58</v>
      </c>
      <c r="D293" s="122"/>
      <c r="E293" s="65"/>
      <c r="F293" s="123"/>
      <c r="G293" s="63"/>
      <c r="H293" s="63"/>
      <c r="I293" s="124"/>
      <c r="J293" s="71"/>
      <c r="K293" s="125"/>
      <c r="L293" s="46"/>
      <c r="M293" s="46"/>
      <c r="N293" s="46"/>
      <c r="O293" s="46"/>
      <c r="P293" s="46"/>
      <c r="Q293" s="46"/>
      <c r="R293" s="46"/>
      <c r="S293" s="46"/>
      <c r="T293" s="46"/>
      <c r="U293" s="46"/>
      <c r="V293" s="46"/>
      <c r="W293" s="47"/>
      <c r="X293" s="47"/>
    </row>
    <row r="294" spans="1:24" ht="15">
      <c r="A294" s="121" t="s">
        <v>1651</v>
      </c>
      <c r="B294" s="65" t="s">
        <v>4484</v>
      </c>
      <c r="C294" s="65" t="s">
        <v>58</v>
      </c>
      <c r="D294" s="122"/>
      <c r="E294" s="65"/>
      <c r="F294" s="123"/>
      <c r="G294" s="63"/>
      <c r="H294" s="63"/>
      <c r="I294" s="124"/>
      <c r="J294" s="71"/>
      <c r="K294" s="125"/>
      <c r="L294" s="46"/>
      <c r="M294" s="46"/>
      <c r="N294" s="46"/>
      <c r="O294" s="46"/>
      <c r="P294" s="46"/>
      <c r="Q294" s="46"/>
      <c r="R294" s="46"/>
      <c r="S294" s="46"/>
      <c r="T294" s="46"/>
      <c r="U294" s="46"/>
      <c r="V294" s="46"/>
      <c r="W294" s="47"/>
      <c r="X294" s="47"/>
    </row>
    <row r="295" spans="1:24" ht="15">
      <c r="A295" s="121" t="s">
        <v>3818</v>
      </c>
      <c r="B295" s="65" t="s">
        <v>4485</v>
      </c>
      <c r="C295" s="65" t="s">
        <v>58</v>
      </c>
      <c r="D295" s="122"/>
      <c r="E295" s="65"/>
      <c r="F295" s="123"/>
      <c r="G295" s="63"/>
      <c r="H295" s="63"/>
      <c r="I295" s="124"/>
      <c r="J295" s="71"/>
      <c r="K295" s="125"/>
      <c r="L295" s="46"/>
      <c r="M295" s="46"/>
      <c r="N295" s="46"/>
      <c r="O295" s="46"/>
      <c r="P295" s="46"/>
      <c r="Q295" s="46"/>
      <c r="R295" s="46"/>
      <c r="S295" s="46"/>
      <c r="T295" s="46"/>
      <c r="U295" s="46"/>
      <c r="V295" s="46"/>
      <c r="W295" s="47"/>
      <c r="X295" s="47"/>
    </row>
    <row r="296" spans="1:24" ht="15">
      <c r="A296" s="121" t="s">
        <v>1652</v>
      </c>
      <c r="B296" s="65" t="s">
        <v>4486</v>
      </c>
      <c r="C296" s="65" t="s">
        <v>58</v>
      </c>
      <c r="D296" s="122"/>
      <c r="E296" s="65"/>
      <c r="F296" s="123"/>
      <c r="G296" s="63"/>
      <c r="H296" s="63"/>
      <c r="I296" s="124"/>
      <c r="J296" s="71"/>
      <c r="K296" s="125"/>
      <c r="L296" s="46"/>
      <c r="M296" s="46"/>
      <c r="N296" s="46"/>
      <c r="O296" s="46"/>
      <c r="P296" s="46"/>
      <c r="Q296" s="46"/>
      <c r="R296" s="46"/>
      <c r="S296" s="46"/>
      <c r="T296" s="46"/>
      <c r="U296" s="46"/>
      <c r="V296" s="46"/>
      <c r="W296" s="47"/>
      <c r="X296" s="47"/>
    </row>
    <row r="297" spans="1:24" ht="15">
      <c r="A297" s="121" t="s">
        <v>1653</v>
      </c>
      <c r="B297" s="65" t="s">
        <v>4487</v>
      </c>
      <c r="C297" s="65" t="s">
        <v>58</v>
      </c>
      <c r="D297" s="122"/>
      <c r="E297" s="65"/>
      <c r="F297" s="123"/>
      <c r="G297" s="63"/>
      <c r="H297" s="63"/>
      <c r="I297" s="124"/>
      <c r="J297" s="71"/>
      <c r="K297" s="125"/>
      <c r="L297" s="46"/>
      <c r="M297" s="46"/>
      <c r="N297" s="46"/>
      <c r="O297" s="46"/>
      <c r="P297" s="46"/>
      <c r="Q297" s="46"/>
      <c r="R297" s="46"/>
      <c r="S297" s="46"/>
      <c r="T297" s="46"/>
      <c r="U297" s="46"/>
      <c r="V297" s="46"/>
      <c r="W297" s="47"/>
      <c r="X297" s="47"/>
    </row>
    <row r="298" spans="1:24" ht="15">
      <c r="A298" s="121" t="s">
        <v>1654</v>
      </c>
      <c r="B298" s="65" t="s">
        <v>4488</v>
      </c>
      <c r="C298" s="65" t="s">
        <v>58</v>
      </c>
      <c r="D298" s="122"/>
      <c r="E298" s="65"/>
      <c r="F298" s="123"/>
      <c r="G298" s="63"/>
      <c r="H298" s="63"/>
      <c r="I298" s="124"/>
      <c r="J298" s="71"/>
      <c r="K298" s="125"/>
      <c r="L298" s="46"/>
      <c r="M298" s="46"/>
      <c r="N298" s="46"/>
      <c r="O298" s="46"/>
      <c r="P298" s="46"/>
      <c r="Q298" s="46"/>
      <c r="R298" s="46"/>
      <c r="S298" s="46"/>
      <c r="T298" s="46"/>
      <c r="U298" s="46"/>
      <c r="V298" s="46"/>
      <c r="W298" s="47"/>
      <c r="X298" s="47"/>
    </row>
    <row r="299" spans="1:24" ht="15">
      <c r="A299" s="121" t="s">
        <v>1645</v>
      </c>
      <c r="B299" s="65" t="s">
        <v>4489</v>
      </c>
      <c r="C299" s="65" t="s">
        <v>58</v>
      </c>
      <c r="D299" s="122"/>
      <c r="E299" s="65"/>
      <c r="F299" s="123"/>
      <c r="G299" s="63"/>
      <c r="H299" s="63"/>
      <c r="I299" s="124"/>
      <c r="J299" s="71"/>
      <c r="K299" s="125"/>
      <c r="L299" s="46"/>
      <c r="M299" s="46"/>
      <c r="N299" s="46"/>
      <c r="O299" s="46"/>
      <c r="P299" s="46"/>
      <c r="Q299" s="46"/>
      <c r="R299" s="46"/>
      <c r="S299" s="46"/>
      <c r="T299" s="46"/>
      <c r="U299" s="46"/>
      <c r="V299" s="46"/>
      <c r="W299" s="47"/>
      <c r="X299" s="47"/>
    </row>
    <row r="300" spans="1:24" ht="15">
      <c r="A300" s="121" t="s">
        <v>1655</v>
      </c>
      <c r="B300" s="65" t="s">
        <v>4490</v>
      </c>
      <c r="C300" s="65" t="s">
        <v>58</v>
      </c>
      <c r="D300" s="122"/>
      <c r="E300" s="65"/>
      <c r="F300" s="123"/>
      <c r="G300" s="63"/>
      <c r="H300" s="63"/>
      <c r="I300" s="124"/>
      <c r="J300" s="71"/>
      <c r="K300" s="125"/>
      <c r="L300" s="46"/>
      <c r="M300" s="46"/>
      <c r="N300" s="46"/>
      <c r="O300" s="46"/>
      <c r="P300" s="46"/>
      <c r="Q300" s="46"/>
      <c r="R300" s="46"/>
      <c r="S300" s="46"/>
      <c r="T300" s="46"/>
      <c r="U300" s="46"/>
      <c r="V300" s="46"/>
      <c r="W300" s="47"/>
      <c r="X300" s="47"/>
    </row>
    <row r="301" spans="1:24" ht="15">
      <c r="A301" s="121" t="s">
        <v>1646</v>
      </c>
      <c r="B301" s="65" t="s">
        <v>4491</v>
      </c>
      <c r="C301" s="65" t="s">
        <v>58</v>
      </c>
      <c r="D301" s="122"/>
      <c r="E301" s="65"/>
      <c r="F301" s="123"/>
      <c r="G301" s="63"/>
      <c r="H301" s="63"/>
      <c r="I301" s="124"/>
      <c r="J301" s="71"/>
      <c r="K301" s="125"/>
      <c r="L301" s="46"/>
      <c r="M301" s="46"/>
      <c r="N301" s="46"/>
      <c r="O301" s="46"/>
      <c r="P301" s="46"/>
      <c r="Q301" s="46"/>
      <c r="R301" s="46"/>
      <c r="S301" s="46"/>
      <c r="T301" s="46"/>
      <c r="U301" s="46"/>
      <c r="V301" s="46"/>
      <c r="W301" s="47"/>
      <c r="X301" s="47"/>
    </row>
    <row r="302" spans="1:24" ht="15">
      <c r="A302" s="121" t="s">
        <v>1656</v>
      </c>
      <c r="B302" s="65" t="s">
        <v>4492</v>
      </c>
      <c r="C302" s="65" t="s">
        <v>58</v>
      </c>
      <c r="D302" s="122"/>
      <c r="E302" s="65"/>
      <c r="F302" s="123"/>
      <c r="G302" s="63"/>
      <c r="H302" s="63"/>
      <c r="I302" s="124"/>
      <c r="J302" s="71"/>
      <c r="K302" s="125"/>
      <c r="L302" s="46"/>
      <c r="M302" s="46"/>
      <c r="N302" s="46"/>
      <c r="O302" s="46"/>
      <c r="P302" s="46"/>
      <c r="Q302" s="46"/>
      <c r="R302" s="46"/>
      <c r="S302" s="46"/>
      <c r="T302" s="46"/>
      <c r="U302" s="46"/>
      <c r="V302" s="46"/>
      <c r="W302" s="47"/>
      <c r="X302" s="47"/>
    </row>
    <row r="303" spans="1:24" ht="15">
      <c r="A303" s="121" t="s">
        <v>1658</v>
      </c>
      <c r="B303" s="65" t="s">
        <v>4481</v>
      </c>
      <c r="C303" s="65" t="s">
        <v>60</v>
      </c>
      <c r="D303" s="122"/>
      <c r="E303" s="65"/>
      <c r="F303" s="123"/>
      <c r="G303" s="63"/>
      <c r="H303" s="63"/>
      <c r="I303" s="124"/>
      <c r="J303" s="71"/>
      <c r="K303" s="125"/>
      <c r="L303" s="46"/>
      <c r="M303" s="46"/>
      <c r="N303" s="46"/>
      <c r="O303" s="46"/>
      <c r="P303" s="46"/>
      <c r="Q303" s="46"/>
      <c r="R303" s="46"/>
      <c r="S303" s="46"/>
      <c r="T303" s="46"/>
      <c r="U303" s="46"/>
      <c r="V303" s="46"/>
      <c r="W303" s="47"/>
      <c r="X303" s="47"/>
    </row>
    <row r="304" spans="1:24" ht="15">
      <c r="A304" s="121" t="s">
        <v>1662</v>
      </c>
      <c r="B304" s="65" t="s">
        <v>4482</v>
      </c>
      <c r="C304" s="65" t="s">
        <v>60</v>
      </c>
      <c r="D304" s="122"/>
      <c r="E304" s="65"/>
      <c r="F304" s="123"/>
      <c r="G304" s="63"/>
      <c r="H304" s="63"/>
      <c r="I304" s="124"/>
      <c r="J304" s="71"/>
      <c r="K304" s="125"/>
      <c r="L304" s="46"/>
      <c r="M304" s="46"/>
      <c r="N304" s="46"/>
      <c r="O304" s="46"/>
      <c r="P304" s="46"/>
      <c r="Q304" s="46"/>
      <c r="R304" s="46"/>
      <c r="S304" s="46"/>
      <c r="T304" s="46"/>
      <c r="U304" s="46"/>
      <c r="V304" s="46"/>
      <c r="W304" s="47"/>
      <c r="X304" s="47"/>
    </row>
    <row r="305" spans="1:24" ht="15">
      <c r="A305" s="121" t="s">
        <v>1661</v>
      </c>
      <c r="B305" s="65" t="s">
        <v>4483</v>
      </c>
      <c r="C305" s="65" t="s">
        <v>60</v>
      </c>
      <c r="D305" s="122"/>
      <c r="E305" s="65"/>
      <c r="F305" s="123"/>
      <c r="G305" s="63"/>
      <c r="H305" s="63"/>
      <c r="I305" s="124"/>
      <c r="J305" s="71"/>
      <c r="K305" s="125"/>
      <c r="L305" s="46"/>
      <c r="M305" s="46"/>
      <c r="N305" s="46"/>
      <c r="O305" s="46"/>
      <c r="P305" s="46"/>
      <c r="Q305" s="46"/>
      <c r="R305" s="46"/>
      <c r="S305" s="46"/>
      <c r="T305" s="46"/>
      <c r="U305" s="46"/>
      <c r="V305" s="46"/>
      <c r="W305" s="47"/>
      <c r="X305" s="47"/>
    </row>
    <row r="306" spans="1:24" ht="15">
      <c r="A306" s="121" t="s">
        <v>1663</v>
      </c>
      <c r="B306" s="65" t="s">
        <v>4484</v>
      </c>
      <c r="C306" s="65" t="s">
        <v>60</v>
      </c>
      <c r="D306" s="122"/>
      <c r="E306" s="65"/>
      <c r="F306" s="123"/>
      <c r="G306" s="63"/>
      <c r="H306" s="63"/>
      <c r="I306" s="124"/>
      <c r="J306" s="71"/>
      <c r="K306" s="125"/>
      <c r="L306" s="46"/>
      <c r="M306" s="46"/>
      <c r="N306" s="46"/>
      <c r="O306" s="46"/>
      <c r="P306" s="46"/>
      <c r="Q306" s="46"/>
      <c r="R306" s="46"/>
      <c r="S306" s="46"/>
      <c r="T306" s="46"/>
      <c r="U306" s="46"/>
      <c r="V306" s="46"/>
      <c r="W306" s="47"/>
      <c r="X306" s="47"/>
    </row>
    <row r="307" spans="1:24" ht="15">
      <c r="A307" s="121" t="s">
        <v>1657</v>
      </c>
      <c r="B307" s="65" t="s">
        <v>4485</v>
      </c>
      <c r="C307" s="65" t="s">
        <v>60</v>
      </c>
      <c r="D307" s="122"/>
      <c r="E307" s="65"/>
      <c r="F307" s="123"/>
      <c r="G307" s="63"/>
      <c r="H307" s="63"/>
      <c r="I307" s="124"/>
      <c r="J307" s="71"/>
      <c r="K307" s="125"/>
      <c r="L307" s="46"/>
      <c r="M307" s="46"/>
      <c r="N307" s="46"/>
      <c r="O307" s="46"/>
      <c r="P307" s="46"/>
      <c r="Q307" s="46"/>
      <c r="R307" s="46"/>
      <c r="S307" s="46"/>
      <c r="T307" s="46"/>
      <c r="U307" s="46"/>
      <c r="V307" s="46"/>
      <c r="W307" s="47"/>
      <c r="X307" s="47"/>
    </row>
    <row r="308" spans="1:24" ht="15">
      <c r="A308" s="121" t="s">
        <v>1665</v>
      </c>
      <c r="B308" s="65" t="s">
        <v>4486</v>
      </c>
      <c r="C308" s="65" t="s">
        <v>60</v>
      </c>
      <c r="D308" s="122"/>
      <c r="E308" s="65"/>
      <c r="F308" s="123"/>
      <c r="G308" s="63"/>
      <c r="H308" s="63"/>
      <c r="I308" s="124"/>
      <c r="J308" s="71"/>
      <c r="K308" s="125"/>
      <c r="L308" s="46"/>
      <c r="M308" s="46"/>
      <c r="N308" s="46"/>
      <c r="O308" s="46"/>
      <c r="P308" s="46"/>
      <c r="Q308" s="46"/>
      <c r="R308" s="46"/>
      <c r="S308" s="46"/>
      <c r="T308" s="46"/>
      <c r="U308" s="46"/>
      <c r="V308" s="46"/>
      <c r="W308" s="47"/>
      <c r="X308" s="47"/>
    </row>
    <row r="309" spans="1:24" ht="15">
      <c r="A309" s="121" t="s">
        <v>1666</v>
      </c>
      <c r="B309" s="65" t="s">
        <v>4487</v>
      </c>
      <c r="C309" s="65" t="s">
        <v>60</v>
      </c>
      <c r="D309" s="122"/>
      <c r="E309" s="65"/>
      <c r="F309" s="123"/>
      <c r="G309" s="63"/>
      <c r="H309" s="63"/>
      <c r="I309" s="124"/>
      <c r="J309" s="71"/>
      <c r="K309" s="125"/>
      <c r="L309" s="46"/>
      <c r="M309" s="46"/>
      <c r="N309" s="46"/>
      <c r="O309" s="46"/>
      <c r="P309" s="46"/>
      <c r="Q309" s="46"/>
      <c r="R309" s="46"/>
      <c r="S309" s="46"/>
      <c r="T309" s="46"/>
      <c r="U309" s="46"/>
      <c r="V309" s="46"/>
      <c r="W309" s="47"/>
      <c r="X309" s="47"/>
    </row>
    <row r="310" spans="1:24" ht="15">
      <c r="A310" s="121" t="s">
        <v>1632</v>
      </c>
      <c r="B310" s="65" t="s">
        <v>4488</v>
      </c>
      <c r="C310" s="65" t="s">
        <v>60</v>
      </c>
      <c r="D310" s="122"/>
      <c r="E310" s="65"/>
      <c r="F310" s="123"/>
      <c r="G310" s="63"/>
      <c r="H310" s="63"/>
      <c r="I310" s="124"/>
      <c r="J310" s="71"/>
      <c r="K310" s="125"/>
      <c r="L310" s="46"/>
      <c r="M310" s="46"/>
      <c r="N310" s="46"/>
      <c r="O310" s="46"/>
      <c r="P310" s="46"/>
      <c r="Q310" s="46"/>
      <c r="R310" s="46"/>
      <c r="S310" s="46"/>
      <c r="T310" s="46"/>
      <c r="U310" s="46"/>
      <c r="V310" s="46"/>
      <c r="W310" s="47"/>
      <c r="X310" s="47"/>
    </row>
    <row r="311" spans="1:24" ht="15">
      <c r="A311" s="121" t="s">
        <v>1633</v>
      </c>
      <c r="B311" s="65" t="s">
        <v>4489</v>
      </c>
      <c r="C311" s="65" t="s">
        <v>60</v>
      </c>
      <c r="D311" s="122"/>
      <c r="E311" s="65"/>
      <c r="F311" s="123"/>
      <c r="G311" s="63"/>
      <c r="H311" s="63"/>
      <c r="I311" s="124"/>
      <c r="J311" s="71"/>
      <c r="K311" s="125"/>
      <c r="L311" s="46"/>
      <c r="M311" s="46"/>
      <c r="N311" s="46"/>
      <c r="O311" s="46"/>
      <c r="P311" s="46"/>
      <c r="Q311" s="46"/>
      <c r="R311" s="46"/>
      <c r="S311" s="46"/>
      <c r="T311" s="46"/>
      <c r="U311" s="46"/>
      <c r="V311" s="46"/>
      <c r="W311" s="47"/>
      <c r="X311" s="47"/>
    </row>
    <row r="312" spans="1:24" ht="15">
      <c r="A312" s="121" t="s">
        <v>1634</v>
      </c>
      <c r="B312" s="65" t="s">
        <v>4490</v>
      </c>
      <c r="C312" s="65" t="s">
        <v>60</v>
      </c>
      <c r="D312" s="122"/>
      <c r="E312" s="65"/>
      <c r="F312" s="123"/>
      <c r="G312" s="63"/>
      <c r="H312" s="63"/>
      <c r="I312" s="124"/>
      <c r="J312" s="71"/>
      <c r="K312" s="125"/>
      <c r="L312" s="46"/>
      <c r="M312" s="46"/>
      <c r="N312" s="46"/>
      <c r="O312" s="46"/>
      <c r="P312" s="46"/>
      <c r="Q312" s="46"/>
      <c r="R312" s="46"/>
      <c r="S312" s="46"/>
      <c r="T312" s="46"/>
      <c r="U312" s="46"/>
      <c r="V312" s="46"/>
      <c r="W312" s="47"/>
      <c r="X312" s="47"/>
    </row>
    <row r="313" spans="1:24" ht="15">
      <c r="A313" s="121" t="s">
        <v>1631</v>
      </c>
      <c r="B313" s="65" t="s">
        <v>4491</v>
      </c>
      <c r="C313" s="65" t="s">
        <v>60</v>
      </c>
      <c r="D313" s="122"/>
      <c r="E313" s="65"/>
      <c r="F313" s="123"/>
      <c r="G313" s="63"/>
      <c r="H313" s="63"/>
      <c r="I313" s="124"/>
      <c r="J313" s="71"/>
      <c r="K313" s="125"/>
      <c r="L313" s="46"/>
      <c r="M313" s="46"/>
      <c r="N313" s="46"/>
      <c r="O313" s="46"/>
      <c r="P313" s="46"/>
      <c r="Q313" s="46"/>
      <c r="R313" s="46"/>
      <c r="S313" s="46"/>
      <c r="T313" s="46"/>
      <c r="U313" s="46"/>
      <c r="V313" s="46"/>
      <c r="W313" s="47"/>
      <c r="X313" s="47"/>
    </row>
    <row r="314" spans="1:24" ht="15">
      <c r="A314" s="121" t="s">
        <v>1635</v>
      </c>
      <c r="B314" s="65" t="s">
        <v>4492</v>
      </c>
      <c r="C314" s="65" t="s">
        <v>60</v>
      </c>
      <c r="D314" s="122"/>
      <c r="E314" s="65"/>
      <c r="F314" s="123"/>
      <c r="G314" s="63"/>
      <c r="H314" s="63"/>
      <c r="I314" s="124"/>
      <c r="J314" s="71"/>
      <c r="K314" s="125"/>
      <c r="L314" s="46"/>
      <c r="M314" s="46"/>
      <c r="N314" s="46"/>
      <c r="O314" s="46"/>
      <c r="P314" s="46"/>
      <c r="Q314" s="46"/>
      <c r="R314" s="46"/>
      <c r="S314" s="46"/>
      <c r="T314" s="46"/>
      <c r="U314" s="46"/>
      <c r="V314" s="46"/>
      <c r="W314" s="47"/>
      <c r="X314" s="47"/>
    </row>
    <row r="315" spans="1:24" ht="15">
      <c r="A315" s="121" t="s">
        <v>1637</v>
      </c>
      <c r="B315" s="65" t="s">
        <v>4481</v>
      </c>
      <c r="C315" s="65" t="s">
        <v>62</v>
      </c>
      <c r="D315" s="122"/>
      <c r="E315" s="65"/>
      <c r="F315" s="123"/>
      <c r="G315" s="63"/>
      <c r="H315" s="63"/>
      <c r="I315" s="124"/>
      <c r="J315" s="71"/>
      <c r="K315" s="125"/>
      <c r="L315" s="46"/>
      <c r="M315" s="46"/>
      <c r="N315" s="46"/>
      <c r="O315" s="46"/>
      <c r="P315" s="46"/>
      <c r="Q315" s="46"/>
      <c r="R315" s="46"/>
      <c r="S315" s="46"/>
      <c r="T315" s="46"/>
      <c r="U315" s="46"/>
      <c r="V315" s="46"/>
      <c r="W315" s="47"/>
      <c r="X315" s="47"/>
    </row>
    <row r="316" spans="1:24" ht="15">
      <c r="A316" s="121" t="s">
        <v>3940</v>
      </c>
      <c r="B316" s="65" t="s">
        <v>4482</v>
      </c>
      <c r="C316" s="65" t="s">
        <v>62</v>
      </c>
      <c r="D316" s="122"/>
      <c r="E316" s="65"/>
      <c r="F316" s="123"/>
      <c r="G316" s="63"/>
      <c r="H316" s="63"/>
      <c r="I316" s="124"/>
      <c r="J316" s="71"/>
      <c r="K316" s="125"/>
      <c r="L316" s="46"/>
      <c r="M316" s="46"/>
      <c r="N316" s="46"/>
      <c r="O316" s="46"/>
      <c r="P316" s="46"/>
      <c r="Q316" s="46"/>
      <c r="R316" s="46"/>
      <c r="S316" s="46"/>
      <c r="T316" s="46"/>
      <c r="U316" s="46"/>
      <c r="V316" s="46"/>
      <c r="W316" s="47"/>
      <c r="X316" s="47"/>
    </row>
    <row r="317" spans="1:24" ht="15">
      <c r="A317" s="121" t="s">
        <v>3942</v>
      </c>
      <c r="B317" s="65" t="s">
        <v>4483</v>
      </c>
      <c r="C317" s="65" t="s">
        <v>62</v>
      </c>
      <c r="D317" s="122"/>
      <c r="E317" s="65"/>
      <c r="F317" s="123"/>
      <c r="G317" s="63"/>
      <c r="H317" s="63"/>
      <c r="I317" s="124"/>
      <c r="J317" s="71"/>
      <c r="K317" s="125"/>
      <c r="L317" s="46"/>
      <c r="M317" s="46"/>
      <c r="N317" s="46"/>
      <c r="O317" s="46"/>
      <c r="P317" s="46"/>
      <c r="Q317" s="46"/>
      <c r="R317" s="46"/>
      <c r="S317" s="46"/>
      <c r="T317" s="46"/>
      <c r="U317" s="46"/>
      <c r="V317" s="46"/>
      <c r="W317" s="47"/>
      <c r="X317" s="47"/>
    </row>
    <row r="318" spans="1:24" ht="15">
      <c r="A318" s="121" t="s">
        <v>3943</v>
      </c>
      <c r="B318" s="65" t="s">
        <v>4484</v>
      </c>
      <c r="C318" s="65" t="s">
        <v>62</v>
      </c>
      <c r="D318" s="122"/>
      <c r="E318" s="65"/>
      <c r="F318" s="123"/>
      <c r="G318" s="63"/>
      <c r="H318" s="63"/>
      <c r="I318" s="124"/>
      <c r="J318" s="71"/>
      <c r="K318" s="125"/>
      <c r="L318" s="46"/>
      <c r="M318" s="46"/>
      <c r="N318" s="46"/>
      <c r="O318" s="46"/>
      <c r="P318" s="46"/>
      <c r="Q318" s="46"/>
      <c r="R318" s="46"/>
      <c r="S318" s="46"/>
      <c r="T318" s="46"/>
      <c r="U318" s="46"/>
      <c r="V318" s="46"/>
      <c r="W318" s="47"/>
      <c r="X318" s="47"/>
    </row>
    <row r="319" spans="1:24" ht="15">
      <c r="A319" s="121" t="s">
        <v>3945</v>
      </c>
      <c r="B319" s="65" t="s">
        <v>4485</v>
      </c>
      <c r="C319" s="65" t="s">
        <v>62</v>
      </c>
      <c r="D319" s="122"/>
      <c r="E319" s="65"/>
      <c r="F319" s="123"/>
      <c r="G319" s="63"/>
      <c r="H319" s="63"/>
      <c r="I319" s="124"/>
      <c r="J319" s="71"/>
      <c r="K319" s="125"/>
      <c r="L319" s="46"/>
      <c r="M319" s="46"/>
      <c r="N319" s="46"/>
      <c r="O319" s="46"/>
      <c r="P319" s="46"/>
      <c r="Q319" s="46"/>
      <c r="R319" s="46"/>
      <c r="S319" s="46"/>
      <c r="T319" s="46"/>
      <c r="U319" s="46"/>
      <c r="V319" s="46"/>
      <c r="W319" s="47"/>
      <c r="X319" s="47"/>
    </row>
    <row r="320" spans="1:24" ht="15">
      <c r="A320" s="121" t="s">
        <v>4465</v>
      </c>
      <c r="B320" s="65" t="s">
        <v>4486</v>
      </c>
      <c r="C320" s="65" t="s">
        <v>62</v>
      </c>
      <c r="D320" s="122"/>
      <c r="E320" s="65"/>
      <c r="F320" s="123"/>
      <c r="G320" s="63"/>
      <c r="H320" s="63"/>
      <c r="I320" s="124"/>
      <c r="J320" s="71"/>
      <c r="K320" s="125"/>
      <c r="L320" s="46"/>
      <c r="M320" s="46"/>
      <c r="N320" s="46"/>
      <c r="O320" s="46"/>
      <c r="P320" s="46"/>
      <c r="Q320" s="46"/>
      <c r="R320" s="46"/>
      <c r="S320" s="46"/>
      <c r="T320" s="46"/>
      <c r="U320" s="46"/>
      <c r="V320" s="46"/>
      <c r="W320" s="47"/>
      <c r="X320" s="47"/>
    </row>
    <row r="321" spans="1:24" ht="15">
      <c r="A321" s="121" t="s">
        <v>3947</v>
      </c>
      <c r="B321" s="65" t="s">
        <v>4487</v>
      </c>
      <c r="C321" s="65" t="s">
        <v>62</v>
      </c>
      <c r="D321" s="122"/>
      <c r="E321" s="65"/>
      <c r="F321" s="123"/>
      <c r="G321" s="63"/>
      <c r="H321" s="63"/>
      <c r="I321" s="124"/>
      <c r="J321" s="71"/>
      <c r="K321" s="125"/>
      <c r="L321" s="46"/>
      <c r="M321" s="46"/>
      <c r="N321" s="46"/>
      <c r="O321" s="46"/>
      <c r="P321" s="46"/>
      <c r="Q321" s="46"/>
      <c r="R321" s="46"/>
      <c r="S321" s="46"/>
      <c r="T321" s="46"/>
      <c r="U321" s="46"/>
      <c r="V321" s="46"/>
      <c r="W321" s="47"/>
      <c r="X321" s="47"/>
    </row>
    <row r="322" spans="1:24" ht="15">
      <c r="A322" s="121" t="s">
        <v>3923</v>
      </c>
      <c r="B322" s="65" t="s">
        <v>4488</v>
      </c>
      <c r="C322" s="65" t="s">
        <v>62</v>
      </c>
      <c r="D322" s="122"/>
      <c r="E322" s="65"/>
      <c r="F322" s="123"/>
      <c r="G322" s="63"/>
      <c r="H322" s="63"/>
      <c r="I322" s="124"/>
      <c r="J322" s="71"/>
      <c r="K322" s="125"/>
      <c r="L322" s="46"/>
      <c r="M322" s="46"/>
      <c r="N322" s="46"/>
      <c r="O322" s="46"/>
      <c r="P322" s="46"/>
      <c r="Q322" s="46"/>
      <c r="R322" s="46"/>
      <c r="S322" s="46"/>
      <c r="T322" s="46"/>
      <c r="U322" s="46"/>
      <c r="V322" s="46"/>
      <c r="W322" s="47"/>
      <c r="X322" s="47"/>
    </row>
    <row r="323" spans="1:24" ht="15">
      <c r="A323" s="121" t="s">
        <v>4466</v>
      </c>
      <c r="B323" s="65" t="s">
        <v>4489</v>
      </c>
      <c r="C323" s="65" t="s">
        <v>62</v>
      </c>
      <c r="D323" s="122"/>
      <c r="E323" s="65"/>
      <c r="F323" s="123"/>
      <c r="G323" s="63"/>
      <c r="H323" s="63"/>
      <c r="I323" s="124"/>
      <c r="J323" s="71"/>
      <c r="K323" s="125"/>
      <c r="L323" s="46"/>
      <c r="M323" s="46"/>
      <c r="N323" s="46"/>
      <c r="O323" s="46"/>
      <c r="P323" s="46"/>
      <c r="Q323" s="46"/>
      <c r="R323" s="46"/>
      <c r="S323" s="46"/>
      <c r="T323" s="46"/>
      <c r="U323" s="46"/>
      <c r="V323" s="46"/>
      <c r="W323" s="47"/>
      <c r="X323" s="47"/>
    </row>
    <row r="324" spans="1:24" ht="15">
      <c r="A324" s="121" t="s">
        <v>3925</v>
      </c>
      <c r="B324" s="65" t="s">
        <v>4490</v>
      </c>
      <c r="C324" s="65" t="s">
        <v>62</v>
      </c>
      <c r="D324" s="122"/>
      <c r="E324" s="65"/>
      <c r="F324" s="123"/>
      <c r="G324" s="63"/>
      <c r="H324" s="63"/>
      <c r="I324" s="124"/>
      <c r="J324" s="71"/>
      <c r="K324" s="125"/>
      <c r="L324" s="46"/>
      <c r="M324" s="46"/>
      <c r="N324" s="46"/>
      <c r="O324" s="46"/>
      <c r="P324" s="46"/>
      <c r="Q324" s="46"/>
      <c r="R324" s="46"/>
      <c r="S324" s="46"/>
      <c r="T324" s="46"/>
      <c r="U324" s="46"/>
      <c r="V324" s="46"/>
      <c r="W324" s="47"/>
      <c r="X324" s="47"/>
    </row>
    <row r="325" spans="1:24" ht="15">
      <c r="A325" s="121" t="s">
        <v>3926</v>
      </c>
      <c r="B325" s="65" t="s">
        <v>4491</v>
      </c>
      <c r="C325" s="65" t="s">
        <v>62</v>
      </c>
      <c r="D325" s="122"/>
      <c r="E325" s="65"/>
      <c r="F325" s="123"/>
      <c r="G325" s="63"/>
      <c r="H325" s="63"/>
      <c r="I325" s="124"/>
      <c r="J325" s="71"/>
      <c r="K325" s="125"/>
      <c r="L325" s="46"/>
      <c r="M325" s="46"/>
      <c r="N325" s="46"/>
      <c r="O325" s="46"/>
      <c r="P325" s="46"/>
      <c r="Q325" s="46"/>
      <c r="R325" s="46"/>
      <c r="S325" s="46"/>
      <c r="T325" s="46"/>
      <c r="U325" s="46"/>
      <c r="V325" s="46"/>
      <c r="W325" s="47"/>
      <c r="X325" s="47"/>
    </row>
    <row r="326" spans="1:24" ht="15">
      <c r="A326" s="121" t="s">
        <v>3927</v>
      </c>
      <c r="B326" s="65" t="s">
        <v>4492</v>
      </c>
      <c r="C326" s="65" t="s">
        <v>62</v>
      </c>
      <c r="D326" s="122"/>
      <c r="E326" s="65"/>
      <c r="F326" s="123"/>
      <c r="G326" s="63"/>
      <c r="H326" s="63"/>
      <c r="I326" s="124"/>
      <c r="J326" s="71"/>
      <c r="K326" s="125"/>
      <c r="L326" s="46"/>
      <c r="M326" s="46"/>
      <c r="N326" s="46"/>
      <c r="O326" s="46"/>
      <c r="P326" s="46"/>
      <c r="Q326" s="46"/>
      <c r="R326" s="46"/>
      <c r="S326" s="46"/>
      <c r="T326" s="46"/>
      <c r="U326" s="46"/>
      <c r="V326" s="46"/>
      <c r="W326" s="47"/>
      <c r="X326" s="47"/>
    </row>
    <row r="327" spans="1:24" ht="15">
      <c r="A327" s="121" t="s">
        <v>3928</v>
      </c>
      <c r="B327" s="65" t="s">
        <v>4493</v>
      </c>
      <c r="C327" s="65" t="s">
        <v>56</v>
      </c>
      <c r="D327" s="122"/>
      <c r="E327" s="65"/>
      <c r="F327" s="123"/>
      <c r="G327" s="63"/>
      <c r="H327" s="63"/>
      <c r="I327" s="124"/>
      <c r="J327" s="71"/>
      <c r="K327" s="125"/>
      <c r="L327" s="46"/>
      <c r="M327" s="46"/>
      <c r="N327" s="46"/>
      <c r="O327" s="46"/>
      <c r="P327" s="46"/>
      <c r="Q327" s="46"/>
      <c r="R327" s="46"/>
      <c r="S327" s="46"/>
      <c r="T327" s="46"/>
      <c r="U327" s="46"/>
      <c r="V327" s="46"/>
      <c r="W327" s="47"/>
      <c r="X327" s="47"/>
    </row>
    <row r="328" spans="1:24" ht="15">
      <c r="A328" s="121" t="s">
        <v>3929</v>
      </c>
      <c r="B328" s="65" t="s">
        <v>4494</v>
      </c>
      <c r="C328" s="65" t="s">
        <v>56</v>
      </c>
      <c r="D328" s="122"/>
      <c r="E328" s="65"/>
      <c r="F328" s="123"/>
      <c r="G328" s="63"/>
      <c r="H328" s="63"/>
      <c r="I328" s="124"/>
      <c r="J328" s="71"/>
      <c r="K328" s="125"/>
      <c r="L328" s="46"/>
      <c r="M328" s="46"/>
      <c r="N328" s="46"/>
      <c r="O328" s="46"/>
      <c r="P328" s="46"/>
      <c r="Q328" s="46"/>
      <c r="R328" s="46"/>
      <c r="S328" s="46"/>
      <c r="T328" s="46"/>
      <c r="U328" s="46"/>
      <c r="V328" s="46"/>
      <c r="W328" s="47"/>
      <c r="X328" s="47"/>
    </row>
    <row r="329" spans="1:24" ht="15">
      <c r="A329" s="121" t="s">
        <v>3930</v>
      </c>
      <c r="B329" s="65" t="s">
        <v>4495</v>
      </c>
      <c r="C329" s="65" t="s">
        <v>56</v>
      </c>
      <c r="D329" s="122"/>
      <c r="E329" s="65"/>
      <c r="F329" s="123"/>
      <c r="G329" s="63"/>
      <c r="H329" s="63"/>
      <c r="I329" s="124"/>
      <c r="J329" s="71"/>
      <c r="K329" s="125"/>
      <c r="L329" s="46"/>
      <c r="M329" s="46"/>
      <c r="N329" s="46"/>
      <c r="O329" s="46"/>
      <c r="P329" s="46"/>
      <c r="Q329" s="46"/>
      <c r="R329" s="46"/>
      <c r="S329" s="46"/>
      <c r="T329" s="46"/>
      <c r="U329" s="46"/>
      <c r="V329" s="46"/>
      <c r="W329" s="47"/>
      <c r="X329" s="47"/>
    </row>
    <row r="330" spans="1:24" ht="15">
      <c r="A330" s="121" t="s">
        <v>3931</v>
      </c>
      <c r="B330" s="65" t="s">
        <v>4496</v>
      </c>
      <c r="C330" s="65" t="s">
        <v>56</v>
      </c>
      <c r="D330" s="122"/>
      <c r="E330" s="65"/>
      <c r="F330" s="123"/>
      <c r="G330" s="63"/>
      <c r="H330" s="63"/>
      <c r="I330" s="124"/>
      <c r="J330" s="71"/>
      <c r="K330" s="125"/>
      <c r="L330" s="46"/>
      <c r="M330" s="46"/>
      <c r="N330" s="46"/>
      <c r="O330" s="46"/>
      <c r="P330" s="46"/>
      <c r="Q330" s="46"/>
      <c r="R330" s="46"/>
      <c r="S330" s="46"/>
      <c r="T330" s="46"/>
      <c r="U330" s="46"/>
      <c r="V330" s="46"/>
      <c r="W330" s="47"/>
      <c r="X330" s="47"/>
    </row>
    <row r="331" spans="1:24" ht="15">
      <c r="A331" s="121" t="s">
        <v>3932</v>
      </c>
      <c r="B331" s="65" t="s">
        <v>4497</v>
      </c>
      <c r="C331" s="65" t="s">
        <v>56</v>
      </c>
      <c r="D331" s="122"/>
      <c r="E331" s="65"/>
      <c r="F331" s="123"/>
      <c r="G331" s="63"/>
      <c r="H331" s="63"/>
      <c r="I331" s="124"/>
      <c r="J331" s="71"/>
      <c r="K331" s="125"/>
      <c r="L331" s="46"/>
      <c r="M331" s="46"/>
      <c r="N331" s="46"/>
      <c r="O331" s="46"/>
      <c r="P331" s="46"/>
      <c r="Q331" s="46"/>
      <c r="R331" s="46"/>
      <c r="S331" s="46"/>
      <c r="T331" s="46"/>
      <c r="U331" s="46"/>
      <c r="V331" s="46"/>
      <c r="W331" s="47"/>
      <c r="X331" s="47"/>
    </row>
    <row r="332" spans="1:24" ht="15">
      <c r="A332" s="121" t="s">
        <v>3933</v>
      </c>
      <c r="B332" s="65" t="s">
        <v>4498</v>
      </c>
      <c r="C332" s="65" t="s">
        <v>56</v>
      </c>
      <c r="D332" s="122"/>
      <c r="E332" s="65"/>
      <c r="F332" s="123"/>
      <c r="G332" s="63"/>
      <c r="H332" s="63"/>
      <c r="I332" s="124"/>
      <c r="J332" s="71"/>
      <c r="K332" s="125"/>
      <c r="L332" s="46"/>
      <c r="M332" s="46"/>
      <c r="N332" s="46"/>
      <c r="O332" s="46"/>
      <c r="P332" s="46"/>
      <c r="Q332" s="46"/>
      <c r="R332" s="46"/>
      <c r="S332" s="46"/>
      <c r="T332" s="46"/>
      <c r="U332" s="46"/>
      <c r="V332" s="46"/>
      <c r="W332" s="47"/>
      <c r="X332" s="47"/>
    </row>
    <row r="333" spans="1:24" ht="15">
      <c r="A333" s="121" t="s">
        <v>3934</v>
      </c>
      <c r="B333" s="65" t="s">
        <v>4499</v>
      </c>
      <c r="C333" s="65" t="s">
        <v>56</v>
      </c>
      <c r="D333" s="122"/>
      <c r="E333" s="65"/>
      <c r="F333" s="123"/>
      <c r="G333" s="63"/>
      <c r="H333" s="63"/>
      <c r="I333" s="124"/>
      <c r="J333" s="71"/>
      <c r="K333" s="125"/>
      <c r="L333" s="46"/>
      <c r="M333" s="46"/>
      <c r="N333" s="46"/>
      <c r="O333" s="46"/>
      <c r="P333" s="46"/>
      <c r="Q333" s="46"/>
      <c r="R333" s="46"/>
      <c r="S333" s="46"/>
      <c r="T333" s="46"/>
      <c r="U333" s="46"/>
      <c r="V333" s="46"/>
      <c r="W333" s="47"/>
      <c r="X333" s="47"/>
    </row>
    <row r="334" spans="1:24" ht="15">
      <c r="A334" s="121" t="s">
        <v>3935</v>
      </c>
      <c r="B334" s="65" t="s">
        <v>4500</v>
      </c>
      <c r="C334" s="65" t="s">
        <v>56</v>
      </c>
      <c r="D334" s="122"/>
      <c r="E334" s="65"/>
      <c r="F334" s="123"/>
      <c r="G334" s="63"/>
      <c r="H334" s="63"/>
      <c r="I334" s="124"/>
      <c r="J334" s="71"/>
      <c r="K334" s="125"/>
      <c r="L334" s="46"/>
      <c r="M334" s="46"/>
      <c r="N334" s="46"/>
      <c r="O334" s="46"/>
      <c r="P334" s="46"/>
      <c r="Q334" s="46"/>
      <c r="R334" s="46"/>
      <c r="S334" s="46"/>
      <c r="T334" s="46"/>
      <c r="U334" s="46"/>
      <c r="V334" s="46"/>
      <c r="W334" s="47"/>
      <c r="X334" s="47"/>
    </row>
    <row r="335" spans="1:24" ht="15">
      <c r="A335" s="121" t="s">
        <v>3936</v>
      </c>
      <c r="B335" s="65" t="s">
        <v>4501</v>
      </c>
      <c r="C335" s="65" t="s">
        <v>56</v>
      </c>
      <c r="D335" s="122"/>
      <c r="E335" s="65"/>
      <c r="F335" s="123"/>
      <c r="G335" s="63"/>
      <c r="H335" s="63"/>
      <c r="I335" s="124"/>
      <c r="J335" s="71"/>
      <c r="K335" s="125"/>
      <c r="L335" s="46"/>
      <c r="M335" s="46"/>
      <c r="N335" s="46"/>
      <c r="O335" s="46"/>
      <c r="P335" s="46"/>
      <c r="Q335" s="46"/>
      <c r="R335" s="46"/>
      <c r="S335" s="46"/>
      <c r="T335" s="46"/>
      <c r="U335" s="46"/>
      <c r="V335" s="46"/>
      <c r="W335" s="47"/>
      <c r="X335" s="47"/>
    </row>
    <row r="336" spans="1:24" ht="15">
      <c r="A336" s="121" t="s">
        <v>3937</v>
      </c>
      <c r="B336" s="65" t="s">
        <v>4502</v>
      </c>
      <c r="C336" s="65" t="s">
        <v>56</v>
      </c>
      <c r="D336" s="122"/>
      <c r="E336" s="65"/>
      <c r="F336" s="123"/>
      <c r="G336" s="63"/>
      <c r="H336" s="63"/>
      <c r="I336" s="124"/>
      <c r="J336" s="71"/>
      <c r="K336" s="125"/>
      <c r="L336" s="46"/>
      <c r="M336" s="46"/>
      <c r="N336" s="46"/>
      <c r="O336" s="46"/>
      <c r="P336" s="46"/>
      <c r="Q336" s="46"/>
      <c r="R336" s="46"/>
      <c r="S336" s="46"/>
      <c r="T336" s="46"/>
      <c r="U336" s="46"/>
      <c r="V336" s="46"/>
      <c r="W336" s="47"/>
      <c r="X336" s="47"/>
    </row>
    <row r="337" spans="1:24" ht="15">
      <c r="A337" s="121" t="s">
        <v>3938</v>
      </c>
      <c r="B337" s="65" t="s">
        <v>4503</v>
      </c>
      <c r="C337" s="65" t="s">
        <v>56</v>
      </c>
      <c r="D337" s="122"/>
      <c r="E337" s="65"/>
      <c r="F337" s="123"/>
      <c r="G337" s="63"/>
      <c r="H337" s="63"/>
      <c r="I337" s="124"/>
      <c r="J337" s="71"/>
      <c r="K337" s="125"/>
      <c r="L337" s="46"/>
      <c r="M337" s="46"/>
      <c r="N337" s="46"/>
      <c r="O337" s="46"/>
      <c r="P337" s="46"/>
      <c r="Q337" s="46"/>
      <c r="R337" s="46"/>
      <c r="S337" s="46"/>
      <c r="T337" s="46"/>
      <c r="U337" s="46"/>
      <c r="V337" s="46"/>
      <c r="W337" s="47"/>
      <c r="X337" s="47"/>
    </row>
    <row r="338" spans="1:24" ht="15">
      <c r="A338" s="121" t="s">
        <v>3766</v>
      </c>
      <c r="B338" s="65" t="s">
        <v>4504</v>
      </c>
      <c r="C338" s="65" t="s">
        <v>56</v>
      </c>
      <c r="D338" s="122"/>
      <c r="E338" s="65"/>
      <c r="F338" s="123"/>
      <c r="G338" s="63"/>
      <c r="H338" s="63"/>
      <c r="I338" s="124"/>
      <c r="J338" s="71"/>
      <c r="K338" s="125"/>
      <c r="L338" s="46"/>
      <c r="M338" s="46"/>
      <c r="N338" s="46"/>
      <c r="O338" s="46"/>
      <c r="P338" s="46"/>
      <c r="Q338" s="46"/>
      <c r="R338" s="46"/>
      <c r="S338" s="46"/>
      <c r="T338" s="46"/>
      <c r="U338" s="46"/>
      <c r="V338" s="46"/>
      <c r="W338" s="47"/>
      <c r="X338" s="47"/>
    </row>
    <row r="339" spans="1:24" ht="15">
      <c r="A339" s="121" t="s">
        <v>3767</v>
      </c>
      <c r="B339" s="65" t="s">
        <v>4493</v>
      </c>
      <c r="C339" s="65" t="s">
        <v>59</v>
      </c>
      <c r="D339" s="122"/>
      <c r="E339" s="65"/>
      <c r="F339" s="123"/>
      <c r="G339" s="63"/>
      <c r="H339" s="63"/>
      <c r="I339" s="124"/>
      <c r="J339" s="71"/>
      <c r="K339" s="125"/>
      <c r="L339" s="46"/>
      <c r="M339" s="46"/>
      <c r="N339" s="46"/>
      <c r="O339" s="46"/>
      <c r="P339" s="46"/>
      <c r="Q339" s="46"/>
      <c r="R339" s="46"/>
      <c r="S339" s="46"/>
      <c r="T339" s="46"/>
      <c r="U339" s="46"/>
      <c r="V339" s="46"/>
      <c r="W339" s="47"/>
      <c r="X339" s="47"/>
    </row>
    <row r="340" spans="1:24" ht="15">
      <c r="A340" s="121" t="s">
        <v>3768</v>
      </c>
      <c r="B340" s="65" t="s">
        <v>4494</v>
      </c>
      <c r="C340" s="65" t="s">
        <v>59</v>
      </c>
      <c r="D340" s="122"/>
      <c r="E340" s="65"/>
      <c r="F340" s="123"/>
      <c r="G340" s="63"/>
      <c r="H340" s="63"/>
      <c r="I340" s="124"/>
      <c r="J340" s="71"/>
      <c r="K340" s="125"/>
      <c r="L340" s="46"/>
      <c r="M340" s="46"/>
      <c r="N340" s="46"/>
      <c r="O340" s="46"/>
      <c r="P340" s="46"/>
      <c r="Q340" s="46"/>
      <c r="R340" s="46"/>
      <c r="S340" s="46"/>
      <c r="T340" s="46"/>
      <c r="U340" s="46"/>
      <c r="V340" s="46"/>
      <c r="W340" s="47"/>
      <c r="X340" s="47"/>
    </row>
    <row r="341" spans="1:24" ht="15">
      <c r="A341" s="121" t="s">
        <v>3769</v>
      </c>
      <c r="B341" s="65" t="s">
        <v>4495</v>
      </c>
      <c r="C341" s="65" t="s">
        <v>59</v>
      </c>
      <c r="D341" s="122"/>
      <c r="E341" s="65"/>
      <c r="F341" s="123"/>
      <c r="G341" s="63"/>
      <c r="H341" s="63"/>
      <c r="I341" s="124"/>
      <c r="J341" s="71"/>
      <c r="K341" s="125"/>
      <c r="L341" s="46"/>
      <c r="M341" s="46"/>
      <c r="N341" s="46"/>
      <c r="O341" s="46"/>
      <c r="P341" s="46"/>
      <c r="Q341" s="46"/>
      <c r="R341" s="46"/>
      <c r="S341" s="46"/>
      <c r="T341" s="46"/>
      <c r="U341" s="46"/>
      <c r="V341" s="46"/>
      <c r="W341" s="47"/>
      <c r="X341" s="47"/>
    </row>
    <row r="342" spans="1:24" ht="15">
      <c r="A342" s="121" t="s">
        <v>3770</v>
      </c>
      <c r="B342" s="65" t="s">
        <v>4496</v>
      </c>
      <c r="C342" s="65" t="s">
        <v>59</v>
      </c>
      <c r="D342" s="122"/>
      <c r="E342" s="65"/>
      <c r="F342" s="123"/>
      <c r="G342" s="63"/>
      <c r="H342" s="63"/>
      <c r="I342" s="124"/>
      <c r="J342" s="71"/>
      <c r="K342" s="125"/>
      <c r="L342" s="46"/>
      <c r="M342" s="46"/>
      <c r="N342" s="46"/>
      <c r="O342" s="46"/>
      <c r="P342" s="46"/>
      <c r="Q342" s="46"/>
      <c r="R342" s="46"/>
      <c r="S342" s="46"/>
      <c r="T342" s="46"/>
      <c r="U342" s="46"/>
      <c r="V342" s="46"/>
      <c r="W342" s="47"/>
      <c r="X342" s="47"/>
    </row>
    <row r="343" spans="1:24" ht="15">
      <c r="A343" s="121" t="s">
        <v>3771</v>
      </c>
      <c r="B343" s="65" t="s">
        <v>4497</v>
      </c>
      <c r="C343" s="65" t="s">
        <v>59</v>
      </c>
      <c r="D343" s="122"/>
      <c r="E343" s="65"/>
      <c r="F343" s="123"/>
      <c r="G343" s="63"/>
      <c r="H343" s="63"/>
      <c r="I343" s="124"/>
      <c r="J343" s="71"/>
      <c r="K343" s="125"/>
      <c r="L343" s="46"/>
      <c r="M343" s="46"/>
      <c r="N343" s="46"/>
      <c r="O343" s="46"/>
      <c r="P343" s="46"/>
      <c r="Q343" s="46"/>
      <c r="R343" s="46"/>
      <c r="S343" s="46"/>
      <c r="T343" s="46"/>
      <c r="U343" s="46"/>
      <c r="V343" s="46"/>
      <c r="W343" s="47"/>
      <c r="X343" s="47"/>
    </row>
    <row r="344" spans="1:24" ht="15">
      <c r="A344" s="121" t="s">
        <v>3772</v>
      </c>
      <c r="B344" s="65" t="s">
        <v>4498</v>
      </c>
      <c r="C344" s="65" t="s">
        <v>59</v>
      </c>
      <c r="D344" s="122"/>
      <c r="E344" s="65"/>
      <c r="F344" s="123"/>
      <c r="G344" s="63"/>
      <c r="H344" s="63"/>
      <c r="I344" s="124"/>
      <c r="J344" s="71"/>
      <c r="K344" s="125"/>
      <c r="L344" s="46"/>
      <c r="M344" s="46"/>
      <c r="N344" s="46"/>
      <c r="O344" s="46"/>
      <c r="P344" s="46"/>
      <c r="Q344" s="46"/>
      <c r="R344" s="46"/>
      <c r="S344" s="46"/>
      <c r="T344" s="46"/>
      <c r="U344" s="46"/>
      <c r="V344" s="46"/>
      <c r="W344" s="47"/>
      <c r="X344" s="47"/>
    </row>
    <row r="345" spans="1:24" ht="15">
      <c r="A345" s="121" t="s">
        <v>3773</v>
      </c>
      <c r="B345" s="65" t="s">
        <v>4499</v>
      </c>
      <c r="C345" s="65" t="s">
        <v>59</v>
      </c>
      <c r="D345" s="122"/>
      <c r="E345" s="65"/>
      <c r="F345" s="123"/>
      <c r="G345" s="63"/>
      <c r="H345" s="63"/>
      <c r="I345" s="124"/>
      <c r="J345" s="71"/>
      <c r="K345" s="125"/>
      <c r="L345" s="46"/>
      <c r="M345" s="46"/>
      <c r="N345" s="46"/>
      <c r="O345" s="46"/>
      <c r="P345" s="46"/>
      <c r="Q345" s="46"/>
      <c r="R345" s="46"/>
      <c r="S345" s="46"/>
      <c r="T345" s="46"/>
      <c r="U345" s="46"/>
      <c r="V345" s="46"/>
      <c r="W345" s="47"/>
      <c r="X345" s="47"/>
    </row>
    <row r="346" spans="1:24" ht="15">
      <c r="A346" s="121" t="s">
        <v>3774</v>
      </c>
      <c r="B346" s="65" t="s">
        <v>4500</v>
      </c>
      <c r="C346" s="65" t="s">
        <v>59</v>
      </c>
      <c r="D346" s="122"/>
      <c r="E346" s="65"/>
      <c r="F346" s="123"/>
      <c r="G346" s="63"/>
      <c r="H346" s="63"/>
      <c r="I346" s="124"/>
      <c r="J346" s="71"/>
      <c r="K346" s="125"/>
      <c r="L346" s="46"/>
      <c r="M346" s="46"/>
      <c r="N346" s="46"/>
      <c r="O346" s="46"/>
      <c r="P346" s="46"/>
      <c r="Q346" s="46"/>
      <c r="R346" s="46"/>
      <c r="S346" s="46"/>
      <c r="T346" s="46"/>
      <c r="U346" s="46"/>
      <c r="V346" s="46"/>
      <c r="W346" s="47"/>
      <c r="X346" s="47"/>
    </row>
    <row r="347" spans="1:24" ht="15">
      <c r="A347" s="121" t="s">
        <v>3775</v>
      </c>
      <c r="B347" s="65" t="s">
        <v>4501</v>
      </c>
      <c r="C347" s="65" t="s">
        <v>59</v>
      </c>
      <c r="D347" s="122"/>
      <c r="E347" s="65"/>
      <c r="F347" s="123"/>
      <c r="G347" s="63"/>
      <c r="H347" s="63"/>
      <c r="I347" s="124"/>
      <c r="J347" s="71"/>
      <c r="K347" s="125"/>
      <c r="L347" s="46"/>
      <c r="M347" s="46"/>
      <c r="N347" s="46"/>
      <c r="O347" s="46"/>
      <c r="P347" s="46"/>
      <c r="Q347" s="46"/>
      <c r="R347" s="46"/>
      <c r="S347" s="46"/>
      <c r="T347" s="46"/>
      <c r="U347" s="46"/>
      <c r="V347" s="46"/>
      <c r="W347" s="47"/>
      <c r="X347" s="47"/>
    </row>
    <row r="348" spans="1:24" ht="15">
      <c r="A348" s="121" t="s">
        <v>3777</v>
      </c>
      <c r="B348" s="65" t="s">
        <v>4502</v>
      </c>
      <c r="C348" s="65" t="s">
        <v>59</v>
      </c>
      <c r="D348" s="122"/>
      <c r="E348" s="65"/>
      <c r="F348" s="123"/>
      <c r="G348" s="63"/>
      <c r="H348" s="63"/>
      <c r="I348" s="124"/>
      <c r="J348" s="71"/>
      <c r="K348" s="125"/>
      <c r="L348" s="46"/>
      <c r="M348" s="46"/>
      <c r="N348" s="46"/>
      <c r="O348" s="46"/>
      <c r="P348" s="46"/>
      <c r="Q348" s="46"/>
      <c r="R348" s="46"/>
      <c r="S348" s="46"/>
      <c r="T348" s="46"/>
      <c r="U348" s="46"/>
      <c r="V348" s="46"/>
      <c r="W348" s="47"/>
      <c r="X348" s="47"/>
    </row>
    <row r="349" spans="1:24" ht="15">
      <c r="A349" s="121" t="s">
        <v>3778</v>
      </c>
      <c r="B349" s="65" t="s">
        <v>4503</v>
      </c>
      <c r="C349" s="65" t="s">
        <v>59</v>
      </c>
      <c r="D349" s="122"/>
      <c r="E349" s="65"/>
      <c r="F349" s="123"/>
      <c r="G349" s="63"/>
      <c r="H349" s="63"/>
      <c r="I349" s="124"/>
      <c r="J349" s="71"/>
      <c r="K349" s="125"/>
      <c r="L349" s="46"/>
      <c r="M349" s="46"/>
      <c r="N349" s="46"/>
      <c r="O349" s="46"/>
      <c r="P349" s="46"/>
      <c r="Q349" s="46"/>
      <c r="R349" s="46"/>
      <c r="S349" s="46"/>
      <c r="T349" s="46"/>
      <c r="U349" s="46"/>
      <c r="V349" s="46"/>
      <c r="W349" s="47"/>
      <c r="X349" s="47"/>
    </row>
    <row r="350" spans="1:24" ht="15">
      <c r="A350" s="121" t="s">
        <v>3779</v>
      </c>
      <c r="B350" s="65" t="s">
        <v>4504</v>
      </c>
      <c r="C350" s="65" t="s">
        <v>59</v>
      </c>
      <c r="D350" s="122"/>
      <c r="E350" s="65"/>
      <c r="F350" s="123"/>
      <c r="G350" s="63"/>
      <c r="H350" s="63"/>
      <c r="I350" s="124"/>
      <c r="J350" s="71"/>
      <c r="K350" s="125"/>
      <c r="L350" s="46"/>
      <c r="M350" s="46"/>
      <c r="N350" s="46"/>
      <c r="O350" s="46"/>
      <c r="P350" s="46"/>
      <c r="Q350" s="46"/>
      <c r="R350" s="46"/>
      <c r="S350" s="46"/>
      <c r="T350" s="46"/>
      <c r="U350" s="46"/>
      <c r="V350" s="46"/>
      <c r="W350" s="47"/>
      <c r="X350" s="47"/>
    </row>
    <row r="351" spans="1:24" ht="15">
      <c r="A351" s="121" t="s">
        <v>3781</v>
      </c>
      <c r="B351" s="65" t="s">
        <v>4493</v>
      </c>
      <c r="C351" s="65" t="s">
        <v>61</v>
      </c>
      <c r="D351" s="122"/>
      <c r="E351" s="65"/>
      <c r="F351" s="123"/>
      <c r="G351" s="63"/>
      <c r="H351" s="63"/>
      <c r="I351" s="124"/>
      <c r="J351" s="71"/>
      <c r="K351" s="125"/>
      <c r="L351" s="46"/>
      <c r="M351" s="46"/>
      <c r="N351" s="46"/>
      <c r="O351" s="46"/>
      <c r="P351" s="46"/>
      <c r="Q351" s="46"/>
      <c r="R351" s="46"/>
      <c r="S351" s="46"/>
      <c r="T351" s="46"/>
      <c r="U351" s="46"/>
      <c r="V351" s="46"/>
      <c r="W351" s="47"/>
      <c r="X351" s="47"/>
    </row>
    <row r="352" spans="1:24" ht="15">
      <c r="A352" s="121" t="s">
        <v>3782</v>
      </c>
      <c r="B352" s="65" t="s">
        <v>4494</v>
      </c>
      <c r="C352" s="65" t="s">
        <v>61</v>
      </c>
      <c r="D352" s="122"/>
      <c r="E352" s="65"/>
      <c r="F352" s="123"/>
      <c r="G352" s="63"/>
      <c r="H352" s="63"/>
      <c r="I352" s="124"/>
      <c r="J352" s="71"/>
      <c r="K352" s="125"/>
      <c r="L352" s="46"/>
      <c r="M352" s="46"/>
      <c r="N352" s="46"/>
      <c r="O352" s="46"/>
      <c r="P352" s="46"/>
      <c r="Q352" s="46"/>
      <c r="R352" s="46"/>
      <c r="S352" s="46"/>
      <c r="T352" s="46"/>
      <c r="U352" s="46"/>
      <c r="V352" s="46"/>
      <c r="W352" s="47"/>
      <c r="X352" s="47"/>
    </row>
    <row r="353" spans="1:24" ht="15">
      <c r="A353" s="121" t="s">
        <v>3783</v>
      </c>
      <c r="B353" s="65" t="s">
        <v>4495</v>
      </c>
      <c r="C353" s="65" t="s">
        <v>61</v>
      </c>
      <c r="D353" s="122"/>
      <c r="E353" s="65"/>
      <c r="F353" s="123"/>
      <c r="G353" s="63"/>
      <c r="H353" s="63"/>
      <c r="I353" s="124"/>
      <c r="J353" s="71"/>
      <c r="K353" s="125"/>
      <c r="L353" s="46"/>
      <c r="M353" s="46"/>
      <c r="N353" s="46"/>
      <c r="O353" s="46"/>
      <c r="P353" s="46"/>
      <c r="Q353" s="46"/>
      <c r="R353" s="46"/>
      <c r="S353" s="46"/>
      <c r="T353" s="46"/>
      <c r="U353" s="46"/>
      <c r="V353" s="46"/>
      <c r="W353" s="47"/>
      <c r="X353" s="47"/>
    </row>
    <row r="354" spans="1:24" ht="15">
      <c r="A354" s="121" t="s">
        <v>1537</v>
      </c>
      <c r="B354" s="65" t="s">
        <v>4496</v>
      </c>
      <c r="C354" s="65" t="s">
        <v>61</v>
      </c>
      <c r="D354" s="122"/>
      <c r="E354" s="65"/>
      <c r="F354" s="123"/>
      <c r="G354" s="63"/>
      <c r="H354" s="63"/>
      <c r="I354" s="124"/>
      <c r="J354" s="71"/>
      <c r="K354" s="125"/>
      <c r="L354" s="46"/>
      <c r="M354" s="46"/>
      <c r="N354" s="46"/>
      <c r="O354" s="46"/>
      <c r="P354" s="46"/>
      <c r="Q354" s="46"/>
      <c r="R354" s="46"/>
      <c r="S354" s="46"/>
      <c r="T354" s="46"/>
      <c r="U354" s="46"/>
      <c r="V354" s="46"/>
      <c r="W354" s="47"/>
      <c r="X354" s="47"/>
    </row>
    <row r="355" spans="1:24" ht="15">
      <c r="A355" s="121" t="s">
        <v>1623</v>
      </c>
      <c r="B355" s="65" t="s">
        <v>4497</v>
      </c>
      <c r="C355" s="65" t="s">
        <v>61</v>
      </c>
      <c r="D355" s="122"/>
      <c r="E355" s="65"/>
      <c r="F355" s="123"/>
      <c r="G355" s="63"/>
      <c r="H355" s="63"/>
      <c r="I355" s="124"/>
      <c r="J355" s="71"/>
      <c r="K355" s="125"/>
      <c r="L355" s="46"/>
      <c r="M355" s="46"/>
      <c r="N355" s="46"/>
      <c r="O355" s="46"/>
      <c r="P355" s="46"/>
      <c r="Q355" s="46"/>
      <c r="R355" s="46"/>
      <c r="S355" s="46"/>
      <c r="T355" s="46"/>
      <c r="U355" s="46"/>
      <c r="V355" s="46"/>
      <c r="W355" s="47"/>
      <c r="X355" s="47"/>
    </row>
    <row r="356" spans="1:24" ht="15">
      <c r="A356" s="121" t="s">
        <v>1624</v>
      </c>
      <c r="B356" s="65" t="s">
        <v>4498</v>
      </c>
      <c r="C356" s="65" t="s">
        <v>61</v>
      </c>
      <c r="D356" s="122"/>
      <c r="E356" s="65"/>
      <c r="F356" s="123"/>
      <c r="G356" s="63"/>
      <c r="H356" s="63"/>
      <c r="I356" s="124"/>
      <c r="J356" s="71"/>
      <c r="K356" s="125"/>
      <c r="L356" s="46"/>
      <c r="M356" s="46"/>
      <c r="N356" s="46"/>
      <c r="O356" s="46"/>
      <c r="P356" s="46"/>
      <c r="Q356" s="46"/>
      <c r="R356" s="46"/>
      <c r="S356" s="46"/>
      <c r="T356" s="46"/>
      <c r="U356" s="46"/>
      <c r="V356" s="46"/>
      <c r="W356" s="47"/>
      <c r="X356" s="47"/>
    </row>
    <row r="357" spans="1:24" ht="15">
      <c r="A357" s="121" t="s">
        <v>1626</v>
      </c>
      <c r="B357" s="65" t="s">
        <v>4499</v>
      </c>
      <c r="C357" s="65" t="s">
        <v>61</v>
      </c>
      <c r="D357" s="122"/>
      <c r="E357" s="65"/>
      <c r="F357" s="123"/>
      <c r="G357" s="63"/>
      <c r="H357" s="63"/>
      <c r="I357" s="124"/>
      <c r="J357" s="71"/>
      <c r="K357" s="125"/>
      <c r="L357" s="46"/>
      <c r="M357" s="46"/>
      <c r="N357" s="46"/>
      <c r="O357" s="46"/>
      <c r="P357" s="46"/>
      <c r="Q357" s="46"/>
      <c r="R357" s="46"/>
      <c r="S357" s="46"/>
      <c r="T357" s="46"/>
      <c r="U357" s="46"/>
      <c r="V357" s="46"/>
      <c r="W357" s="47"/>
      <c r="X357" s="47"/>
    </row>
    <row r="358" spans="1:24" ht="15">
      <c r="A358" s="121" t="s">
        <v>1627</v>
      </c>
      <c r="B358" s="65" t="s">
        <v>4500</v>
      </c>
      <c r="C358" s="65" t="s">
        <v>61</v>
      </c>
      <c r="D358" s="122"/>
      <c r="E358" s="65"/>
      <c r="F358" s="123"/>
      <c r="G358" s="63"/>
      <c r="H358" s="63"/>
      <c r="I358" s="124"/>
      <c r="J358" s="71"/>
      <c r="K358" s="125"/>
      <c r="L358" s="46"/>
      <c r="M358" s="46"/>
      <c r="N358" s="46"/>
      <c r="O358" s="46"/>
      <c r="P358" s="46"/>
      <c r="Q358" s="46"/>
      <c r="R358" s="46"/>
      <c r="S358" s="46"/>
      <c r="T358" s="46"/>
      <c r="U358" s="46"/>
      <c r="V358" s="46"/>
      <c r="W358" s="47"/>
      <c r="X358" s="47"/>
    </row>
    <row r="359" spans="1:24" ht="15">
      <c r="A359" s="121" t="s">
        <v>1625</v>
      </c>
      <c r="B359" s="65" t="s">
        <v>4501</v>
      </c>
      <c r="C359" s="65" t="s">
        <v>61</v>
      </c>
      <c r="D359" s="122"/>
      <c r="E359" s="65"/>
      <c r="F359" s="123"/>
      <c r="G359" s="63"/>
      <c r="H359" s="63"/>
      <c r="I359" s="124"/>
      <c r="J359" s="71"/>
      <c r="K359" s="125"/>
      <c r="L359" s="46"/>
      <c r="M359" s="46"/>
      <c r="N359" s="46"/>
      <c r="O359" s="46"/>
      <c r="P359" s="46"/>
      <c r="Q359" s="46"/>
      <c r="R359" s="46"/>
      <c r="S359" s="46"/>
      <c r="T359" s="46"/>
      <c r="U359" s="46"/>
      <c r="V359" s="46"/>
      <c r="W359" s="47"/>
      <c r="X359" s="47"/>
    </row>
    <row r="360" spans="1:24" ht="15">
      <c r="A360" s="121" t="s">
        <v>1628</v>
      </c>
      <c r="B360" s="65" t="s">
        <v>4502</v>
      </c>
      <c r="C360" s="65" t="s">
        <v>61</v>
      </c>
      <c r="D360" s="122"/>
      <c r="E360" s="65"/>
      <c r="F360" s="123"/>
      <c r="G360" s="63"/>
      <c r="H360" s="63"/>
      <c r="I360" s="124"/>
      <c r="J360" s="71"/>
      <c r="K360" s="125"/>
      <c r="L360" s="46"/>
      <c r="M360" s="46"/>
      <c r="N360" s="46"/>
      <c r="O360" s="46"/>
      <c r="P360" s="46"/>
      <c r="Q360" s="46"/>
      <c r="R360" s="46"/>
      <c r="S360" s="46"/>
      <c r="T360" s="46"/>
      <c r="U360" s="46"/>
      <c r="V360" s="46"/>
      <c r="W360" s="47"/>
      <c r="X360" s="47"/>
    </row>
    <row r="361" spans="1:24" ht="15">
      <c r="A361" s="121" t="s">
        <v>1629</v>
      </c>
      <c r="B361" s="65" t="s">
        <v>4503</v>
      </c>
      <c r="C361" s="65" t="s">
        <v>61</v>
      </c>
      <c r="D361" s="122"/>
      <c r="E361" s="65"/>
      <c r="F361" s="123"/>
      <c r="G361" s="63"/>
      <c r="H361" s="63"/>
      <c r="I361" s="124"/>
      <c r="J361" s="71"/>
      <c r="K361" s="125"/>
      <c r="L361" s="46"/>
      <c r="M361" s="46"/>
      <c r="N361" s="46"/>
      <c r="O361" s="46"/>
      <c r="P361" s="46"/>
      <c r="Q361" s="46"/>
      <c r="R361" s="46"/>
      <c r="S361" s="46"/>
      <c r="T361" s="46"/>
      <c r="U361" s="46"/>
      <c r="V361" s="46"/>
      <c r="W361" s="47"/>
      <c r="X361" s="47"/>
    </row>
    <row r="362" spans="1:24" ht="15">
      <c r="A362" s="121" t="s">
        <v>1630</v>
      </c>
      <c r="B362" s="65" t="s">
        <v>4504</v>
      </c>
      <c r="C362" s="65" t="s">
        <v>61</v>
      </c>
      <c r="D362" s="122"/>
      <c r="E362" s="65"/>
      <c r="F362" s="123"/>
      <c r="G362" s="63"/>
      <c r="H362" s="63"/>
      <c r="I362" s="124"/>
      <c r="J362" s="71"/>
      <c r="K362" s="125"/>
      <c r="L362" s="46"/>
      <c r="M362" s="46"/>
      <c r="N362" s="46"/>
      <c r="O362" s="46"/>
      <c r="P362" s="46"/>
      <c r="Q362" s="46"/>
      <c r="R362" s="46"/>
      <c r="S362" s="46"/>
      <c r="T362" s="46"/>
      <c r="U362" s="46"/>
      <c r="V362" s="46"/>
      <c r="W362" s="47"/>
      <c r="X362" s="47"/>
    </row>
    <row r="363" spans="1:24" ht="15">
      <c r="A363" s="121" t="s">
        <v>3870</v>
      </c>
      <c r="B363" s="65" t="s">
        <v>4493</v>
      </c>
      <c r="C363" s="65" t="s">
        <v>63</v>
      </c>
      <c r="D363" s="122"/>
      <c r="E363" s="65"/>
      <c r="F363" s="123"/>
      <c r="G363" s="63"/>
      <c r="H363" s="63"/>
      <c r="I363" s="124"/>
      <c r="J363" s="71"/>
      <c r="K363" s="125"/>
      <c r="L363" s="46"/>
      <c r="M363" s="46"/>
      <c r="N363" s="46"/>
      <c r="O363" s="46"/>
      <c r="P363" s="46"/>
      <c r="Q363" s="46"/>
      <c r="R363" s="46"/>
      <c r="S363" s="46"/>
      <c r="T363" s="46"/>
      <c r="U363" s="46"/>
      <c r="V363" s="46"/>
      <c r="W363" s="47"/>
      <c r="X363" s="47"/>
    </row>
    <row r="364" spans="1:24" ht="15">
      <c r="A364" s="121" t="s">
        <v>3845</v>
      </c>
      <c r="B364" s="65" t="s">
        <v>4494</v>
      </c>
      <c r="C364" s="65" t="s">
        <v>63</v>
      </c>
      <c r="D364" s="122"/>
      <c r="E364" s="65"/>
      <c r="F364" s="123"/>
      <c r="G364" s="63"/>
      <c r="H364" s="63"/>
      <c r="I364" s="124"/>
      <c r="J364" s="71"/>
      <c r="K364" s="125"/>
      <c r="L364" s="46"/>
      <c r="M364" s="46"/>
      <c r="N364" s="46"/>
      <c r="O364" s="46"/>
      <c r="P364" s="46"/>
      <c r="Q364" s="46"/>
      <c r="R364" s="46"/>
      <c r="S364" s="46"/>
      <c r="T364" s="46"/>
      <c r="U364" s="46"/>
      <c r="V364" s="46"/>
      <c r="W364" s="47"/>
      <c r="X364" s="47"/>
    </row>
    <row r="365" spans="1:24" ht="15">
      <c r="A365" s="121" t="s">
        <v>3871</v>
      </c>
      <c r="B365" s="65" t="s">
        <v>4495</v>
      </c>
      <c r="C365" s="65" t="s">
        <v>63</v>
      </c>
      <c r="D365" s="122"/>
      <c r="E365" s="65"/>
      <c r="F365" s="123"/>
      <c r="G365" s="63"/>
      <c r="H365" s="63"/>
      <c r="I365" s="124"/>
      <c r="J365" s="71"/>
      <c r="K365" s="125"/>
      <c r="L365" s="46"/>
      <c r="M365" s="46"/>
      <c r="N365" s="46"/>
      <c r="O365" s="46"/>
      <c r="P365" s="46"/>
      <c r="Q365" s="46"/>
      <c r="R365" s="46"/>
      <c r="S365" s="46"/>
      <c r="T365" s="46"/>
      <c r="U365" s="46"/>
      <c r="V365" s="46"/>
      <c r="W365" s="47"/>
      <c r="X365" s="47"/>
    </row>
    <row r="366" spans="1:24" ht="15">
      <c r="A366" s="121" t="s">
        <v>3872</v>
      </c>
      <c r="B366" s="65" t="s">
        <v>4496</v>
      </c>
      <c r="C366" s="65" t="s">
        <v>63</v>
      </c>
      <c r="D366" s="122"/>
      <c r="E366" s="65"/>
      <c r="F366" s="123"/>
      <c r="G366" s="63"/>
      <c r="H366" s="63"/>
      <c r="I366" s="124"/>
      <c r="J366" s="71"/>
      <c r="K366" s="125"/>
      <c r="L366" s="46"/>
      <c r="M366" s="46"/>
      <c r="N366" s="46"/>
      <c r="O366" s="46"/>
      <c r="P366" s="46"/>
      <c r="Q366" s="46"/>
      <c r="R366" s="46"/>
      <c r="S366" s="46"/>
      <c r="T366" s="46"/>
      <c r="U366" s="46"/>
      <c r="V366" s="46"/>
      <c r="W366" s="47"/>
      <c r="X366" s="47"/>
    </row>
    <row r="367" spans="1:24" ht="15">
      <c r="A367" s="121" t="s">
        <v>3873</v>
      </c>
      <c r="B367" s="65" t="s">
        <v>4497</v>
      </c>
      <c r="C367" s="65" t="s">
        <v>63</v>
      </c>
      <c r="D367" s="122"/>
      <c r="E367" s="65"/>
      <c r="F367" s="123"/>
      <c r="G367" s="63"/>
      <c r="H367" s="63"/>
      <c r="I367" s="124"/>
      <c r="J367" s="71"/>
      <c r="K367" s="125"/>
      <c r="L367" s="46"/>
      <c r="M367" s="46"/>
      <c r="N367" s="46"/>
      <c r="O367" s="46"/>
      <c r="P367" s="46"/>
      <c r="Q367" s="46"/>
      <c r="R367" s="46"/>
      <c r="S367" s="46"/>
      <c r="T367" s="46"/>
      <c r="U367" s="46"/>
      <c r="V367" s="46"/>
      <c r="W367" s="47"/>
      <c r="X367" s="47"/>
    </row>
    <row r="368" spans="1:24" ht="15">
      <c r="A368" s="121" t="s">
        <v>3874</v>
      </c>
      <c r="B368" s="65" t="s">
        <v>4498</v>
      </c>
      <c r="C368" s="65" t="s">
        <v>63</v>
      </c>
      <c r="D368" s="122"/>
      <c r="E368" s="65"/>
      <c r="F368" s="123"/>
      <c r="G368" s="63"/>
      <c r="H368" s="63"/>
      <c r="I368" s="124"/>
      <c r="J368" s="71"/>
      <c r="K368" s="125"/>
      <c r="L368" s="46"/>
      <c r="M368" s="46"/>
      <c r="N368" s="46"/>
      <c r="O368" s="46"/>
      <c r="P368" s="46"/>
      <c r="Q368" s="46"/>
      <c r="R368" s="46"/>
      <c r="S368" s="46"/>
      <c r="T368" s="46"/>
      <c r="U368" s="46"/>
      <c r="V368" s="46"/>
      <c r="W368" s="47"/>
      <c r="X368" s="47"/>
    </row>
    <row r="369" spans="1:24" ht="15">
      <c r="A369" s="121" t="s">
        <v>1533</v>
      </c>
      <c r="B369" s="65" t="s">
        <v>4499</v>
      </c>
      <c r="C369" s="65" t="s">
        <v>63</v>
      </c>
      <c r="D369" s="122"/>
      <c r="E369" s="65"/>
      <c r="F369" s="123"/>
      <c r="G369" s="63"/>
      <c r="H369" s="63"/>
      <c r="I369" s="124"/>
      <c r="J369" s="71"/>
      <c r="K369" s="125"/>
      <c r="L369" s="46"/>
      <c r="M369" s="46"/>
      <c r="N369" s="46"/>
      <c r="O369" s="46"/>
      <c r="P369" s="46"/>
      <c r="Q369" s="46"/>
      <c r="R369" s="46"/>
      <c r="S369" s="46"/>
      <c r="T369" s="46"/>
      <c r="U369" s="46"/>
      <c r="V369" s="46"/>
      <c r="W369" s="47"/>
      <c r="X369" s="47"/>
    </row>
    <row r="370" spans="1:24" ht="15">
      <c r="A370" s="121" t="s">
        <v>3875</v>
      </c>
      <c r="B370" s="65" t="s">
        <v>4500</v>
      </c>
      <c r="C370" s="65" t="s">
        <v>63</v>
      </c>
      <c r="D370" s="122"/>
      <c r="E370" s="65"/>
      <c r="F370" s="123"/>
      <c r="G370" s="63"/>
      <c r="H370" s="63"/>
      <c r="I370" s="124"/>
      <c r="J370" s="71"/>
      <c r="K370" s="125"/>
      <c r="L370" s="46"/>
      <c r="M370" s="46"/>
      <c r="N370" s="46"/>
      <c r="O370" s="46"/>
      <c r="P370" s="46"/>
      <c r="Q370" s="46"/>
      <c r="R370" s="46"/>
      <c r="S370" s="46"/>
      <c r="T370" s="46"/>
      <c r="U370" s="46"/>
      <c r="V370" s="46"/>
      <c r="W370" s="47"/>
      <c r="X370" s="47"/>
    </row>
    <row r="371" spans="1:24" ht="15">
      <c r="A371" s="121" t="s">
        <v>3876</v>
      </c>
      <c r="B371" s="65" t="s">
        <v>4501</v>
      </c>
      <c r="C371" s="65" t="s">
        <v>63</v>
      </c>
      <c r="D371" s="122"/>
      <c r="E371" s="65"/>
      <c r="F371" s="123"/>
      <c r="G371" s="63"/>
      <c r="H371" s="63"/>
      <c r="I371" s="124"/>
      <c r="J371" s="71"/>
      <c r="K371" s="125"/>
      <c r="L371" s="46"/>
      <c r="M371" s="46"/>
      <c r="N371" s="46"/>
      <c r="O371" s="46"/>
      <c r="P371" s="46"/>
      <c r="Q371" s="46"/>
      <c r="R371" s="46"/>
      <c r="S371" s="46"/>
      <c r="T371" s="46"/>
      <c r="U371" s="46"/>
      <c r="V371" s="46"/>
      <c r="W371" s="47"/>
      <c r="X371" s="47"/>
    </row>
    <row r="372" spans="1:24" ht="15">
      <c r="A372" s="121" t="s">
        <v>3877</v>
      </c>
      <c r="B372" s="65" t="s">
        <v>4502</v>
      </c>
      <c r="C372" s="65" t="s">
        <v>63</v>
      </c>
      <c r="D372" s="122"/>
      <c r="E372" s="65"/>
      <c r="F372" s="123"/>
      <c r="G372" s="63"/>
      <c r="H372" s="63"/>
      <c r="I372" s="124"/>
      <c r="J372" s="71"/>
      <c r="K372" s="125"/>
      <c r="L372" s="46"/>
      <c r="M372" s="46"/>
      <c r="N372" s="46"/>
      <c r="O372" s="46"/>
      <c r="P372" s="46"/>
      <c r="Q372" s="46"/>
      <c r="R372" s="46"/>
      <c r="S372" s="46"/>
      <c r="T372" s="46"/>
      <c r="U372" s="46"/>
      <c r="V372" s="46"/>
      <c r="W372" s="47"/>
      <c r="X372" s="47"/>
    </row>
    <row r="373" spans="1:24" ht="15">
      <c r="A373" s="121" t="s">
        <v>1543</v>
      </c>
      <c r="B373" s="65" t="s">
        <v>4503</v>
      </c>
      <c r="C373" s="65" t="s">
        <v>63</v>
      </c>
      <c r="D373" s="122"/>
      <c r="E373" s="65"/>
      <c r="F373" s="123"/>
      <c r="G373" s="63"/>
      <c r="H373" s="63"/>
      <c r="I373" s="124"/>
      <c r="J373" s="71"/>
      <c r="K373" s="125"/>
      <c r="L373" s="46"/>
      <c r="M373" s="46"/>
      <c r="N373" s="46"/>
      <c r="O373" s="46"/>
      <c r="P373" s="46"/>
      <c r="Q373" s="46"/>
      <c r="R373" s="46"/>
      <c r="S373" s="46"/>
      <c r="T373" s="46"/>
      <c r="U373" s="46"/>
      <c r="V373" s="46"/>
      <c r="W373" s="47"/>
      <c r="X373" s="47"/>
    </row>
    <row r="374" spans="1:24" ht="15">
      <c r="A374" s="121" t="s">
        <v>3878</v>
      </c>
      <c r="B374" s="65" t="s">
        <v>4504</v>
      </c>
      <c r="C374" s="65" t="s">
        <v>63</v>
      </c>
      <c r="D374" s="122"/>
      <c r="E374" s="65"/>
      <c r="F374" s="123"/>
      <c r="G374" s="63"/>
      <c r="H374" s="63"/>
      <c r="I374" s="124"/>
      <c r="J374" s="71"/>
      <c r="K374" s="125"/>
      <c r="L374" s="46"/>
      <c r="M374" s="46"/>
      <c r="N374" s="46"/>
      <c r="O374" s="46"/>
      <c r="P374" s="46"/>
      <c r="Q374" s="46"/>
      <c r="R374" s="46"/>
      <c r="S374" s="46"/>
      <c r="T374" s="46"/>
      <c r="U374" s="46"/>
      <c r="V374" s="46"/>
      <c r="W374" s="47"/>
      <c r="X374" s="47"/>
    </row>
    <row r="375" spans="1:24" ht="15">
      <c r="A375" s="121" t="s">
        <v>3879</v>
      </c>
      <c r="B375" s="65" t="s">
        <v>4493</v>
      </c>
      <c r="C375" s="65" t="s">
        <v>57</v>
      </c>
      <c r="D375" s="122"/>
      <c r="E375" s="65"/>
      <c r="F375" s="123"/>
      <c r="G375" s="63"/>
      <c r="H375" s="63"/>
      <c r="I375" s="124"/>
      <c r="J375" s="71"/>
      <c r="K375" s="125"/>
      <c r="L375" s="46"/>
      <c r="M375" s="46"/>
      <c r="N375" s="46"/>
      <c r="O375" s="46"/>
      <c r="P375" s="46"/>
      <c r="Q375" s="46"/>
      <c r="R375" s="46"/>
      <c r="S375" s="46"/>
      <c r="T375" s="46"/>
      <c r="U375" s="46"/>
      <c r="V375" s="46"/>
      <c r="W375" s="47"/>
      <c r="X375" s="47"/>
    </row>
    <row r="376" spans="1:24" ht="15">
      <c r="A376" s="121" t="s">
        <v>3880</v>
      </c>
      <c r="B376" s="65" t="s">
        <v>4494</v>
      </c>
      <c r="C376" s="65" t="s">
        <v>57</v>
      </c>
      <c r="D376" s="122"/>
      <c r="E376" s="65"/>
      <c r="F376" s="123"/>
      <c r="G376" s="63"/>
      <c r="H376" s="63"/>
      <c r="I376" s="124"/>
      <c r="J376" s="71"/>
      <c r="K376" s="125"/>
      <c r="L376" s="46"/>
      <c r="M376" s="46"/>
      <c r="N376" s="46"/>
      <c r="O376" s="46"/>
      <c r="P376" s="46"/>
      <c r="Q376" s="46"/>
      <c r="R376" s="46"/>
      <c r="S376" s="46"/>
      <c r="T376" s="46"/>
      <c r="U376" s="46"/>
      <c r="V376" s="46"/>
      <c r="W376" s="47"/>
      <c r="X376" s="47"/>
    </row>
    <row r="377" spans="1:24" ht="15">
      <c r="A377" s="121" t="s">
        <v>3881</v>
      </c>
      <c r="B377" s="65" t="s">
        <v>4495</v>
      </c>
      <c r="C377" s="65" t="s">
        <v>57</v>
      </c>
      <c r="D377" s="122"/>
      <c r="E377" s="65"/>
      <c r="F377" s="123"/>
      <c r="G377" s="63"/>
      <c r="H377" s="63"/>
      <c r="I377" s="124"/>
      <c r="J377" s="71"/>
      <c r="K377" s="125"/>
      <c r="L377" s="46"/>
      <c r="M377" s="46"/>
      <c r="N377" s="46"/>
      <c r="O377" s="46"/>
      <c r="P377" s="46"/>
      <c r="Q377" s="46"/>
      <c r="R377" s="46"/>
      <c r="S377" s="46"/>
      <c r="T377" s="46"/>
      <c r="U377" s="46"/>
      <c r="V377" s="46"/>
      <c r="W377" s="47"/>
      <c r="X377" s="47"/>
    </row>
    <row r="378" spans="1:24" ht="15">
      <c r="A378" s="121" t="s">
        <v>3883</v>
      </c>
      <c r="B378" s="65" t="s">
        <v>4496</v>
      </c>
      <c r="C378" s="65" t="s">
        <v>57</v>
      </c>
      <c r="D378" s="122"/>
      <c r="E378" s="65"/>
      <c r="F378" s="123"/>
      <c r="G378" s="63"/>
      <c r="H378" s="63"/>
      <c r="I378" s="124"/>
      <c r="J378" s="71"/>
      <c r="K378" s="125"/>
      <c r="L378" s="46"/>
      <c r="M378" s="46"/>
      <c r="N378" s="46"/>
      <c r="O378" s="46"/>
      <c r="P378" s="46"/>
      <c r="Q378" s="46"/>
      <c r="R378" s="46"/>
      <c r="S378" s="46"/>
      <c r="T378" s="46"/>
      <c r="U378" s="46"/>
      <c r="V378" s="46"/>
      <c r="W378" s="47"/>
      <c r="X378" s="47"/>
    </row>
    <row r="379" spans="1:24" ht="15">
      <c r="A379" s="121" t="s">
        <v>3884</v>
      </c>
      <c r="B379" s="65" t="s">
        <v>4497</v>
      </c>
      <c r="C379" s="65" t="s">
        <v>57</v>
      </c>
      <c r="D379" s="122"/>
      <c r="E379" s="65"/>
      <c r="F379" s="123"/>
      <c r="G379" s="63"/>
      <c r="H379" s="63"/>
      <c r="I379" s="124"/>
      <c r="J379" s="71"/>
      <c r="K379" s="125"/>
      <c r="L379" s="46"/>
      <c r="M379" s="46"/>
      <c r="N379" s="46"/>
      <c r="O379" s="46"/>
      <c r="P379" s="46"/>
      <c r="Q379" s="46"/>
      <c r="R379" s="46"/>
      <c r="S379" s="46"/>
      <c r="T379" s="46"/>
      <c r="U379" s="46"/>
      <c r="V379" s="46"/>
      <c r="W379" s="47"/>
      <c r="X379" s="47"/>
    </row>
    <row r="380" spans="1:24" ht="15">
      <c r="A380" s="121" t="s">
        <v>3885</v>
      </c>
      <c r="B380" s="65" t="s">
        <v>4498</v>
      </c>
      <c r="C380" s="65" t="s">
        <v>57</v>
      </c>
      <c r="D380" s="122"/>
      <c r="E380" s="65"/>
      <c r="F380" s="123"/>
      <c r="G380" s="63"/>
      <c r="H380" s="63"/>
      <c r="I380" s="124"/>
      <c r="J380" s="71"/>
      <c r="K380" s="125"/>
      <c r="L380" s="46"/>
      <c r="M380" s="46"/>
      <c r="N380" s="46"/>
      <c r="O380" s="46"/>
      <c r="P380" s="46"/>
      <c r="Q380" s="46"/>
      <c r="R380" s="46"/>
      <c r="S380" s="46"/>
      <c r="T380" s="46"/>
      <c r="U380" s="46"/>
      <c r="V380" s="46"/>
      <c r="W380" s="47"/>
      <c r="X380" s="47"/>
    </row>
    <row r="381" spans="1:24" ht="15">
      <c r="A381" s="121" t="s">
        <v>3844</v>
      </c>
      <c r="B381" s="65" t="s">
        <v>4499</v>
      </c>
      <c r="C381" s="65" t="s">
        <v>57</v>
      </c>
      <c r="D381" s="122"/>
      <c r="E381" s="65"/>
      <c r="F381" s="123"/>
      <c r="G381" s="63"/>
      <c r="H381" s="63"/>
      <c r="I381" s="124"/>
      <c r="J381" s="71"/>
      <c r="K381" s="125"/>
      <c r="L381" s="46"/>
      <c r="M381" s="46"/>
      <c r="N381" s="46"/>
      <c r="O381" s="46"/>
      <c r="P381" s="46"/>
      <c r="Q381" s="46"/>
      <c r="R381" s="46"/>
      <c r="S381" s="46"/>
      <c r="T381" s="46"/>
      <c r="U381" s="46"/>
      <c r="V381" s="46"/>
      <c r="W381" s="47"/>
      <c r="X381" s="47"/>
    </row>
    <row r="382" spans="1:24" ht="15">
      <c r="A382" s="121" t="s">
        <v>3690</v>
      </c>
      <c r="B382" s="65" t="s">
        <v>4500</v>
      </c>
      <c r="C382" s="65" t="s">
        <v>57</v>
      </c>
      <c r="D382" s="122"/>
      <c r="E382" s="65"/>
      <c r="F382" s="123"/>
      <c r="G382" s="63"/>
      <c r="H382" s="63"/>
      <c r="I382" s="124"/>
      <c r="J382" s="71"/>
      <c r="K382" s="125"/>
      <c r="L382" s="46"/>
      <c r="M382" s="46"/>
      <c r="N382" s="46"/>
      <c r="O382" s="46"/>
      <c r="P382" s="46"/>
      <c r="Q382" s="46"/>
      <c r="R382" s="46"/>
      <c r="S382" s="46"/>
      <c r="T382" s="46"/>
      <c r="U382" s="46"/>
      <c r="V382" s="46"/>
      <c r="W382" s="47"/>
      <c r="X382" s="47"/>
    </row>
    <row r="383" spans="1:24" ht="15">
      <c r="A383" s="121" t="s">
        <v>3691</v>
      </c>
      <c r="B383" s="65" t="s">
        <v>4501</v>
      </c>
      <c r="C383" s="65" t="s">
        <v>57</v>
      </c>
      <c r="D383" s="122"/>
      <c r="E383" s="65"/>
      <c r="F383" s="123"/>
      <c r="G383" s="63"/>
      <c r="H383" s="63"/>
      <c r="I383" s="124"/>
      <c r="J383" s="71"/>
      <c r="K383" s="125"/>
      <c r="L383" s="46"/>
      <c r="M383" s="46"/>
      <c r="N383" s="46"/>
      <c r="O383" s="46"/>
      <c r="P383" s="46"/>
      <c r="Q383" s="46"/>
      <c r="R383" s="46"/>
      <c r="S383" s="46"/>
      <c r="T383" s="46"/>
      <c r="U383" s="46"/>
      <c r="V383" s="46"/>
      <c r="W383" s="47"/>
      <c r="X383" s="47"/>
    </row>
    <row r="384" spans="1:24" ht="15">
      <c r="A384" s="121" t="s">
        <v>3692</v>
      </c>
      <c r="B384" s="65" t="s">
        <v>4502</v>
      </c>
      <c r="C384" s="65" t="s">
        <v>57</v>
      </c>
      <c r="D384" s="122"/>
      <c r="E384" s="65"/>
      <c r="F384" s="123"/>
      <c r="G384" s="63"/>
      <c r="H384" s="63"/>
      <c r="I384" s="124"/>
      <c r="J384" s="71"/>
      <c r="K384" s="125"/>
      <c r="L384" s="46"/>
      <c r="M384" s="46"/>
      <c r="N384" s="46"/>
      <c r="O384" s="46"/>
      <c r="P384" s="46"/>
      <c r="Q384" s="46"/>
      <c r="R384" s="46"/>
      <c r="S384" s="46"/>
      <c r="T384" s="46"/>
      <c r="U384" s="46"/>
      <c r="V384" s="46"/>
      <c r="W384" s="47"/>
      <c r="X384" s="47"/>
    </row>
    <row r="385" spans="1:24" ht="15">
      <c r="A385" s="121" t="s">
        <v>3693</v>
      </c>
      <c r="B385" s="65" t="s">
        <v>4503</v>
      </c>
      <c r="C385" s="65" t="s">
        <v>57</v>
      </c>
      <c r="D385" s="122"/>
      <c r="E385" s="65"/>
      <c r="F385" s="123"/>
      <c r="G385" s="63"/>
      <c r="H385" s="63"/>
      <c r="I385" s="124"/>
      <c r="J385" s="71"/>
      <c r="K385" s="125"/>
      <c r="L385" s="46"/>
      <c r="M385" s="46"/>
      <c r="N385" s="46"/>
      <c r="O385" s="46"/>
      <c r="P385" s="46"/>
      <c r="Q385" s="46"/>
      <c r="R385" s="46"/>
      <c r="S385" s="46"/>
      <c r="T385" s="46"/>
      <c r="U385" s="46"/>
      <c r="V385" s="46"/>
      <c r="W385" s="47"/>
      <c r="X385" s="47"/>
    </row>
    <row r="386" spans="1:24" ht="15">
      <c r="A386" s="121" t="s">
        <v>3694</v>
      </c>
      <c r="B386" s="65" t="s">
        <v>4504</v>
      </c>
      <c r="C386" s="65" t="s">
        <v>57</v>
      </c>
      <c r="D386" s="122"/>
      <c r="E386" s="65"/>
      <c r="F386" s="123"/>
      <c r="G386" s="63"/>
      <c r="H386" s="63"/>
      <c r="I386" s="124"/>
      <c r="J386" s="71"/>
      <c r="K386" s="125"/>
      <c r="L386" s="46"/>
      <c r="M386" s="46"/>
      <c r="N386" s="46"/>
      <c r="O386" s="46"/>
      <c r="P386" s="46"/>
      <c r="Q386" s="46"/>
      <c r="R386" s="46"/>
      <c r="S386" s="46"/>
      <c r="T386" s="46"/>
      <c r="U386" s="46"/>
      <c r="V386" s="46"/>
      <c r="W386" s="47"/>
      <c r="X386" s="47"/>
    </row>
    <row r="387" spans="1:24" ht="15">
      <c r="A387" s="121" t="s">
        <v>3695</v>
      </c>
      <c r="B387" s="65" t="s">
        <v>4493</v>
      </c>
      <c r="C387" s="65" t="s">
        <v>55</v>
      </c>
      <c r="D387" s="122"/>
      <c r="E387" s="65"/>
      <c r="F387" s="123"/>
      <c r="G387" s="63"/>
      <c r="H387" s="63"/>
      <c r="I387" s="124"/>
      <c r="J387" s="71"/>
      <c r="K387" s="125"/>
      <c r="L387" s="46"/>
      <c r="M387" s="46"/>
      <c r="N387" s="46"/>
      <c r="O387" s="46"/>
      <c r="P387" s="46"/>
      <c r="Q387" s="46"/>
      <c r="R387" s="46"/>
      <c r="S387" s="46"/>
      <c r="T387" s="46"/>
      <c r="U387" s="46"/>
      <c r="V387" s="46"/>
      <c r="W387" s="47"/>
      <c r="X387" s="47"/>
    </row>
    <row r="388" spans="1:24" ht="15">
      <c r="A388" s="121" t="s">
        <v>3696</v>
      </c>
      <c r="B388" s="65" t="s">
        <v>4494</v>
      </c>
      <c r="C388" s="65" t="s">
        <v>55</v>
      </c>
      <c r="D388" s="122"/>
      <c r="E388" s="65"/>
      <c r="F388" s="123"/>
      <c r="G388" s="63"/>
      <c r="H388" s="63"/>
      <c r="I388" s="124"/>
      <c r="J388" s="71"/>
      <c r="K388" s="125"/>
      <c r="L388" s="46"/>
      <c r="M388" s="46"/>
      <c r="N388" s="46"/>
      <c r="O388" s="46"/>
      <c r="P388" s="46"/>
      <c r="Q388" s="46"/>
      <c r="R388" s="46"/>
      <c r="S388" s="46"/>
      <c r="T388" s="46"/>
      <c r="U388" s="46"/>
      <c r="V388" s="46"/>
      <c r="W388" s="47"/>
      <c r="X388" s="47"/>
    </row>
    <row r="389" spans="1:24" ht="15">
      <c r="A389" s="121" t="s">
        <v>3697</v>
      </c>
      <c r="B389" s="65" t="s">
        <v>4495</v>
      </c>
      <c r="C389" s="65" t="s">
        <v>55</v>
      </c>
      <c r="D389" s="122"/>
      <c r="E389" s="65"/>
      <c r="F389" s="123"/>
      <c r="G389" s="63"/>
      <c r="H389" s="63"/>
      <c r="I389" s="124"/>
      <c r="J389" s="71"/>
      <c r="K389" s="125"/>
      <c r="L389" s="46"/>
      <c r="M389" s="46"/>
      <c r="N389" s="46"/>
      <c r="O389" s="46"/>
      <c r="P389" s="46"/>
      <c r="Q389" s="46"/>
      <c r="R389" s="46"/>
      <c r="S389" s="46"/>
      <c r="T389" s="46"/>
      <c r="U389" s="46"/>
      <c r="V389" s="46"/>
      <c r="W389" s="47"/>
      <c r="X389" s="47"/>
    </row>
    <row r="390" spans="1:24" ht="15">
      <c r="A390" s="121" t="s">
        <v>3699</v>
      </c>
      <c r="B390" s="65" t="s">
        <v>4496</v>
      </c>
      <c r="C390" s="65" t="s">
        <v>55</v>
      </c>
      <c r="D390" s="122"/>
      <c r="E390" s="65"/>
      <c r="F390" s="123"/>
      <c r="G390" s="63"/>
      <c r="H390" s="63"/>
      <c r="I390" s="124"/>
      <c r="J390" s="71"/>
      <c r="K390" s="125"/>
      <c r="L390" s="46"/>
      <c r="M390" s="46"/>
      <c r="N390" s="46"/>
      <c r="O390" s="46"/>
      <c r="P390" s="46"/>
      <c r="Q390" s="46"/>
      <c r="R390" s="46"/>
      <c r="S390" s="46"/>
      <c r="T390" s="46"/>
      <c r="U390" s="46"/>
      <c r="V390" s="46"/>
      <c r="W390" s="47"/>
      <c r="X390" s="47"/>
    </row>
    <row r="391" spans="1:24" ht="15">
      <c r="A391" s="121" t="s">
        <v>3700</v>
      </c>
      <c r="B391" s="65" t="s">
        <v>4497</v>
      </c>
      <c r="C391" s="65" t="s">
        <v>55</v>
      </c>
      <c r="D391" s="122"/>
      <c r="E391" s="65"/>
      <c r="F391" s="123"/>
      <c r="G391" s="63"/>
      <c r="H391" s="63"/>
      <c r="I391" s="124"/>
      <c r="J391" s="71"/>
      <c r="K391" s="125"/>
      <c r="L391" s="46"/>
      <c r="M391" s="46"/>
      <c r="N391" s="46"/>
      <c r="O391" s="46"/>
      <c r="P391" s="46"/>
      <c r="Q391" s="46"/>
      <c r="R391" s="46"/>
      <c r="S391" s="46"/>
      <c r="T391" s="46"/>
      <c r="U391" s="46"/>
      <c r="V391" s="46"/>
      <c r="W391" s="47"/>
      <c r="X391" s="47"/>
    </row>
    <row r="392" spans="1:24" ht="15">
      <c r="A392" s="121" t="s">
        <v>4467</v>
      </c>
      <c r="B392" s="65" t="s">
        <v>4498</v>
      </c>
      <c r="C392" s="65" t="s">
        <v>55</v>
      </c>
      <c r="D392" s="122"/>
      <c r="E392" s="65"/>
      <c r="F392" s="123"/>
      <c r="G392" s="63"/>
      <c r="H392" s="63"/>
      <c r="I392" s="124"/>
      <c r="J392" s="71"/>
      <c r="K392" s="125"/>
      <c r="L392" s="46"/>
      <c r="M392" s="46"/>
      <c r="N392" s="46"/>
      <c r="O392" s="46"/>
      <c r="P392" s="46"/>
      <c r="Q392" s="46"/>
      <c r="R392" s="46"/>
      <c r="S392" s="46"/>
      <c r="T392" s="46"/>
      <c r="U392" s="46"/>
      <c r="V392" s="46"/>
      <c r="W392" s="47"/>
      <c r="X392" s="47"/>
    </row>
    <row r="393" spans="1:24" ht="15">
      <c r="A393" s="121" t="s">
        <v>3702</v>
      </c>
      <c r="B393" s="65" t="s">
        <v>4499</v>
      </c>
      <c r="C393" s="65" t="s">
        <v>55</v>
      </c>
      <c r="D393" s="122"/>
      <c r="E393" s="65"/>
      <c r="F393" s="123"/>
      <c r="G393" s="63"/>
      <c r="H393" s="63"/>
      <c r="I393" s="124"/>
      <c r="J393" s="71"/>
      <c r="K393" s="125"/>
      <c r="L393" s="46"/>
      <c r="M393" s="46"/>
      <c r="N393" s="46"/>
      <c r="O393" s="46"/>
      <c r="P393" s="46"/>
      <c r="Q393" s="46"/>
      <c r="R393" s="46"/>
      <c r="S393" s="46"/>
      <c r="T393" s="46"/>
      <c r="U393" s="46"/>
      <c r="V393" s="46"/>
      <c r="W393" s="47"/>
      <c r="X393" s="47"/>
    </row>
    <row r="394" spans="1:24" ht="15">
      <c r="A394" s="121" t="s">
        <v>1534</v>
      </c>
      <c r="B394" s="65" t="s">
        <v>4500</v>
      </c>
      <c r="C394" s="65" t="s">
        <v>55</v>
      </c>
      <c r="D394" s="122"/>
      <c r="E394" s="65"/>
      <c r="F394" s="123"/>
      <c r="G394" s="63"/>
      <c r="H394" s="63"/>
      <c r="I394" s="124"/>
      <c r="J394" s="71"/>
      <c r="K394" s="125"/>
      <c r="L394" s="46"/>
      <c r="M394" s="46"/>
      <c r="N394" s="46"/>
      <c r="O394" s="46"/>
      <c r="P394" s="46"/>
      <c r="Q394" s="46"/>
      <c r="R394" s="46"/>
      <c r="S394" s="46"/>
      <c r="T394" s="46"/>
      <c r="U394" s="46"/>
      <c r="V394" s="46"/>
      <c r="W394" s="47"/>
      <c r="X394" s="47"/>
    </row>
    <row r="395" spans="1:24" ht="15">
      <c r="A395" s="121" t="s">
        <v>3703</v>
      </c>
      <c r="B395" s="65" t="s">
        <v>4501</v>
      </c>
      <c r="C395" s="65" t="s">
        <v>55</v>
      </c>
      <c r="D395" s="122"/>
      <c r="E395" s="65"/>
      <c r="F395" s="123"/>
      <c r="G395" s="63"/>
      <c r="H395" s="63"/>
      <c r="I395" s="124"/>
      <c r="J395" s="71"/>
      <c r="K395" s="125"/>
      <c r="L395" s="46"/>
      <c r="M395" s="46"/>
      <c r="N395" s="46"/>
      <c r="O395" s="46"/>
      <c r="P395" s="46"/>
      <c r="Q395" s="46"/>
      <c r="R395" s="46"/>
      <c r="S395" s="46"/>
      <c r="T395" s="46"/>
      <c r="U395" s="46"/>
      <c r="V395" s="46"/>
      <c r="W395" s="47"/>
      <c r="X395" s="47"/>
    </row>
    <row r="396" spans="1:24" ht="15">
      <c r="A396" s="121" t="s">
        <v>1584</v>
      </c>
      <c r="B396" s="65" t="s">
        <v>4502</v>
      </c>
      <c r="C396" s="65" t="s">
        <v>55</v>
      </c>
      <c r="D396" s="122"/>
      <c r="E396" s="65"/>
      <c r="F396" s="123"/>
      <c r="G396" s="63"/>
      <c r="H396" s="63"/>
      <c r="I396" s="124"/>
      <c r="J396" s="71"/>
      <c r="K396" s="125"/>
      <c r="L396" s="46"/>
      <c r="M396" s="46"/>
      <c r="N396" s="46"/>
      <c r="O396" s="46"/>
      <c r="P396" s="46"/>
      <c r="Q396" s="46"/>
      <c r="R396" s="46"/>
      <c r="S396" s="46"/>
      <c r="T396" s="46"/>
      <c r="U396" s="46"/>
      <c r="V396" s="46"/>
      <c r="W396" s="47"/>
      <c r="X396" s="47"/>
    </row>
    <row r="397" spans="1:24" ht="15">
      <c r="A397" s="121" t="s">
        <v>1585</v>
      </c>
      <c r="B397" s="65" t="s">
        <v>4503</v>
      </c>
      <c r="C397" s="65" t="s">
        <v>55</v>
      </c>
      <c r="D397" s="122"/>
      <c r="E397" s="65"/>
      <c r="F397" s="123"/>
      <c r="G397" s="63"/>
      <c r="H397" s="63"/>
      <c r="I397" s="124"/>
      <c r="J397" s="71"/>
      <c r="K397" s="125"/>
      <c r="L397" s="46"/>
      <c r="M397" s="46"/>
      <c r="N397" s="46"/>
      <c r="O397" s="46"/>
      <c r="P397" s="46"/>
      <c r="Q397" s="46"/>
      <c r="R397" s="46"/>
      <c r="S397" s="46"/>
      <c r="T397" s="46"/>
      <c r="U397" s="46"/>
      <c r="V397" s="46"/>
      <c r="W397" s="47"/>
      <c r="X397" s="47"/>
    </row>
    <row r="398" spans="1:24" ht="15">
      <c r="A398" s="121" t="s">
        <v>1607</v>
      </c>
      <c r="B398" s="65" t="s">
        <v>4504</v>
      </c>
      <c r="C398" s="65" t="s">
        <v>55</v>
      </c>
      <c r="D398" s="122"/>
      <c r="E398" s="65"/>
      <c r="F398" s="123"/>
      <c r="G398" s="63"/>
      <c r="H398" s="63"/>
      <c r="I398" s="124"/>
      <c r="J398" s="71"/>
      <c r="K398" s="125"/>
      <c r="L398" s="46"/>
      <c r="M398" s="46"/>
      <c r="N398" s="46"/>
      <c r="O398" s="46"/>
      <c r="P398" s="46"/>
      <c r="Q398" s="46"/>
      <c r="R398" s="46"/>
      <c r="S398" s="46"/>
      <c r="T398" s="46"/>
      <c r="U398" s="46"/>
      <c r="V398" s="46"/>
      <c r="W398" s="47"/>
      <c r="X398" s="47"/>
    </row>
    <row r="399" spans="1:24" ht="15">
      <c r="A399" s="121" t="s">
        <v>1608</v>
      </c>
      <c r="B399" s="65" t="s">
        <v>4493</v>
      </c>
      <c r="C399" s="65" t="s">
        <v>58</v>
      </c>
      <c r="D399" s="122"/>
      <c r="E399" s="65"/>
      <c r="F399" s="123"/>
      <c r="G399" s="63"/>
      <c r="H399" s="63"/>
      <c r="I399" s="124"/>
      <c r="J399" s="71"/>
      <c r="K399" s="125"/>
      <c r="L399" s="46"/>
      <c r="M399" s="46"/>
      <c r="N399" s="46"/>
      <c r="O399" s="46"/>
      <c r="P399" s="46"/>
      <c r="Q399" s="46"/>
      <c r="R399" s="46"/>
      <c r="S399" s="46"/>
      <c r="T399" s="46"/>
      <c r="U399" s="46"/>
      <c r="V399" s="46"/>
      <c r="W399" s="47"/>
      <c r="X399" s="47"/>
    </row>
    <row r="400" spans="1:24" ht="15">
      <c r="A400" s="121" t="s">
        <v>1609</v>
      </c>
      <c r="B400" s="65" t="s">
        <v>4494</v>
      </c>
      <c r="C400" s="65" t="s">
        <v>58</v>
      </c>
      <c r="D400" s="122"/>
      <c r="E400" s="65"/>
      <c r="F400" s="123"/>
      <c r="G400" s="63"/>
      <c r="H400" s="63"/>
      <c r="I400" s="124"/>
      <c r="J400" s="71"/>
      <c r="K400" s="125"/>
      <c r="L400" s="46"/>
      <c r="M400" s="46"/>
      <c r="N400" s="46"/>
      <c r="O400" s="46"/>
      <c r="P400" s="46"/>
      <c r="Q400" s="46"/>
      <c r="R400" s="46"/>
      <c r="S400" s="46"/>
      <c r="T400" s="46"/>
      <c r="U400" s="46"/>
      <c r="V400" s="46"/>
      <c r="W400" s="47"/>
      <c r="X400" s="47"/>
    </row>
    <row r="401" spans="1:24" ht="15">
      <c r="A401" s="121" t="s">
        <v>3805</v>
      </c>
      <c r="B401" s="65" t="s">
        <v>4495</v>
      </c>
      <c r="C401" s="65" t="s">
        <v>58</v>
      </c>
      <c r="D401" s="122"/>
      <c r="E401" s="65"/>
      <c r="F401" s="123"/>
      <c r="G401" s="63"/>
      <c r="H401" s="63"/>
      <c r="I401" s="124"/>
      <c r="J401" s="71"/>
      <c r="K401" s="125"/>
      <c r="L401" s="46"/>
      <c r="M401" s="46"/>
      <c r="N401" s="46"/>
      <c r="O401" s="46"/>
      <c r="P401" s="46"/>
      <c r="Q401" s="46"/>
      <c r="R401" s="46"/>
      <c r="S401" s="46"/>
      <c r="T401" s="46"/>
      <c r="U401" s="46"/>
      <c r="V401" s="46"/>
      <c r="W401" s="47"/>
      <c r="X401" s="47"/>
    </row>
    <row r="402" spans="1:24" ht="15">
      <c r="A402" s="121" t="s">
        <v>3806</v>
      </c>
      <c r="B402" s="65" t="s">
        <v>4496</v>
      </c>
      <c r="C402" s="65" t="s">
        <v>58</v>
      </c>
      <c r="D402" s="122"/>
      <c r="E402" s="65"/>
      <c r="F402" s="123"/>
      <c r="G402" s="63"/>
      <c r="H402" s="63"/>
      <c r="I402" s="124"/>
      <c r="J402" s="71"/>
      <c r="K402" s="125"/>
      <c r="L402" s="46"/>
      <c r="M402" s="46"/>
      <c r="N402" s="46"/>
      <c r="O402" s="46"/>
      <c r="P402" s="46"/>
      <c r="Q402" s="46"/>
      <c r="R402" s="46"/>
      <c r="S402" s="46"/>
      <c r="T402" s="46"/>
      <c r="U402" s="46"/>
      <c r="V402" s="46"/>
      <c r="W402" s="47"/>
      <c r="X402" s="47"/>
    </row>
    <row r="403" spans="1:24" ht="15">
      <c r="A403" s="121" t="s">
        <v>3807</v>
      </c>
      <c r="B403" s="65" t="s">
        <v>4497</v>
      </c>
      <c r="C403" s="65" t="s">
        <v>58</v>
      </c>
      <c r="D403" s="122"/>
      <c r="E403" s="65"/>
      <c r="F403" s="123"/>
      <c r="G403" s="63"/>
      <c r="H403" s="63"/>
      <c r="I403" s="124"/>
      <c r="J403" s="71"/>
      <c r="K403" s="125"/>
      <c r="L403" s="46"/>
      <c r="M403" s="46"/>
      <c r="N403" s="46"/>
      <c r="O403" s="46"/>
      <c r="P403" s="46"/>
      <c r="Q403" s="46"/>
      <c r="R403" s="46"/>
      <c r="S403" s="46"/>
      <c r="T403" s="46"/>
      <c r="U403" s="46"/>
      <c r="V403" s="46"/>
      <c r="W403" s="47"/>
      <c r="X403" s="47"/>
    </row>
    <row r="404" spans="1:24" ht="15">
      <c r="A404" s="121" t="s">
        <v>3808</v>
      </c>
      <c r="B404" s="65" t="s">
        <v>4498</v>
      </c>
      <c r="C404" s="65" t="s">
        <v>58</v>
      </c>
      <c r="D404" s="122"/>
      <c r="E404" s="65"/>
      <c r="F404" s="123"/>
      <c r="G404" s="63"/>
      <c r="H404" s="63"/>
      <c r="I404" s="124"/>
      <c r="J404" s="71"/>
      <c r="K404" s="125"/>
      <c r="L404" s="46"/>
      <c r="M404" s="46"/>
      <c r="N404" s="46"/>
      <c r="O404" s="46"/>
      <c r="P404" s="46"/>
      <c r="Q404" s="46"/>
      <c r="R404" s="46"/>
      <c r="S404" s="46"/>
      <c r="T404" s="46"/>
      <c r="U404" s="46"/>
      <c r="V404" s="46"/>
      <c r="W404" s="47"/>
      <c r="X404" s="47"/>
    </row>
    <row r="405" spans="1:24" ht="15">
      <c r="A405" s="121" t="s">
        <v>3809</v>
      </c>
      <c r="B405" s="65" t="s">
        <v>4499</v>
      </c>
      <c r="C405" s="65" t="s">
        <v>58</v>
      </c>
      <c r="D405" s="122"/>
      <c r="E405" s="65"/>
      <c r="F405" s="123"/>
      <c r="G405" s="63"/>
      <c r="H405" s="63"/>
      <c r="I405" s="124"/>
      <c r="J405" s="71"/>
      <c r="K405" s="125"/>
      <c r="L405" s="46"/>
      <c r="M405" s="46"/>
      <c r="N405" s="46"/>
      <c r="O405" s="46"/>
      <c r="P405" s="46"/>
      <c r="Q405" s="46"/>
      <c r="R405" s="46"/>
      <c r="S405" s="46"/>
      <c r="T405" s="46"/>
      <c r="U405" s="46"/>
      <c r="V405" s="46"/>
      <c r="W405" s="47"/>
      <c r="X405" s="47"/>
    </row>
    <row r="406" spans="1:24" ht="15">
      <c r="A406" s="121" t="s">
        <v>3811</v>
      </c>
      <c r="B406" s="65" t="s">
        <v>4500</v>
      </c>
      <c r="C406" s="65" t="s">
        <v>58</v>
      </c>
      <c r="D406" s="122"/>
      <c r="E406" s="65"/>
      <c r="F406" s="123"/>
      <c r="G406" s="63"/>
      <c r="H406" s="63"/>
      <c r="I406" s="124"/>
      <c r="J406" s="71"/>
      <c r="K406" s="125"/>
      <c r="L406" s="46"/>
      <c r="M406" s="46"/>
      <c r="N406" s="46"/>
      <c r="O406" s="46"/>
      <c r="P406" s="46"/>
      <c r="Q406" s="46"/>
      <c r="R406" s="46"/>
      <c r="S406" s="46"/>
      <c r="T406" s="46"/>
      <c r="U406" s="46"/>
      <c r="V406" s="46"/>
      <c r="W406" s="47"/>
      <c r="X406" s="47"/>
    </row>
    <row r="407" spans="1:24" ht="15">
      <c r="A407" s="121" t="s">
        <v>3812</v>
      </c>
      <c r="B407" s="65" t="s">
        <v>4501</v>
      </c>
      <c r="C407" s="65" t="s">
        <v>58</v>
      </c>
      <c r="D407" s="122"/>
      <c r="E407" s="65"/>
      <c r="F407" s="123"/>
      <c r="G407" s="63"/>
      <c r="H407" s="63"/>
      <c r="I407" s="124"/>
      <c r="J407" s="71"/>
      <c r="K407" s="125"/>
      <c r="L407" s="46"/>
      <c r="M407" s="46"/>
      <c r="N407" s="46"/>
      <c r="O407" s="46"/>
      <c r="P407" s="46"/>
      <c r="Q407" s="46"/>
      <c r="R407" s="46"/>
      <c r="S407" s="46"/>
      <c r="T407" s="46"/>
      <c r="U407" s="46"/>
      <c r="V407" s="46"/>
      <c r="W407" s="47"/>
      <c r="X407" s="47"/>
    </row>
    <row r="408" spans="1:24" ht="15">
      <c r="A408" s="121" t="s">
        <v>3813</v>
      </c>
      <c r="B408" s="65" t="s">
        <v>4502</v>
      </c>
      <c r="C408" s="65" t="s">
        <v>58</v>
      </c>
      <c r="D408" s="122"/>
      <c r="E408" s="65"/>
      <c r="F408" s="123"/>
      <c r="G408" s="63"/>
      <c r="H408" s="63"/>
      <c r="I408" s="124"/>
      <c r="J408" s="71"/>
      <c r="K408" s="125"/>
      <c r="L408" s="46"/>
      <c r="M408" s="46"/>
      <c r="N408" s="46"/>
      <c r="O408" s="46"/>
      <c r="P408" s="46"/>
      <c r="Q408" s="46"/>
      <c r="R408" s="46"/>
      <c r="S408" s="46"/>
      <c r="T408" s="46"/>
      <c r="U408" s="46"/>
      <c r="V408" s="46"/>
      <c r="W408" s="47"/>
      <c r="X408" s="47"/>
    </row>
    <row r="409" spans="1:24" ht="15">
      <c r="A409" s="121" t="s">
        <v>3814</v>
      </c>
      <c r="B409" s="65" t="s">
        <v>4503</v>
      </c>
      <c r="C409" s="65" t="s">
        <v>58</v>
      </c>
      <c r="D409" s="122"/>
      <c r="E409" s="65"/>
      <c r="F409" s="123"/>
      <c r="G409" s="63"/>
      <c r="H409" s="63"/>
      <c r="I409" s="124"/>
      <c r="J409" s="71"/>
      <c r="K409" s="125"/>
      <c r="L409" s="46"/>
      <c r="M409" s="46"/>
      <c r="N409" s="46"/>
      <c r="O409" s="46"/>
      <c r="P409" s="46"/>
      <c r="Q409" s="46"/>
      <c r="R409" s="46"/>
      <c r="S409" s="46"/>
      <c r="T409" s="46"/>
      <c r="U409" s="46"/>
      <c r="V409" s="46"/>
      <c r="W409" s="47"/>
      <c r="X409" s="47"/>
    </row>
    <row r="410" spans="1:24" ht="15">
      <c r="A410" s="121" t="s">
        <v>1673</v>
      </c>
      <c r="B410" s="65" t="s">
        <v>4504</v>
      </c>
      <c r="C410" s="65" t="s">
        <v>58</v>
      </c>
      <c r="D410" s="122"/>
      <c r="E410" s="65"/>
      <c r="F410" s="123"/>
      <c r="G410" s="63"/>
      <c r="H410" s="63"/>
      <c r="I410" s="124"/>
      <c r="J410" s="71"/>
      <c r="K410" s="125"/>
      <c r="L410" s="46"/>
      <c r="M410" s="46"/>
      <c r="N410" s="46"/>
      <c r="O410" s="46"/>
      <c r="P410" s="46"/>
      <c r="Q410" s="46"/>
      <c r="R410" s="46"/>
      <c r="S410" s="46"/>
      <c r="T410" s="46"/>
      <c r="U410" s="46"/>
      <c r="V410" s="46"/>
      <c r="W410" s="47"/>
      <c r="X410" s="47"/>
    </row>
    <row r="411" spans="1:24" ht="15">
      <c r="A411" s="121" t="s">
        <v>1674</v>
      </c>
      <c r="B411" s="65" t="s">
        <v>4493</v>
      </c>
      <c r="C411" s="65" t="s">
        <v>60</v>
      </c>
      <c r="D411" s="122"/>
      <c r="E411" s="65"/>
      <c r="F411" s="123"/>
      <c r="G411" s="63"/>
      <c r="H411" s="63"/>
      <c r="I411" s="124"/>
      <c r="J411" s="71"/>
      <c r="K411" s="125"/>
      <c r="L411" s="46"/>
      <c r="M411" s="46"/>
      <c r="N411" s="46"/>
      <c r="O411" s="46"/>
      <c r="P411" s="46"/>
      <c r="Q411" s="46"/>
      <c r="R411" s="46"/>
      <c r="S411" s="46"/>
      <c r="T411" s="46"/>
      <c r="U411" s="46"/>
      <c r="V411" s="46"/>
      <c r="W411" s="47"/>
      <c r="X411" s="47"/>
    </row>
    <row r="412" spans="1:24" ht="15">
      <c r="A412" s="121" t="s">
        <v>1672</v>
      </c>
      <c r="B412" s="65" t="s">
        <v>4494</v>
      </c>
      <c r="C412" s="65" t="s">
        <v>60</v>
      </c>
      <c r="D412" s="122"/>
      <c r="E412" s="65"/>
      <c r="F412" s="123"/>
      <c r="G412" s="63"/>
      <c r="H412" s="63"/>
      <c r="I412" s="124"/>
      <c r="J412" s="71"/>
      <c r="K412" s="125"/>
      <c r="L412" s="46"/>
      <c r="M412" s="46"/>
      <c r="N412" s="46"/>
      <c r="O412" s="46"/>
      <c r="P412" s="46"/>
      <c r="Q412" s="46"/>
      <c r="R412" s="46"/>
      <c r="S412" s="46"/>
      <c r="T412" s="46"/>
      <c r="U412" s="46"/>
      <c r="V412" s="46"/>
      <c r="W412" s="47"/>
      <c r="X412" s="47"/>
    </row>
    <row r="413" spans="1:24" ht="15">
      <c r="A413" s="121" t="s">
        <v>4468</v>
      </c>
      <c r="B413" s="65" t="s">
        <v>4495</v>
      </c>
      <c r="C413" s="65" t="s">
        <v>60</v>
      </c>
      <c r="D413" s="122"/>
      <c r="E413" s="65"/>
      <c r="F413" s="123"/>
      <c r="G413" s="63"/>
      <c r="H413" s="63"/>
      <c r="I413" s="124"/>
      <c r="J413" s="71"/>
      <c r="K413" s="125"/>
      <c r="L413" s="46"/>
      <c r="M413" s="46"/>
      <c r="N413" s="46"/>
      <c r="O413" s="46"/>
      <c r="P413" s="46"/>
      <c r="Q413" s="46"/>
      <c r="R413" s="46"/>
      <c r="S413" s="46"/>
      <c r="T413" s="46"/>
      <c r="U413" s="46"/>
      <c r="V413" s="46"/>
      <c r="W413" s="47"/>
      <c r="X413" s="47"/>
    </row>
    <row r="414" spans="1:24" ht="15">
      <c r="A414" s="121" t="s">
        <v>1547</v>
      </c>
      <c r="B414" s="65" t="s">
        <v>4496</v>
      </c>
      <c r="C414" s="65" t="s">
        <v>60</v>
      </c>
      <c r="D414" s="122"/>
      <c r="E414" s="65"/>
      <c r="F414" s="123"/>
      <c r="G414" s="63"/>
      <c r="H414" s="63"/>
      <c r="I414" s="124"/>
      <c r="J414" s="71"/>
      <c r="K414" s="125"/>
      <c r="L414" s="46"/>
      <c r="M414" s="46"/>
      <c r="N414" s="46"/>
      <c r="O414" s="46"/>
      <c r="P414" s="46"/>
      <c r="Q414" s="46"/>
      <c r="R414" s="46"/>
      <c r="S414" s="46"/>
      <c r="T414" s="46"/>
      <c r="U414" s="46"/>
      <c r="V414" s="46"/>
      <c r="W414" s="47"/>
      <c r="X414" s="47"/>
    </row>
    <row r="415" spans="1:24" ht="15">
      <c r="A415" s="121" t="s">
        <v>3718</v>
      </c>
      <c r="B415" s="65" t="s">
        <v>4497</v>
      </c>
      <c r="C415" s="65" t="s">
        <v>60</v>
      </c>
      <c r="D415" s="122"/>
      <c r="E415" s="65"/>
      <c r="F415" s="123"/>
      <c r="G415" s="63"/>
      <c r="H415" s="63"/>
      <c r="I415" s="124"/>
      <c r="J415" s="71"/>
      <c r="K415" s="125"/>
      <c r="L415" s="46"/>
      <c r="M415" s="46"/>
      <c r="N415" s="46"/>
      <c r="O415" s="46"/>
      <c r="P415" s="46"/>
      <c r="Q415" s="46"/>
      <c r="R415" s="46"/>
      <c r="S415" s="46"/>
      <c r="T415" s="46"/>
      <c r="U415" s="46"/>
      <c r="V415" s="46"/>
      <c r="W415" s="47"/>
      <c r="X415" s="47"/>
    </row>
    <row r="416" spans="1:24" ht="15">
      <c r="A416" s="121" t="s">
        <v>1548</v>
      </c>
      <c r="B416" s="65" t="s">
        <v>4498</v>
      </c>
      <c r="C416" s="65" t="s">
        <v>60</v>
      </c>
      <c r="D416" s="122"/>
      <c r="E416" s="65"/>
      <c r="F416" s="123"/>
      <c r="G416" s="63"/>
      <c r="H416" s="63"/>
      <c r="I416" s="124"/>
      <c r="J416" s="71"/>
      <c r="K416" s="125"/>
      <c r="L416" s="46"/>
      <c r="M416" s="46"/>
      <c r="N416" s="46"/>
      <c r="O416" s="46"/>
      <c r="P416" s="46"/>
      <c r="Q416" s="46"/>
      <c r="R416" s="46"/>
      <c r="S416" s="46"/>
      <c r="T416" s="46"/>
      <c r="U416" s="46"/>
      <c r="V416" s="46"/>
      <c r="W416" s="47"/>
      <c r="X416" s="47"/>
    </row>
    <row r="417" spans="1:24" ht="15">
      <c r="A417" s="121" t="s">
        <v>1549</v>
      </c>
      <c r="B417" s="65" t="s">
        <v>4499</v>
      </c>
      <c r="C417" s="65" t="s">
        <v>60</v>
      </c>
      <c r="D417" s="122"/>
      <c r="E417" s="65"/>
      <c r="F417" s="123"/>
      <c r="G417" s="63"/>
      <c r="H417" s="63"/>
      <c r="I417" s="124"/>
      <c r="J417" s="71"/>
      <c r="K417" s="125"/>
      <c r="L417" s="46"/>
      <c r="M417" s="46"/>
      <c r="N417" s="46"/>
      <c r="O417" s="46"/>
      <c r="P417" s="46"/>
      <c r="Q417" s="46"/>
      <c r="R417" s="46"/>
      <c r="S417" s="46"/>
      <c r="T417" s="46"/>
      <c r="U417" s="46"/>
      <c r="V417" s="46"/>
      <c r="W417" s="47"/>
      <c r="X417" s="47"/>
    </row>
    <row r="418" spans="1:24" ht="15">
      <c r="A418" s="121" t="s">
        <v>1550</v>
      </c>
      <c r="B418" s="65" t="s">
        <v>4500</v>
      </c>
      <c r="C418" s="65" t="s">
        <v>60</v>
      </c>
      <c r="D418" s="122"/>
      <c r="E418" s="65"/>
      <c r="F418" s="123"/>
      <c r="G418" s="63"/>
      <c r="H418" s="63"/>
      <c r="I418" s="124"/>
      <c r="J418" s="71"/>
      <c r="K418" s="125"/>
      <c r="L418" s="46"/>
      <c r="M418" s="46"/>
      <c r="N418" s="46"/>
      <c r="O418" s="46"/>
      <c r="P418" s="46"/>
      <c r="Q418" s="46"/>
      <c r="R418" s="46"/>
      <c r="S418" s="46"/>
      <c r="T418" s="46"/>
      <c r="U418" s="46"/>
      <c r="V418" s="46"/>
      <c r="W418" s="47"/>
      <c r="X418" s="47"/>
    </row>
    <row r="419" spans="1:24" ht="15">
      <c r="A419" s="121" t="s">
        <v>1552</v>
      </c>
      <c r="B419" s="65" t="s">
        <v>4501</v>
      </c>
      <c r="C419" s="65" t="s">
        <v>60</v>
      </c>
      <c r="D419" s="122"/>
      <c r="E419" s="65"/>
      <c r="F419" s="123"/>
      <c r="G419" s="63"/>
      <c r="H419" s="63"/>
      <c r="I419" s="124"/>
      <c r="J419" s="71"/>
      <c r="K419" s="125"/>
      <c r="L419" s="46"/>
      <c r="M419" s="46"/>
      <c r="N419" s="46"/>
      <c r="O419" s="46"/>
      <c r="P419" s="46"/>
      <c r="Q419" s="46"/>
      <c r="R419" s="46"/>
      <c r="S419" s="46"/>
      <c r="T419" s="46"/>
      <c r="U419" s="46"/>
      <c r="V419" s="46"/>
      <c r="W419" s="47"/>
      <c r="X419" s="47"/>
    </row>
    <row r="420" spans="1:24" ht="15">
      <c r="A420" s="121" t="s">
        <v>1553</v>
      </c>
      <c r="B420" s="65" t="s">
        <v>4502</v>
      </c>
      <c r="C420" s="65" t="s">
        <v>60</v>
      </c>
      <c r="D420" s="122"/>
      <c r="E420" s="65"/>
      <c r="F420" s="123"/>
      <c r="G420" s="63"/>
      <c r="H420" s="63"/>
      <c r="I420" s="124"/>
      <c r="J420" s="71"/>
      <c r="K420" s="125"/>
      <c r="L420" s="46"/>
      <c r="M420" s="46"/>
      <c r="N420" s="46"/>
      <c r="O420" s="46"/>
      <c r="P420" s="46"/>
      <c r="Q420" s="46"/>
      <c r="R420" s="46"/>
      <c r="S420" s="46"/>
      <c r="T420" s="46"/>
      <c r="U420" s="46"/>
      <c r="V420" s="46"/>
      <c r="W420" s="47"/>
      <c r="X420" s="47"/>
    </row>
    <row r="421" spans="1:24" ht="15">
      <c r="A421" s="121" t="s">
        <v>1554</v>
      </c>
      <c r="B421" s="65" t="s">
        <v>4503</v>
      </c>
      <c r="C421" s="65" t="s">
        <v>60</v>
      </c>
      <c r="D421" s="122"/>
      <c r="E421" s="65"/>
      <c r="F421" s="123"/>
      <c r="G421" s="63"/>
      <c r="H421" s="63"/>
      <c r="I421" s="124"/>
      <c r="J421" s="71"/>
      <c r="K421" s="125"/>
      <c r="L421" s="46"/>
      <c r="M421" s="46"/>
      <c r="N421" s="46"/>
      <c r="O421" s="46"/>
      <c r="P421" s="46"/>
      <c r="Q421" s="46"/>
      <c r="R421" s="46"/>
      <c r="S421" s="46"/>
      <c r="T421" s="46"/>
      <c r="U421" s="46"/>
      <c r="V421" s="46"/>
      <c r="W421" s="47"/>
      <c r="X421" s="47"/>
    </row>
    <row r="422" spans="1:24" ht="15">
      <c r="A422" s="121" t="s">
        <v>1555</v>
      </c>
      <c r="B422" s="65" t="s">
        <v>4504</v>
      </c>
      <c r="C422" s="65" t="s">
        <v>60</v>
      </c>
      <c r="D422" s="122"/>
      <c r="E422" s="65"/>
      <c r="F422" s="123"/>
      <c r="G422" s="63"/>
      <c r="H422" s="63"/>
      <c r="I422" s="124"/>
      <c r="J422" s="71"/>
      <c r="K422" s="125"/>
      <c r="L422" s="46"/>
      <c r="M422" s="46"/>
      <c r="N422" s="46"/>
      <c r="O422" s="46"/>
      <c r="P422" s="46"/>
      <c r="Q422" s="46"/>
      <c r="R422" s="46"/>
      <c r="S422" s="46"/>
      <c r="T422" s="46"/>
      <c r="U422" s="46"/>
      <c r="V422" s="46"/>
      <c r="W422" s="47"/>
      <c r="X422" s="47"/>
    </row>
    <row r="423" spans="1:24" ht="15">
      <c r="A423" s="121" t="s">
        <v>1556</v>
      </c>
      <c r="B423" s="65" t="s">
        <v>4493</v>
      </c>
      <c r="C423" s="65" t="s">
        <v>62</v>
      </c>
      <c r="D423" s="122"/>
      <c r="E423" s="65"/>
      <c r="F423" s="123"/>
      <c r="G423" s="63"/>
      <c r="H423" s="63"/>
      <c r="I423" s="124"/>
      <c r="J423" s="71"/>
      <c r="K423" s="125"/>
      <c r="L423" s="46"/>
      <c r="M423" s="46"/>
      <c r="N423" s="46"/>
      <c r="O423" s="46"/>
      <c r="P423" s="46"/>
      <c r="Q423" s="46"/>
      <c r="R423" s="46"/>
      <c r="S423" s="46"/>
      <c r="T423" s="46"/>
      <c r="U423" s="46"/>
      <c r="V423" s="46"/>
      <c r="W423" s="47"/>
      <c r="X423" s="47"/>
    </row>
    <row r="424" spans="1:24" ht="15">
      <c r="A424" s="121" t="s">
        <v>1639</v>
      </c>
      <c r="B424" s="65" t="s">
        <v>4494</v>
      </c>
      <c r="C424" s="65" t="s">
        <v>62</v>
      </c>
      <c r="D424" s="122"/>
      <c r="E424" s="65"/>
      <c r="F424" s="123"/>
      <c r="G424" s="63"/>
      <c r="H424" s="63"/>
      <c r="I424" s="124"/>
      <c r="J424" s="71"/>
      <c r="K424" s="125"/>
      <c r="L424" s="46"/>
      <c r="M424" s="46"/>
      <c r="N424" s="46"/>
      <c r="O424" s="46"/>
      <c r="P424" s="46"/>
      <c r="Q424" s="46"/>
      <c r="R424" s="46"/>
      <c r="S424" s="46"/>
      <c r="T424" s="46"/>
      <c r="U424" s="46"/>
      <c r="V424" s="46"/>
      <c r="W424" s="47"/>
      <c r="X424" s="47"/>
    </row>
    <row r="425" spans="1:24" ht="15">
      <c r="A425" s="121" t="s">
        <v>3784</v>
      </c>
      <c r="B425" s="65" t="s">
        <v>4495</v>
      </c>
      <c r="C425" s="65" t="s">
        <v>62</v>
      </c>
      <c r="D425" s="122"/>
      <c r="E425" s="65"/>
      <c r="F425" s="123"/>
      <c r="G425" s="63"/>
      <c r="H425" s="63"/>
      <c r="I425" s="124"/>
      <c r="J425" s="71"/>
      <c r="K425" s="125"/>
      <c r="L425" s="46"/>
      <c r="M425" s="46"/>
      <c r="N425" s="46"/>
      <c r="O425" s="46"/>
      <c r="P425" s="46"/>
      <c r="Q425" s="46"/>
      <c r="R425" s="46"/>
      <c r="S425" s="46"/>
      <c r="T425" s="46"/>
      <c r="U425" s="46"/>
      <c r="V425" s="46"/>
      <c r="W425" s="47"/>
      <c r="X425" s="47"/>
    </row>
    <row r="426" spans="1:24" ht="15">
      <c r="A426" s="121" t="s">
        <v>1641</v>
      </c>
      <c r="B426" s="65" t="s">
        <v>4496</v>
      </c>
      <c r="C426" s="65" t="s">
        <v>62</v>
      </c>
      <c r="D426" s="122"/>
      <c r="E426" s="65"/>
      <c r="F426" s="123"/>
      <c r="G426" s="63"/>
      <c r="H426" s="63"/>
      <c r="I426" s="124"/>
      <c r="J426" s="71"/>
      <c r="K426" s="125"/>
      <c r="L426" s="46"/>
      <c r="M426" s="46"/>
      <c r="N426" s="46"/>
      <c r="O426" s="46"/>
      <c r="P426" s="46"/>
      <c r="Q426" s="46"/>
      <c r="R426" s="46"/>
      <c r="S426" s="46"/>
      <c r="T426" s="46"/>
      <c r="U426" s="46"/>
      <c r="V426" s="46"/>
      <c r="W426" s="47"/>
      <c r="X426" s="47"/>
    </row>
    <row r="427" spans="1:24" ht="15">
      <c r="A427" s="121" t="s">
        <v>3785</v>
      </c>
      <c r="B427" s="65" t="s">
        <v>4497</v>
      </c>
      <c r="C427" s="65" t="s">
        <v>62</v>
      </c>
      <c r="D427" s="122"/>
      <c r="E427" s="65"/>
      <c r="F427" s="123"/>
      <c r="G427" s="63"/>
      <c r="H427" s="63"/>
      <c r="I427" s="124"/>
      <c r="J427" s="71"/>
      <c r="K427" s="125"/>
      <c r="L427" s="46"/>
      <c r="M427" s="46"/>
      <c r="N427" s="46"/>
      <c r="O427" s="46"/>
      <c r="P427" s="46"/>
      <c r="Q427" s="46"/>
      <c r="R427" s="46"/>
      <c r="S427" s="46"/>
      <c r="T427" s="46"/>
      <c r="U427" s="46"/>
      <c r="V427" s="46"/>
      <c r="W427" s="47"/>
      <c r="X427" s="47"/>
    </row>
    <row r="428" spans="1:24" ht="15">
      <c r="A428" s="121" t="s">
        <v>1642</v>
      </c>
      <c r="B428" s="65" t="s">
        <v>4498</v>
      </c>
      <c r="C428" s="65" t="s">
        <v>62</v>
      </c>
      <c r="D428" s="122"/>
      <c r="E428" s="65"/>
      <c r="F428" s="123"/>
      <c r="G428" s="63"/>
      <c r="H428" s="63"/>
      <c r="I428" s="124"/>
      <c r="J428" s="71"/>
      <c r="K428" s="125"/>
      <c r="L428" s="46"/>
      <c r="M428" s="46"/>
      <c r="N428" s="46"/>
      <c r="O428" s="46"/>
      <c r="P428" s="46"/>
      <c r="Q428" s="46"/>
      <c r="R428" s="46"/>
      <c r="S428" s="46"/>
      <c r="T428" s="46"/>
      <c r="U428" s="46"/>
      <c r="V428" s="46"/>
      <c r="W428" s="47"/>
      <c r="X428" s="47"/>
    </row>
    <row r="429" spans="1:24" ht="15">
      <c r="A429" s="121" t="s">
        <v>1640</v>
      </c>
      <c r="B429" s="65" t="s">
        <v>4499</v>
      </c>
      <c r="C429" s="65" t="s">
        <v>62</v>
      </c>
      <c r="D429" s="122"/>
      <c r="E429" s="65"/>
      <c r="F429" s="123"/>
      <c r="G429" s="63"/>
      <c r="H429" s="63"/>
      <c r="I429" s="124"/>
      <c r="J429" s="71"/>
      <c r="K429" s="125"/>
      <c r="L429" s="46"/>
      <c r="M429" s="46"/>
      <c r="N429" s="46"/>
      <c r="O429" s="46"/>
      <c r="P429" s="46"/>
      <c r="Q429" s="46"/>
      <c r="R429" s="46"/>
      <c r="S429" s="46"/>
      <c r="T429" s="46"/>
      <c r="U429" s="46"/>
      <c r="V429" s="46"/>
      <c r="W429" s="47"/>
      <c r="X429" s="47"/>
    </row>
    <row r="430" spans="1:24" ht="15">
      <c r="A430" s="121" t="s">
        <v>1643</v>
      </c>
      <c r="B430" s="65" t="s">
        <v>4500</v>
      </c>
      <c r="C430" s="65" t="s">
        <v>62</v>
      </c>
      <c r="D430" s="122"/>
      <c r="E430" s="65"/>
      <c r="F430" s="123"/>
      <c r="G430" s="63"/>
      <c r="H430" s="63"/>
      <c r="I430" s="124"/>
      <c r="J430" s="71"/>
      <c r="K430" s="125"/>
      <c r="L430" s="46"/>
      <c r="M430" s="46"/>
      <c r="N430" s="46"/>
      <c r="O430" s="46"/>
      <c r="P430" s="46"/>
      <c r="Q430" s="46"/>
      <c r="R430" s="46"/>
      <c r="S430" s="46"/>
      <c r="T430" s="46"/>
      <c r="U430" s="46"/>
      <c r="V430" s="46"/>
      <c r="W430" s="47"/>
      <c r="X430" s="47"/>
    </row>
    <row r="431" spans="1:24" ht="15">
      <c r="A431" s="121" t="s">
        <v>3739</v>
      </c>
      <c r="B431" s="65" t="s">
        <v>4501</v>
      </c>
      <c r="C431" s="65" t="s">
        <v>62</v>
      </c>
      <c r="D431" s="122"/>
      <c r="E431" s="65"/>
      <c r="F431" s="123"/>
      <c r="G431" s="63"/>
      <c r="H431" s="63"/>
      <c r="I431" s="124"/>
      <c r="J431" s="71"/>
      <c r="K431" s="125"/>
      <c r="L431" s="46"/>
      <c r="M431" s="46"/>
      <c r="N431" s="46"/>
      <c r="O431" s="46"/>
      <c r="P431" s="46"/>
      <c r="Q431" s="46"/>
      <c r="R431" s="46"/>
      <c r="S431" s="46"/>
      <c r="T431" s="46"/>
      <c r="U431" s="46"/>
      <c r="V431" s="46"/>
      <c r="W431" s="47"/>
      <c r="X431" s="47"/>
    </row>
    <row r="432" spans="1:24" ht="15">
      <c r="A432" s="121" t="s">
        <v>3740</v>
      </c>
      <c r="B432" s="65" t="s">
        <v>4502</v>
      </c>
      <c r="C432" s="65" t="s">
        <v>62</v>
      </c>
      <c r="D432" s="122"/>
      <c r="E432" s="65"/>
      <c r="F432" s="123"/>
      <c r="G432" s="63"/>
      <c r="H432" s="63"/>
      <c r="I432" s="124"/>
      <c r="J432" s="71"/>
      <c r="K432" s="125"/>
      <c r="L432" s="46"/>
      <c r="M432" s="46"/>
      <c r="N432" s="46"/>
      <c r="O432" s="46"/>
      <c r="P432" s="46"/>
      <c r="Q432" s="46"/>
      <c r="R432" s="46"/>
      <c r="S432" s="46"/>
      <c r="T432" s="46"/>
      <c r="U432" s="46"/>
      <c r="V432" s="46"/>
      <c r="W432" s="47"/>
      <c r="X432" s="47"/>
    </row>
    <row r="433" spans="1:24" ht="15">
      <c r="A433" s="121" t="s">
        <v>3741</v>
      </c>
      <c r="B433" s="65" t="s">
        <v>4503</v>
      </c>
      <c r="C433" s="65" t="s">
        <v>62</v>
      </c>
      <c r="D433" s="122"/>
      <c r="E433" s="65"/>
      <c r="F433" s="123"/>
      <c r="G433" s="63"/>
      <c r="H433" s="63"/>
      <c r="I433" s="124"/>
      <c r="J433" s="71"/>
      <c r="K433" s="125"/>
      <c r="L433" s="46"/>
      <c r="M433" s="46"/>
      <c r="N433" s="46"/>
      <c r="O433" s="46"/>
      <c r="P433" s="46"/>
      <c r="Q433" s="46"/>
      <c r="R433" s="46"/>
      <c r="S433" s="46"/>
      <c r="T433" s="46"/>
      <c r="U433" s="46"/>
      <c r="V433" s="46"/>
      <c r="W433" s="47"/>
      <c r="X433" s="47"/>
    </row>
    <row r="434" spans="1:24" ht="15">
      <c r="A434" s="121" t="s">
        <v>3742</v>
      </c>
      <c r="B434" s="65" t="s">
        <v>4504</v>
      </c>
      <c r="C434" s="65" t="s">
        <v>62</v>
      </c>
      <c r="D434" s="122"/>
      <c r="E434" s="65"/>
      <c r="F434" s="123"/>
      <c r="G434" s="63"/>
      <c r="H434" s="63"/>
      <c r="I434" s="124"/>
      <c r="J434" s="71"/>
      <c r="K434" s="125"/>
      <c r="L434" s="46"/>
      <c r="M434" s="46"/>
      <c r="N434" s="46"/>
      <c r="O434" s="46"/>
      <c r="P434" s="46"/>
      <c r="Q434" s="46"/>
      <c r="R434" s="46"/>
      <c r="S434" s="46"/>
      <c r="T434" s="46"/>
      <c r="U434" s="46"/>
      <c r="V434" s="46"/>
      <c r="W434" s="47"/>
      <c r="X434" s="47"/>
    </row>
    <row r="435" spans="1:24" ht="15">
      <c r="A435" s="121" t="s">
        <v>3743</v>
      </c>
      <c r="B435" s="65" t="s">
        <v>4505</v>
      </c>
      <c r="C435" s="65" t="s">
        <v>56</v>
      </c>
      <c r="D435" s="122"/>
      <c r="E435" s="65"/>
      <c r="F435" s="123"/>
      <c r="G435" s="63"/>
      <c r="H435" s="63"/>
      <c r="I435" s="124"/>
      <c r="J435" s="71"/>
      <c r="K435" s="125"/>
      <c r="L435" s="46"/>
      <c r="M435" s="46"/>
      <c r="N435" s="46"/>
      <c r="O435" s="46"/>
      <c r="P435" s="46"/>
      <c r="Q435" s="46"/>
      <c r="R435" s="46"/>
      <c r="S435" s="46"/>
      <c r="T435" s="46"/>
      <c r="U435" s="46"/>
      <c r="V435" s="46"/>
      <c r="W435" s="47"/>
      <c r="X435" s="47"/>
    </row>
    <row r="436" spans="1:24" ht="15">
      <c r="A436" s="121" t="s">
        <v>3744</v>
      </c>
      <c r="B436" s="65" t="s">
        <v>4506</v>
      </c>
      <c r="C436" s="65" t="s">
        <v>56</v>
      </c>
      <c r="D436" s="122"/>
      <c r="E436" s="65"/>
      <c r="F436" s="123"/>
      <c r="G436" s="63"/>
      <c r="H436" s="63"/>
      <c r="I436" s="124"/>
      <c r="J436" s="71"/>
      <c r="K436" s="125"/>
      <c r="L436" s="46"/>
      <c r="M436" s="46"/>
      <c r="N436" s="46"/>
      <c r="O436" s="46"/>
      <c r="P436" s="46"/>
      <c r="Q436" s="46"/>
      <c r="R436" s="46"/>
      <c r="S436" s="46"/>
      <c r="T436" s="46"/>
      <c r="U436" s="46"/>
      <c r="V436" s="46"/>
      <c r="W436" s="47"/>
      <c r="X436" s="47"/>
    </row>
    <row r="437" spans="1:24" ht="15">
      <c r="A437" s="121" t="s">
        <v>3745</v>
      </c>
      <c r="B437" s="65" t="s">
        <v>4507</v>
      </c>
      <c r="C437" s="65" t="s">
        <v>56</v>
      </c>
      <c r="D437" s="122"/>
      <c r="E437" s="65"/>
      <c r="F437" s="123"/>
      <c r="G437" s="63"/>
      <c r="H437" s="63"/>
      <c r="I437" s="124"/>
      <c r="J437" s="71"/>
      <c r="K437" s="125"/>
      <c r="L437" s="46"/>
      <c r="M437" s="46"/>
      <c r="N437" s="46"/>
      <c r="O437" s="46"/>
      <c r="P437" s="46"/>
      <c r="Q437" s="46"/>
      <c r="R437" s="46"/>
      <c r="S437" s="46"/>
      <c r="T437" s="46"/>
      <c r="U437" s="46"/>
      <c r="V437" s="46"/>
      <c r="W437" s="47"/>
      <c r="X437" s="47"/>
    </row>
    <row r="438" spans="1:24" ht="15">
      <c r="A438" s="121" t="s">
        <v>3747</v>
      </c>
      <c r="B438" s="65" t="s">
        <v>4508</v>
      </c>
      <c r="C438" s="65" t="s">
        <v>56</v>
      </c>
      <c r="D438" s="122"/>
      <c r="E438" s="65"/>
      <c r="F438" s="123"/>
      <c r="G438" s="63"/>
      <c r="H438" s="63"/>
      <c r="I438" s="124"/>
      <c r="J438" s="71"/>
      <c r="K438" s="125"/>
      <c r="L438" s="46"/>
      <c r="M438" s="46"/>
      <c r="N438" s="46"/>
      <c r="O438" s="46"/>
      <c r="P438" s="46"/>
      <c r="Q438" s="46"/>
      <c r="R438" s="46"/>
      <c r="S438" s="46"/>
      <c r="T438" s="46"/>
      <c r="U438" s="46"/>
      <c r="V438" s="46"/>
      <c r="W438" s="47"/>
      <c r="X438" s="47"/>
    </row>
    <row r="439" spans="1:24" ht="15">
      <c r="A439" s="121" t="s">
        <v>3748</v>
      </c>
      <c r="B439" s="65" t="s">
        <v>4509</v>
      </c>
      <c r="C439" s="65" t="s">
        <v>56</v>
      </c>
      <c r="D439" s="122"/>
      <c r="E439" s="65"/>
      <c r="F439" s="123"/>
      <c r="G439" s="63"/>
      <c r="H439" s="63"/>
      <c r="I439" s="124"/>
      <c r="J439" s="71"/>
      <c r="K439" s="125"/>
      <c r="L439" s="46"/>
      <c r="M439" s="46"/>
      <c r="N439" s="46"/>
      <c r="O439" s="46"/>
      <c r="P439" s="46"/>
      <c r="Q439" s="46"/>
      <c r="R439" s="46"/>
      <c r="S439" s="46"/>
      <c r="T439" s="46"/>
      <c r="U439" s="46"/>
      <c r="V439" s="46"/>
      <c r="W439" s="47"/>
      <c r="X439" s="47"/>
    </row>
    <row r="440" spans="1:24" ht="15">
      <c r="A440" s="121" t="s">
        <v>1504</v>
      </c>
      <c r="B440" s="65" t="s">
        <v>4510</v>
      </c>
      <c r="C440" s="65" t="s">
        <v>56</v>
      </c>
      <c r="D440" s="122"/>
      <c r="E440" s="65"/>
      <c r="F440" s="123"/>
      <c r="G440" s="63"/>
      <c r="H440" s="63"/>
      <c r="I440" s="124"/>
      <c r="J440" s="71"/>
      <c r="K440" s="125"/>
      <c r="L440" s="46"/>
      <c r="M440" s="46"/>
      <c r="N440" s="46"/>
      <c r="O440" s="46"/>
      <c r="P440" s="46"/>
      <c r="Q440" s="46"/>
      <c r="R440" s="46"/>
      <c r="S440" s="46"/>
      <c r="T440" s="46"/>
      <c r="U440" s="46"/>
      <c r="V440" s="46"/>
      <c r="W440" s="47"/>
      <c r="X440" s="47"/>
    </row>
    <row r="441" spans="1:24" ht="15">
      <c r="A441" s="121" t="s">
        <v>3750</v>
      </c>
      <c r="B441" s="65" t="s">
        <v>4511</v>
      </c>
      <c r="C441" s="65" t="s">
        <v>56</v>
      </c>
      <c r="D441" s="122"/>
      <c r="E441" s="65"/>
      <c r="F441" s="123"/>
      <c r="G441" s="63"/>
      <c r="H441" s="63"/>
      <c r="I441" s="124"/>
      <c r="J441" s="71"/>
      <c r="K441" s="125"/>
      <c r="L441" s="46"/>
      <c r="M441" s="46"/>
      <c r="N441" s="46"/>
      <c r="O441" s="46"/>
      <c r="P441" s="46"/>
      <c r="Q441" s="46"/>
      <c r="R441" s="46"/>
      <c r="S441" s="46"/>
      <c r="T441" s="46"/>
      <c r="U441" s="46"/>
      <c r="V441" s="46"/>
      <c r="W441" s="47"/>
      <c r="X441" s="47"/>
    </row>
    <row r="442" spans="1:24" ht="15">
      <c r="A442" s="121" t="s">
        <v>3751</v>
      </c>
      <c r="B442" s="65" t="s">
        <v>4512</v>
      </c>
      <c r="C442" s="65" t="s">
        <v>56</v>
      </c>
      <c r="D442" s="122"/>
      <c r="E442" s="65"/>
      <c r="F442" s="123"/>
      <c r="G442" s="63"/>
      <c r="H442" s="63"/>
      <c r="I442" s="124"/>
      <c r="J442" s="71"/>
      <c r="K442" s="125"/>
      <c r="L442" s="46"/>
      <c r="M442" s="46"/>
      <c r="N442" s="46"/>
      <c r="O442" s="46"/>
      <c r="P442" s="46"/>
      <c r="Q442" s="46"/>
      <c r="R442" s="46"/>
      <c r="S442" s="46"/>
      <c r="T442" s="46"/>
      <c r="U442" s="46"/>
      <c r="V442" s="46"/>
      <c r="W442" s="47"/>
      <c r="X442" s="47"/>
    </row>
    <row r="443" spans="1:24" ht="15">
      <c r="A443" s="121" t="s">
        <v>3752</v>
      </c>
      <c r="B443" s="65" t="s">
        <v>4513</v>
      </c>
      <c r="C443" s="65" t="s">
        <v>56</v>
      </c>
      <c r="D443" s="122"/>
      <c r="E443" s="65"/>
      <c r="F443" s="123"/>
      <c r="G443" s="63"/>
      <c r="H443" s="63"/>
      <c r="I443" s="124"/>
      <c r="J443" s="71"/>
      <c r="K443" s="125"/>
      <c r="L443" s="46"/>
      <c r="M443" s="46"/>
      <c r="N443" s="46"/>
      <c r="O443" s="46"/>
      <c r="P443" s="46"/>
      <c r="Q443" s="46"/>
      <c r="R443" s="46"/>
      <c r="S443" s="46"/>
      <c r="T443" s="46"/>
      <c r="U443" s="46"/>
      <c r="V443" s="46"/>
      <c r="W443" s="47"/>
      <c r="X443" s="47"/>
    </row>
    <row r="444" spans="1:24" ht="15">
      <c r="A444" s="121" t="s">
        <v>3753</v>
      </c>
      <c r="B444" s="65" t="s">
        <v>4514</v>
      </c>
      <c r="C444" s="65" t="s">
        <v>56</v>
      </c>
      <c r="D444" s="122"/>
      <c r="E444" s="65"/>
      <c r="F444" s="123"/>
      <c r="G444" s="63"/>
      <c r="H444" s="63"/>
      <c r="I444" s="124"/>
      <c r="J444" s="71"/>
      <c r="K444" s="125"/>
      <c r="L444" s="46"/>
      <c r="M444" s="46"/>
      <c r="N444" s="46"/>
      <c r="O444" s="46"/>
      <c r="P444" s="46"/>
      <c r="Q444" s="46"/>
      <c r="R444" s="46"/>
      <c r="S444" s="46"/>
      <c r="T444" s="46"/>
      <c r="U444" s="46"/>
      <c r="V444" s="46"/>
      <c r="W444" s="47"/>
      <c r="X444" s="47"/>
    </row>
    <row r="445" spans="1:24" ht="15">
      <c r="A445" s="121" t="s">
        <v>3949</v>
      </c>
      <c r="B445" s="65" t="s">
        <v>4515</v>
      </c>
      <c r="C445" s="65" t="s">
        <v>56</v>
      </c>
      <c r="D445" s="122"/>
      <c r="E445" s="65"/>
      <c r="F445" s="123"/>
      <c r="G445" s="63"/>
      <c r="H445" s="63"/>
      <c r="I445" s="124"/>
      <c r="J445" s="71"/>
      <c r="K445" s="125"/>
      <c r="L445" s="46"/>
      <c r="M445" s="46"/>
      <c r="N445" s="46"/>
      <c r="O445" s="46"/>
      <c r="P445" s="46"/>
      <c r="Q445" s="46"/>
      <c r="R445" s="46"/>
      <c r="S445" s="46"/>
      <c r="T445" s="46"/>
      <c r="U445" s="46"/>
      <c r="V445" s="46"/>
      <c r="W445" s="47"/>
      <c r="X445" s="47"/>
    </row>
    <row r="446" spans="1:24" ht="15">
      <c r="A446" s="121" t="s">
        <v>3950</v>
      </c>
      <c r="B446" s="65" t="s">
        <v>4516</v>
      </c>
      <c r="C446" s="65" t="s">
        <v>56</v>
      </c>
      <c r="D446" s="122"/>
      <c r="E446" s="65"/>
      <c r="F446" s="123"/>
      <c r="G446" s="63"/>
      <c r="H446" s="63"/>
      <c r="I446" s="124"/>
      <c r="J446" s="71"/>
      <c r="K446" s="125"/>
      <c r="L446" s="46"/>
      <c r="M446" s="46"/>
      <c r="N446" s="46"/>
      <c r="O446" s="46"/>
      <c r="P446" s="46"/>
      <c r="Q446" s="46"/>
      <c r="R446" s="46"/>
      <c r="S446" s="46"/>
      <c r="T446" s="46"/>
      <c r="U446" s="46"/>
      <c r="V446" s="46"/>
      <c r="W446" s="47"/>
      <c r="X446" s="47"/>
    </row>
    <row r="447" spans="1:24" ht="15">
      <c r="A447" s="121" t="s">
        <v>3951</v>
      </c>
      <c r="B447" s="65" t="s">
        <v>4505</v>
      </c>
      <c r="C447" s="65" t="s">
        <v>59</v>
      </c>
      <c r="D447" s="122"/>
      <c r="E447" s="65"/>
      <c r="F447" s="123"/>
      <c r="G447" s="63"/>
      <c r="H447" s="63"/>
      <c r="I447" s="124"/>
      <c r="J447" s="71"/>
      <c r="K447" s="125"/>
      <c r="L447" s="46"/>
      <c r="M447" s="46"/>
      <c r="N447" s="46"/>
      <c r="O447" s="46"/>
      <c r="P447" s="46"/>
      <c r="Q447" s="46"/>
      <c r="R447" s="46"/>
      <c r="S447" s="46"/>
      <c r="T447" s="46"/>
      <c r="U447" s="46"/>
      <c r="V447" s="46"/>
      <c r="W447" s="47"/>
      <c r="X447" s="47"/>
    </row>
    <row r="448" spans="1:24" ht="15">
      <c r="A448" s="121" t="s">
        <v>3952</v>
      </c>
      <c r="B448" s="65" t="s">
        <v>4506</v>
      </c>
      <c r="C448" s="65" t="s">
        <v>59</v>
      </c>
      <c r="D448" s="122"/>
      <c r="E448" s="65"/>
      <c r="F448" s="123"/>
      <c r="G448" s="63"/>
      <c r="H448" s="63"/>
      <c r="I448" s="124"/>
      <c r="J448" s="71"/>
      <c r="K448" s="125"/>
      <c r="L448" s="46"/>
      <c r="M448" s="46"/>
      <c r="N448" s="46"/>
      <c r="O448" s="46"/>
      <c r="P448" s="46"/>
      <c r="Q448" s="46"/>
      <c r="R448" s="46"/>
      <c r="S448" s="46"/>
      <c r="T448" s="46"/>
      <c r="U448" s="46"/>
      <c r="V448" s="46"/>
      <c r="W448" s="47"/>
      <c r="X448" s="47"/>
    </row>
    <row r="449" spans="1:24" ht="15">
      <c r="A449" s="121" t="s">
        <v>3953</v>
      </c>
      <c r="B449" s="65" t="s">
        <v>4507</v>
      </c>
      <c r="C449" s="65" t="s">
        <v>59</v>
      </c>
      <c r="D449" s="122"/>
      <c r="E449" s="65"/>
      <c r="F449" s="123"/>
      <c r="G449" s="63"/>
      <c r="H449" s="63"/>
      <c r="I449" s="124"/>
      <c r="J449" s="71"/>
      <c r="K449" s="125"/>
      <c r="L449" s="46"/>
      <c r="M449" s="46"/>
      <c r="N449" s="46"/>
      <c r="O449" s="46"/>
      <c r="P449" s="46"/>
      <c r="Q449" s="46"/>
      <c r="R449" s="46"/>
      <c r="S449" s="46"/>
      <c r="T449" s="46"/>
      <c r="U449" s="46"/>
      <c r="V449" s="46"/>
      <c r="W449" s="47"/>
      <c r="X449" s="47"/>
    </row>
    <row r="450" spans="1:24" ht="15">
      <c r="A450" s="121" t="s">
        <v>3954</v>
      </c>
      <c r="B450" s="65" t="s">
        <v>4508</v>
      </c>
      <c r="C450" s="65" t="s">
        <v>59</v>
      </c>
      <c r="D450" s="122"/>
      <c r="E450" s="65"/>
      <c r="F450" s="123"/>
      <c r="G450" s="63"/>
      <c r="H450" s="63"/>
      <c r="I450" s="124"/>
      <c r="J450" s="71"/>
      <c r="K450" s="125"/>
      <c r="L450" s="46"/>
      <c r="M450" s="46"/>
      <c r="N450" s="46"/>
      <c r="O450" s="46"/>
      <c r="P450" s="46"/>
      <c r="Q450" s="46"/>
      <c r="R450" s="46"/>
      <c r="S450" s="46"/>
      <c r="T450" s="46"/>
      <c r="U450" s="46"/>
      <c r="V450" s="46"/>
      <c r="W450" s="47"/>
      <c r="X450" s="47"/>
    </row>
    <row r="451" spans="1:24" ht="15">
      <c r="A451" s="121" t="s">
        <v>3955</v>
      </c>
      <c r="B451" s="65" t="s">
        <v>4509</v>
      </c>
      <c r="C451" s="65" t="s">
        <v>59</v>
      </c>
      <c r="D451" s="122"/>
      <c r="E451" s="65"/>
      <c r="F451" s="123"/>
      <c r="G451" s="63"/>
      <c r="H451" s="63"/>
      <c r="I451" s="124"/>
      <c r="J451" s="71"/>
      <c r="K451" s="125"/>
      <c r="L451" s="46"/>
      <c r="M451" s="46"/>
      <c r="N451" s="46"/>
      <c r="O451" s="46"/>
      <c r="P451" s="46"/>
      <c r="Q451" s="46"/>
      <c r="R451" s="46"/>
      <c r="S451" s="46"/>
      <c r="T451" s="46"/>
      <c r="U451" s="46"/>
      <c r="V451" s="46"/>
      <c r="W451" s="47"/>
      <c r="X451" s="47"/>
    </row>
    <row r="452" spans="1:24" ht="15">
      <c r="A452" s="121" t="s">
        <v>3956</v>
      </c>
      <c r="B452" s="65" t="s">
        <v>4510</v>
      </c>
      <c r="C452" s="65" t="s">
        <v>59</v>
      </c>
      <c r="D452" s="122"/>
      <c r="E452" s="65"/>
      <c r="F452" s="123"/>
      <c r="G452" s="63"/>
      <c r="H452" s="63"/>
      <c r="I452" s="124"/>
      <c r="J452" s="71"/>
      <c r="K452" s="125"/>
      <c r="L452" s="46"/>
      <c r="M452" s="46"/>
      <c r="N452" s="46"/>
      <c r="O452" s="46"/>
      <c r="P452" s="46"/>
      <c r="Q452" s="46"/>
      <c r="R452" s="46"/>
      <c r="S452" s="46"/>
      <c r="T452" s="46"/>
      <c r="U452" s="46"/>
      <c r="V452" s="46"/>
      <c r="W452" s="47"/>
      <c r="X452" s="47"/>
    </row>
    <row r="453" spans="1:24" ht="15">
      <c r="A453" s="121" t="s">
        <v>3957</v>
      </c>
      <c r="B453" s="65" t="s">
        <v>4511</v>
      </c>
      <c r="C453" s="65" t="s">
        <v>59</v>
      </c>
      <c r="D453" s="122"/>
      <c r="E453" s="65"/>
      <c r="F453" s="123"/>
      <c r="G453" s="63"/>
      <c r="H453" s="63"/>
      <c r="I453" s="124"/>
      <c r="J453" s="71"/>
      <c r="K453" s="125"/>
      <c r="L453" s="46"/>
      <c r="M453" s="46"/>
      <c r="N453" s="46"/>
      <c r="O453" s="46"/>
      <c r="P453" s="46"/>
      <c r="Q453" s="46"/>
      <c r="R453" s="46"/>
      <c r="S453" s="46"/>
      <c r="T453" s="46"/>
      <c r="U453" s="46"/>
      <c r="V453" s="46"/>
      <c r="W453" s="47"/>
      <c r="X453" s="47"/>
    </row>
    <row r="454" spans="1:24" ht="15">
      <c r="A454" s="121" t="s">
        <v>1677</v>
      </c>
      <c r="B454" s="65" t="s">
        <v>4512</v>
      </c>
      <c r="C454" s="65" t="s">
        <v>59</v>
      </c>
      <c r="D454" s="122"/>
      <c r="E454" s="65"/>
      <c r="F454" s="123"/>
      <c r="G454" s="63"/>
      <c r="H454" s="63"/>
      <c r="I454" s="124"/>
      <c r="J454" s="71"/>
      <c r="K454" s="125"/>
      <c r="L454" s="46"/>
      <c r="M454" s="46"/>
      <c r="N454" s="46"/>
      <c r="O454" s="46"/>
      <c r="P454" s="46"/>
      <c r="Q454" s="46"/>
      <c r="R454" s="46"/>
      <c r="S454" s="46"/>
      <c r="T454" s="46"/>
      <c r="U454" s="46"/>
      <c r="V454" s="46"/>
      <c r="W454" s="47"/>
      <c r="X454" s="47"/>
    </row>
    <row r="455" spans="1:24" ht="15">
      <c r="A455" s="121" t="s">
        <v>3958</v>
      </c>
      <c r="B455" s="65" t="s">
        <v>4513</v>
      </c>
      <c r="C455" s="65" t="s">
        <v>59</v>
      </c>
      <c r="D455" s="122"/>
      <c r="E455" s="65"/>
      <c r="F455" s="123"/>
      <c r="G455" s="63"/>
      <c r="H455" s="63"/>
      <c r="I455" s="124"/>
      <c r="J455" s="71"/>
      <c r="K455" s="125"/>
      <c r="L455" s="46"/>
      <c r="M455" s="46"/>
      <c r="N455" s="46"/>
      <c r="O455" s="46"/>
      <c r="P455" s="46"/>
      <c r="Q455" s="46"/>
      <c r="R455" s="46"/>
      <c r="S455" s="46"/>
      <c r="T455" s="46"/>
      <c r="U455" s="46"/>
      <c r="V455" s="46"/>
      <c r="W455" s="47"/>
      <c r="X455" s="47"/>
    </row>
    <row r="456" spans="1:24" ht="15">
      <c r="A456" s="121" t="s">
        <v>3959</v>
      </c>
      <c r="B456" s="65" t="s">
        <v>4514</v>
      </c>
      <c r="C456" s="65" t="s">
        <v>59</v>
      </c>
      <c r="D456" s="122"/>
      <c r="E456" s="65"/>
      <c r="F456" s="123"/>
      <c r="G456" s="63"/>
      <c r="H456" s="63"/>
      <c r="I456" s="124"/>
      <c r="J456" s="71"/>
      <c r="K456" s="125"/>
      <c r="L456" s="46"/>
      <c r="M456" s="46"/>
      <c r="N456" s="46"/>
      <c r="O456" s="46"/>
      <c r="P456" s="46"/>
      <c r="Q456" s="46"/>
      <c r="R456" s="46"/>
      <c r="S456" s="46"/>
      <c r="T456" s="46"/>
      <c r="U456" s="46"/>
      <c r="V456" s="46"/>
      <c r="W456" s="47"/>
      <c r="X456" s="47"/>
    </row>
    <row r="457" spans="1:24" ht="15">
      <c r="A457" s="121" t="s">
        <v>1544</v>
      </c>
      <c r="B457" s="65" t="s">
        <v>4515</v>
      </c>
      <c r="C457" s="65" t="s">
        <v>59</v>
      </c>
      <c r="D457" s="122"/>
      <c r="E457" s="65"/>
      <c r="F457" s="123"/>
      <c r="G457" s="63"/>
      <c r="H457" s="63"/>
      <c r="I457" s="124"/>
      <c r="J457" s="71"/>
      <c r="K457" s="125"/>
      <c r="L457" s="46"/>
      <c r="M457" s="46"/>
      <c r="N457" s="46"/>
      <c r="O457" s="46"/>
      <c r="P457" s="46"/>
      <c r="Q457" s="46"/>
      <c r="R457" s="46"/>
      <c r="S457" s="46"/>
      <c r="T457" s="46"/>
      <c r="U457" s="46"/>
      <c r="V457" s="46"/>
      <c r="W457" s="47"/>
      <c r="X457" s="47"/>
    </row>
    <row r="458" spans="1:24" ht="15">
      <c r="A458" s="121" t="s">
        <v>3960</v>
      </c>
      <c r="B458" s="65" t="s">
        <v>4516</v>
      </c>
      <c r="C458" s="65" t="s">
        <v>59</v>
      </c>
      <c r="D458" s="122"/>
      <c r="E458" s="65"/>
      <c r="F458" s="123"/>
      <c r="G458" s="63"/>
      <c r="H458" s="63"/>
      <c r="I458" s="124"/>
      <c r="J458" s="71"/>
      <c r="K458" s="125"/>
      <c r="L458" s="46"/>
      <c r="M458" s="46"/>
      <c r="N458" s="46"/>
      <c r="O458" s="46"/>
      <c r="P458" s="46"/>
      <c r="Q458" s="46"/>
      <c r="R458" s="46"/>
      <c r="S458" s="46"/>
      <c r="T458" s="46"/>
      <c r="U458" s="46"/>
      <c r="V458" s="46"/>
      <c r="W458" s="47"/>
      <c r="X458" s="47"/>
    </row>
    <row r="459" spans="1:24" ht="15">
      <c r="A459" s="121" t="s">
        <v>3828</v>
      </c>
      <c r="B459" s="65" t="s">
        <v>4505</v>
      </c>
      <c r="C459" s="65" t="s">
        <v>61</v>
      </c>
      <c r="D459" s="122"/>
      <c r="E459" s="65"/>
      <c r="F459" s="123"/>
      <c r="G459" s="63"/>
      <c r="H459" s="63"/>
      <c r="I459" s="124"/>
      <c r="J459" s="71"/>
      <c r="K459" s="125"/>
      <c r="L459" s="46"/>
      <c r="M459" s="46"/>
      <c r="N459" s="46"/>
      <c r="O459" s="46"/>
      <c r="P459" s="46"/>
      <c r="Q459" s="46"/>
      <c r="R459" s="46"/>
      <c r="S459" s="46"/>
      <c r="T459" s="46"/>
      <c r="U459" s="46"/>
      <c r="V459" s="46"/>
      <c r="W459" s="47"/>
      <c r="X459" s="47"/>
    </row>
    <row r="460" spans="1:24" ht="15">
      <c r="A460" s="121" t="s">
        <v>3832</v>
      </c>
      <c r="B460" s="65" t="s">
        <v>4506</v>
      </c>
      <c r="C460" s="65" t="s">
        <v>61</v>
      </c>
      <c r="D460" s="122"/>
      <c r="E460" s="65"/>
      <c r="F460" s="123"/>
      <c r="G460" s="63"/>
      <c r="H460" s="63"/>
      <c r="I460" s="124"/>
      <c r="J460" s="71"/>
      <c r="K460" s="125"/>
      <c r="L460" s="46"/>
      <c r="M460" s="46"/>
      <c r="N460" s="46"/>
      <c r="O460" s="46"/>
      <c r="P460" s="46"/>
      <c r="Q460" s="46"/>
      <c r="R460" s="46"/>
      <c r="S460" s="46"/>
      <c r="T460" s="46"/>
      <c r="U460" s="46"/>
      <c r="V460" s="46"/>
      <c r="W460" s="47"/>
      <c r="X460" s="47"/>
    </row>
    <row r="461" spans="1:24" ht="15">
      <c r="A461" s="121" t="s">
        <v>3834</v>
      </c>
      <c r="B461" s="65" t="s">
        <v>4507</v>
      </c>
      <c r="C461" s="65" t="s">
        <v>61</v>
      </c>
      <c r="D461" s="122"/>
      <c r="E461" s="65"/>
      <c r="F461" s="123"/>
      <c r="G461" s="63"/>
      <c r="H461" s="63"/>
      <c r="I461" s="124"/>
      <c r="J461" s="71"/>
      <c r="K461" s="125"/>
      <c r="L461" s="46"/>
      <c r="M461" s="46"/>
      <c r="N461" s="46"/>
      <c r="O461" s="46"/>
      <c r="P461" s="46"/>
      <c r="Q461" s="46"/>
      <c r="R461" s="46"/>
      <c r="S461" s="46"/>
      <c r="T461" s="46"/>
      <c r="U461" s="46"/>
      <c r="V461" s="46"/>
      <c r="W461" s="47"/>
      <c r="X461" s="47"/>
    </row>
    <row r="462" spans="1:24" ht="15">
      <c r="A462" s="121" t="s">
        <v>3835</v>
      </c>
      <c r="B462" s="65" t="s">
        <v>4508</v>
      </c>
      <c r="C462" s="65" t="s">
        <v>61</v>
      </c>
      <c r="D462" s="122"/>
      <c r="E462" s="65"/>
      <c r="F462" s="123"/>
      <c r="G462" s="63"/>
      <c r="H462" s="63"/>
      <c r="I462" s="124"/>
      <c r="J462" s="71"/>
      <c r="K462" s="125"/>
      <c r="L462" s="46"/>
      <c r="M462" s="46"/>
      <c r="N462" s="46"/>
      <c r="O462" s="46"/>
      <c r="P462" s="46"/>
      <c r="Q462" s="46"/>
      <c r="R462" s="46"/>
      <c r="S462" s="46"/>
      <c r="T462" s="46"/>
      <c r="U462" s="46"/>
      <c r="V462" s="46"/>
      <c r="W462" s="47"/>
      <c r="X462" s="47"/>
    </row>
    <row r="463" spans="1:24" ht="15">
      <c r="A463" s="121" t="s">
        <v>3836</v>
      </c>
      <c r="B463" s="65" t="s">
        <v>4509</v>
      </c>
      <c r="C463" s="65" t="s">
        <v>61</v>
      </c>
      <c r="D463" s="122"/>
      <c r="E463" s="65"/>
      <c r="F463" s="123"/>
      <c r="G463" s="63"/>
      <c r="H463" s="63"/>
      <c r="I463" s="124"/>
      <c r="J463" s="71"/>
      <c r="K463" s="125"/>
      <c r="L463" s="46"/>
      <c r="M463" s="46"/>
      <c r="N463" s="46"/>
      <c r="O463" s="46"/>
      <c r="P463" s="46"/>
      <c r="Q463" s="46"/>
      <c r="R463" s="46"/>
      <c r="S463" s="46"/>
      <c r="T463" s="46"/>
      <c r="U463" s="46"/>
      <c r="V463" s="46"/>
      <c r="W463" s="47"/>
      <c r="X463" s="47"/>
    </row>
    <row r="464" spans="1:24" ht="15">
      <c r="A464" s="121" t="s">
        <v>3837</v>
      </c>
      <c r="B464" s="65" t="s">
        <v>4510</v>
      </c>
      <c r="C464" s="65" t="s">
        <v>61</v>
      </c>
      <c r="D464" s="122"/>
      <c r="E464" s="65"/>
      <c r="F464" s="123"/>
      <c r="G464" s="63"/>
      <c r="H464" s="63"/>
      <c r="I464" s="124"/>
      <c r="J464" s="71"/>
      <c r="K464" s="125"/>
      <c r="L464" s="46"/>
      <c r="M464" s="46"/>
      <c r="N464" s="46"/>
      <c r="O464" s="46"/>
      <c r="P464" s="46"/>
      <c r="Q464" s="46"/>
      <c r="R464" s="46"/>
      <c r="S464" s="46"/>
      <c r="T464" s="46"/>
      <c r="U464" s="46"/>
      <c r="V464" s="46"/>
      <c r="W464" s="47"/>
      <c r="X464" s="47"/>
    </row>
    <row r="465" spans="1:24" ht="15">
      <c r="A465" s="121" t="s">
        <v>3838</v>
      </c>
      <c r="B465" s="65" t="s">
        <v>4511</v>
      </c>
      <c r="C465" s="65" t="s">
        <v>61</v>
      </c>
      <c r="D465" s="122"/>
      <c r="E465" s="65"/>
      <c r="F465" s="123"/>
      <c r="G465" s="63"/>
      <c r="H465" s="63"/>
      <c r="I465" s="124"/>
      <c r="J465" s="71"/>
      <c r="K465" s="125"/>
      <c r="L465" s="46"/>
      <c r="M465" s="46"/>
      <c r="N465" s="46"/>
      <c r="O465" s="46"/>
      <c r="P465" s="46"/>
      <c r="Q465" s="46"/>
      <c r="R465" s="46"/>
      <c r="S465" s="46"/>
      <c r="T465" s="46"/>
      <c r="U465" s="46"/>
      <c r="V465" s="46"/>
      <c r="W465" s="47"/>
      <c r="X465" s="47"/>
    </row>
    <row r="466" spans="1:24" ht="15">
      <c r="A466" s="121" t="s">
        <v>3840</v>
      </c>
      <c r="B466" s="65" t="s">
        <v>4512</v>
      </c>
      <c r="C466" s="65" t="s">
        <v>61</v>
      </c>
      <c r="D466" s="122"/>
      <c r="E466" s="65"/>
      <c r="F466" s="123"/>
      <c r="G466" s="63"/>
      <c r="H466" s="63"/>
      <c r="I466" s="124"/>
      <c r="J466" s="71"/>
      <c r="K466" s="125"/>
      <c r="L466" s="46"/>
      <c r="M466" s="46"/>
      <c r="N466" s="46"/>
      <c r="O466" s="46"/>
      <c r="P466" s="46"/>
      <c r="Q466" s="46"/>
      <c r="R466" s="46"/>
      <c r="S466" s="46"/>
      <c r="T466" s="46"/>
      <c r="U466" s="46"/>
      <c r="V466" s="46"/>
      <c r="W466" s="47"/>
      <c r="X466" s="47"/>
    </row>
    <row r="467" spans="1:24" ht="15">
      <c r="A467" s="121" t="s">
        <v>3841</v>
      </c>
      <c r="B467" s="65" t="s">
        <v>4513</v>
      </c>
      <c r="C467" s="65" t="s">
        <v>61</v>
      </c>
      <c r="D467" s="122"/>
      <c r="E467" s="65"/>
      <c r="F467" s="123"/>
      <c r="G467" s="63"/>
      <c r="H467" s="63"/>
      <c r="I467" s="124"/>
      <c r="J467" s="71"/>
      <c r="K467" s="125"/>
      <c r="L467" s="46"/>
      <c r="M467" s="46"/>
      <c r="N467" s="46"/>
      <c r="O467" s="46"/>
      <c r="P467" s="46"/>
      <c r="Q467" s="46"/>
      <c r="R467" s="46"/>
      <c r="S467" s="46"/>
      <c r="T467" s="46"/>
      <c r="U467" s="46"/>
      <c r="V467" s="46"/>
      <c r="W467" s="47"/>
      <c r="X467" s="47"/>
    </row>
    <row r="468" spans="1:24" ht="15">
      <c r="A468" s="121" t="s">
        <v>3842</v>
      </c>
      <c r="B468" s="65" t="s">
        <v>4514</v>
      </c>
      <c r="C468" s="65" t="s">
        <v>61</v>
      </c>
      <c r="D468" s="122"/>
      <c r="E468" s="65"/>
      <c r="F468" s="123"/>
      <c r="G468" s="63"/>
      <c r="H468" s="63"/>
      <c r="I468" s="124"/>
      <c r="J468" s="71"/>
      <c r="K468" s="125"/>
      <c r="L468" s="46"/>
      <c r="M468" s="46"/>
      <c r="N468" s="46"/>
      <c r="O468" s="46"/>
      <c r="P468" s="46"/>
      <c r="Q468" s="46"/>
      <c r="R468" s="46"/>
      <c r="S468" s="46"/>
      <c r="T468" s="46"/>
      <c r="U468" s="46"/>
      <c r="V468" s="46"/>
      <c r="W468" s="47"/>
      <c r="X468" s="47"/>
    </row>
    <row r="469" spans="1:24" ht="15">
      <c r="A469" s="121" t="s">
        <v>3843</v>
      </c>
      <c r="B469" s="65" t="s">
        <v>4515</v>
      </c>
      <c r="C469" s="65" t="s">
        <v>61</v>
      </c>
      <c r="D469" s="122"/>
      <c r="E469" s="65"/>
      <c r="F469" s="123"/>
      <c r="G469" s="63"/>
      <c r="H469" s="63"/>
      <c r="I469" s="124"/>
      <c r="J469" s="71"/>
      <c r="K469" s="125"/>
      <c r="L469" s="46"/>
      <c r="M469" s="46"/>
      <c r="N469" s="46"/>
      <c r="O469" s="46"/>
      <c r="P469" s="46"/>
      <c r="Q469" s="46"/>
      <c r="R469" s="46"/>
      <c r="S469" s="46"/>
      <c r="T469" s="46"/>
      <c r="U469" s="46"/>
      <c r="V469" s="46"/>
      <c r="W469" s="47"/>
      <c r="X469" s="47"/>
    </row>
    <row r="470" spans="1:24" ht="15">
      <c r="A470" s="121" t="s">
        <v>1613</v>
      </c>
      <c r="B470" s="65" t="s">
        <v>4516</v>
      </c>
      <c r="C470" s="65" t="s">
        <v>61</v>
      </c>
      <c r="D470" s="122"/>
      <c r="E470" s="65"/>
      <c r="F470" s="123"/>
      <c r="G470" s="63"/>
      <c r="H470" s="63"/>
      <c r="I470" s="124"/>
      <c r="J470" s="71"/>
      <c r="K470" s="125"/>
      <c r="L470" s="46"/>
      <c r="M470" s="46"/>
      <c r="N470" s="46"/>
      <c r="O470" s="46"/>
      <c r="P470" s="46"/>
      <c r="Q470" s="46"/>
      <c r="R470" s="46"/>
      <c r="S470" s="46"/>
      <c r="T470" s="46"/>
      <c r="U470" s="46"/>
      <c r="V470" s="46"/>
      <c r="W470" s="47"/>
      <c r="X470" s="47"/>
    </row>
    <row r="471" spans="1:24" ht="15">
      <c r="A471" s="121" t="s">
        <v>1615</v>
      </c>
      <c r="B471" s="65" t="s">
        <v>4505</v>
      </c>
      <c r="C471" s="65" t="s">
        <v>63</v>
      </c>
      <c r="D471" s="122"/>
      <c r="E471" s="65"/>
      <c r="F471" s="123"/>
      <c r="G471" s="63"/>
      <c r="H471" s="63"/>
      <c r="I471" s="124"/>
      <c r="J471" s="71"/>
      <c r="K471" s="125"/>
      <c r="L471" s="46"/>
      <c r="M471" s="46"/>
      <c r="N471" s="46"/>
      <c r="O471" s="46"/>
      <c r="P471" s="46"/>
      <c r="Q471" s="46"/>
      <c r="R471" s="46"/>
      <c r="S471" s="46"/>
      <c r="T471" s="46"/>
      <c r="U471" s="46"/>
      <c r="V471" s="46"/>
      <c r="W471" s="47"/>
      <c r="X471" s="47"/>
    </row>
    <row r="472" spans="1:24" ht="15">
      <c r="A472" s="121" t="s">
        <v>1611</v>
      </c>
      <c r="B472" s="65" t="s">
        <v>4506</v>
      </c>
      <c r="C472" s="65" t="s">
        <v>63</v>
      </c>
      <c r="D472" s="122"/>
      <c r="E472" s="65"/>
      <c r="F472" s="123"/>
      <c r="G472" s="63"/>
      <c r="H472" s="63"/>
      <c r="I472" s="124"/>
      <c r="J472" s="71"/>
      <c r="K472" s="125"/>
      <c r="L472" s="46"/>
      <c r="M472" s="46"/>
      <c r="N472" s="46"/>
      <c r="O472" s="46"/>
      <c r="P472" s="46"/>
      <c r="Q472" s="46"/>
      <c r="R472" s="46"/>
      <c r="S472" s="46"/>
      <c r="T472" s="46"/>
      <c r="U472" s="46"/>
      <c r="V472" s="46"/>
      <c r="W472" s="47"/>
      <c r="X472" s="47"/>
    </row>
    <row r="473" spans="1:24" ht="15">
      <c r="A473" s="121" t="s">
        <v>1617</v>
      </c>
      <c r="B473" s="65" t="s">
        <v>4507</v>
      </c>
      <c r="C473" s="65" t="s">
        <v>63</v>
      </c>
      <c r="D473" s="122"/>
      <c r="E473" s="65"/>
      <c r="F473" s="123"/>
      <c r="G473" s="63"/>
      <c r="H473" s="63"/>
      <c r="I473" s="124"/>
      <c r="J473" s="71"/>
      <c r="K473" s="125"/>
      <c r="L473" s="46"/>
      <c r="M473" s="46"/>
      <c r="N473" s="46"/>
      <c r="O473" s="46"/>
      <c r="P473" s="46"/>
      <c r="Q473" s="46"/>
      <c r="R473" s="46"/>
      <c r="S473" s="46"/>
      <c r="T473" s="46"/>
      <c r="U473" s="46"/>
      <c r="V473" s="46"/>
      <c r="W473" s="47"/>
      <c r="X473" s="47"/>
    </row>
    <row r="474" spans="1:24" ht="15">
      <c r="A474" s="121" t="s">
        <v>1616</v>
      </c>
      <c r="B474" s="65" t="s">
        <v>4508</v>
      </c>
      <c r="C474" s="65" t="s">
        <v>63</v>
      </c>
      <c r="D474" s="122"/>
      <c r="E474" s="65"/>
      <c r="F474" s="123"/>
      <c r="G474" s="63"/>
      <c r="H474" s="63"/>
      <c r="I474" s="124"/>
      <c r="J474" s="71"/>
      <c r="K474" s="125"/>
      <c r="L474" s="46"/>
      <c r="M474" s="46"/>
      <c r="N474" s="46"/>
      <c r="O474" s="46"/>
      <c r="P474" s="46"/>
      <c r="Q474" s="46"/>
      <c r="R474" s="46"/>
      <c r="S474" s="46"/>
      <c r="T474" s="46"/>
      <c r="U474" s="46"/>
      <c r="V474" s="46"/>
      <c r="W474" s="47"/>
      <c r="X474" s="47"/>
    </row>
    <row r="475" spans="1:24" ht="15">
      <c r="A475" s="121" t="s">
        <v>1619</v>
      </c>
      <c r="B475" s="65" t="s">
        <v>4509</v>
      </c>
      <c r="C475" s="65" t="s">
        <v>63</v>
      </c>
      <c r="D475" s="122"/>
      <c r="E475" s="65"/>
      <c r="F475" s="123"/>
      <c r="G475" s="63"/>
      <c r="H475" s="63"/>
      <c r="I475" s="124"/>
      <c r="J475" s="71"/>
      <c r="K475" s="125"/>
      <c r="L475" s="46"/>
      <c r="M475" s="46"/>
      <c r="N475" s="46"/>
      <c r="O475" s="46"/>
      <c r="P475" s="46"/>
      <c r="Q475" s="46"/>
      <c r="R475" s="46"/>
      <c r="S475" s="46"/>
      <c r="T475" s="46"/>
      <c r="U475" s="46"/>
      <c r="V475" s="46"/>
      <c r="W475" s="47"/>
      <c r="X475" s="47"/>
    </row>
  </sheetData>
  <dataValidations count="8">
    <dataValidation allowBlank="1" showInputMessage="1" promptTitle="Group Vertex Color" prompt="To select a color to use for all vertices in the group, right-click and select Select Color on the right-click menu." sqref="B3:B47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75">
      <formula1>ValidGroupShapes</formula1>
    </dataValidation>
    <dataValidation allowBlank="1" showInputMessage="1" showErrorMessage="1" promptTitle="Group Name" prompt="Enter the name of the group." sqref="A3:A47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75">
      <formula1>ValidBooleansDefaultFalse</formula1>
    </dataValidation>
    <dataValidation allowBlank="1" sqref="K3:K475"/>
    <dataValidation allowBlank="1" showInputMessage="1" showErrorMessage="1" promptTitle="Group Label" prompt="Enter an optional group label." errorTitle="Invalid Group Collapsed" error="You have entered an unrecognized &quot;group collapsed.&quot;  Try selecting from the drop-down list instead." sqref="F3:F47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7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7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92"/>
  <sheetViews>
    <sheetView workbookViewId="0" topLeftCell="A864">
      <selection activeCell="C892" sqref="C89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1562</v>
      </c>
      <c r="B2" s="96" t="s">
        <v>218</v>
      </c>
      <c r="C2" s="78">
        <f>VLOOKUP(GroupVertices[[#This Row],[Vertex]],Vertices[],MATCH("ID",Vertices[[#Headers],[Vertex]:[Vertex Group]],0),FALSE)</f>
        <v>23</v>
      </c>
    </row>
    <row r="3" spans="1:3" ht="15">
      <c r="A3" s="79" t="s">
        <v>1562</v>
      </c>
      <c r="B3" s="96" t="s">
        <v>346</v>
      </c>
      <c r="C3" s="78">
        <f>VLOOKUP(GroupVertices[[#This Row],[Vertex]],Vertices[],MATCH("ID",Vertices[[#Headers],[Vertex]:[Vertex Group]],0),FALSE)</f>
        <v>75</v>
      </c>
    </row>
    <row r="4" spans="1:3" ht="15">
      <c r="A4" s="79" t="s">
        <v>1562</v>
      </c>
      <c r="B4" s="96" t="s">
        <v>347</v>
      </c>
      <c r="C4" s="78">
        <f>VLOOKUP(GroupVertices[[#This Row],[Vertex]],Vertices[],MATCH("ID",Vertices[[#Headers],[Vertex]:[Vertex Group]],0),FALSE)</f>
        <v>160</v>
      </c>
    </row>
    <row r="5" spans="1:3" ht="15">
      <c r="A5" s="79" t="s">
        <v>1562</v>
      </c>
      <c r="B5" s="96" t="s">
        <v>328</v>
      </c>
      <c r="C5" s="78">
        <f>VLOOKUP(GroupVertices[[#This Row],[Vertex]],Vertices[],MATCH("ID",Vertices[[#Headers],[Vertex]:[Vertex Group]],0),FALSE)</f>
        <v>137</v>
      </c>
    </row>
    <row r="6" spans="1:3" ht="15">
      <c r="A6" s="79" t="s">
        <v>1562</v>
      </c>
      <c r="B6" s="96" t="s">
        <v>338</v>
      </c>
      <c r="C6" s="78">
        <f>VLOOKUP(GroupVertices[[#This Row],[Vertex]],Vertices[],MATCH("ID",Vertices[[#Headers],[Vertex]:[Vertex Group]],0),FALSE)</f>
        <v>79</v>
      </c>
    </row>
    <row r="7" spans="1:3" ht="15">
      <c r="A7" s="79" t="s">
        <v>1562</v>
      </c>
      <c r="B7" s="96" t="s">
        <v>327</v>
      </c>
      <c r="C7" s="78">
        <f>VLOOKUP(GroupVertices[[#This Row],[Vertex]],Vertices[],MATCH("ID",Vertices[[#Headers],[Vertex]:[Vertex Group]],0),FALSE)</f>
        <v>76</v>
      </c>
    </row>
    <row r="8" spans="1:3" ht="15">
      <c r="A8" s="79" t="s">
        <v>1562</v>
      </c>
      <c r="B8" s="96" t="s">
        <v>330</v>
      </c>
      <c r="C8" s="78">
        <f>VLOOKUP(GroupVertices[[#This Row],[Vertex]],Vertices[],MATCH("ID",Vertices[[#Headers],[Vertex]:[Vertex Group]],0),FALSE)</f>
        <v>80</v>
      </c>
    </row>
    <row r="9" spans="1:3" ht="15">
      <c r="A9" s="79" t="s">
        <v>1562</v>
      </c>
      <c r="B9" s="96" t="s">
        <v>334</v>
      </c>
      <c r="C9" s="78">
        <f>VLOOKUP(GroupVertices[[#This Row],[Vertex]],Vertices[],MATCH("ID",Vertices[[#Headers],[Vertex]:[Vertex Group]],0),FALSE)</f>
        <v>89</v>
      </c>
    </row>
    <row r="10" spans="1:3" ht="15">
      <c r="A10" s="79" t="s">
        <v>1562</v>
      </c>
      <c r="B10" s="96" t="s">
        <v>348</v>
      </c>
      <c r="C10" s="78">
        <f>VLOOKUP(GroupVertices[[#This Row],[Vertex]],Vertices[],MATCH("ID",Vertices[[#Headers],[Vertex]:[Vertex Group]],0),FALSE)</f>
        <v>86</v>
      </c>
    </row>
    <row r="11" spans="1:3" ht="15">
      <c r="A11" s="79" t="s">
        <v>1562</v>
      </c>
      <c r="B11" s="96" t="s">
        <v>345</v>
      </c>
      <c r="C11" s="78">
        <f>VLOOKUP(GroupVertices[[#This Row],[Vertex]],Vertices[],MATCH("ID",Vertices[[#Headers],[Vertex]:[Vertex Group]],0),FALSE)</f>
        <v>81</v>
      </c>
    </row>
    <row r="12" spans="1:3" ht="15">
      <c r="A12" s="79" t="s">
        <v>1562</v>
      </c>
      <c r="B12" s="96" t="s">
        <v>332</v>
      </c>
      <c r="C12" s="78">
        <f>VLOOKUP(GroupVertices[[#This Row],[Vertex]],Vertices[],MATCH("ID",Vertices[[#Headers],[Vertex]:[Vertex Group]],0),FALSE)</f>
        <v>87</v>
      </c>
    </row>
    <row r="13" spans="1:3" ht="15">
      <c r="A13" s="79" t="s">
        <v>1562</v>
      </c>
      <c r="B13" s="96" t="s">
        <v>333</v>
      </c>
      <c r="C13" s="78">
        <f>VLOOKUP(GroupVertices[[#This Row],[Vertex]],Vertices[],MATCH("ID",Vertices[[#Headers],[Vertex]:[Vertex Group]],0),FALSE)</f>
        <v>82</v>
      </c>
    </row>
    <row r="14" spans="1:3" ht="15">
      <c r="A14" s="79" t="s">
        <v>1562</v>
      </c>
      <c r="B14" s="96" t="s">
        <v>336</v>
      </c>
      <c r="C14" s="78">
        <f>VLOOKUP(GroupVertices[[#This Row],[Vertex]],Vertices[],MATCH("ID",Vertices[[#Headers],[Vertex]:[Vertex Group]],0),FALSE)</f>
        <v>83</v>
      </c>
    </row>
    <row r="15" spans="1:3" ht="15">
      <c r="A15" s="79" t="s">
        <v>1562</v>
      </c>
      <c r="B15" s="96" t="s">
        <v>335</v>
      </c>
      <c r="C15" s="78">
        <f>VLOOKUP(GroupVertices[[#This Row],[Vertex]],Vertices[],MATCH("ID",Vertices[[#Headers],[Vertex]:[Vertex Group]],0),FALSE)</f>
        <v>85</v>
      </c>
    </row>
    <row r="16" spans="1:3" ht="15">
      <c r="A16" s="79" t="s">
        <v>1562</v>
      </c>
      <c r="B16" s="96" t="s">
        <v>337</v>
      </c>
      <c r="C16" s="78">
        <f>VLOOKUP(GroupVertices[[#This Row],[Vertex]],Vertices[],MATCH("ID",Vertices[[#Headers],[Vertex]:[Vertex Group]],0),FALSE)</f>
        <v>84</v>
      </c>
    </row>
    <row r="17" spans="1:3" ht="15">
      <c r="A17" s="79" t="s">
        <v>1562</v>
      </c>
      <c r="B17" s="96" t="s">
        <v>344</v>
      </c>
      <c r="C17" s="78">
        <f>VLOOKUP(GroupVertices[[#This Row],[Vertex]],Vertices[],MATCH("ID",Vertices[[#Headers],[Vertex]:[Vertex Group]],0),FALSE)</f>
        <v>77</v>
      </c>
    </row>
    <row r="18" spans="1:3" ht="15">
      <c r="A18" s="79" t="s">
        <v>1562</v>
      </c>
      <c r="B18" s="96" t="s">
        <v>341</v>
      </c>
      <c r="C18" s="78">
        <f>VLOOKUP(GroupVertices[[#This Row],[Vertex]],Vertices[],MATCH("ID",Vertices[[#Headers],[Vertex]:[Vertex Group]],0),FALSE)</f>
        <v>90</v>
      </c>
    </row>
    <row r="19" spans="1:3" ht="15">
      <c r="A19" s="79" t="s">
        <v>1562</v>
      </c>
      <c r="B19" s="96" t="s">
        <v>340</v>
      </c>
      <c r="C19" s="78">
        <f>VLOOKUP(GroupVertices[[#This Row],[Vertex]],Vertices[],MATCH("ID",Vertices[[#Headers],[Vertex]:[Vertex Group]],0),FALSE)</f>
        <v>92</v>
      </c>
    </row>
    <row r="20" spans="1:3" ht="15">
      <c r="A20" s="79" t="s">
        <v>1562</v>
      </c>
      <c r="B20" s="96" t="s">
        <v>331</v>
      </c>
      <c r="C20" s="78">
        <f>VLOOKUP(GroupVertices[[#This Row],[Vertex]],Vertices[],MATCH("ID",Vertices[[#Headers],[Vertex]:[Vertex Group]],0),FALSE)</f>
        <v>91</v>
      </c>
    </row>
    <row r="21" spans="1:3" ht="15">
      <c r="A21" s="79" t="s">
        <v>1562</v>
      </c>
      <c r="B21" s="96" t="s">
        <v>339</v>
      </c>
      <c r="C21" s="78">
        <f>VLOOKUP(GroupVertices[[#This Row],[Vertex]],Vertices[],MATCH("ID",Vertices[[#Headers],[Vertex]:[Vertex Group]],0),FALSE)</f>
        <v>88</v>
      </c>
    </row>
    <row r="22" spans="1:3" ht="15">
      <c r="A22" s="79" t="s">
        <v>1562</v>
      </c>
      <c r="B22" s="96" t="s">
        <v>203</v>
      </c>
      <c r="C22" s="78">
        <f>VLOOKUP(GroupVertices[[#This Row],[Vertex]],Vertices[],MATCH("ID",Vertices[[#Headers],[Vertex]:[Vertex Group]],0),FALSE)</f>
        <v>28</v>
      </c>
    </row>
    <row r="23" spans="1:3" ht="15">
      <c r="A23" s="79" t="s">
        <v>1562</v>
      </c>
      <c r="B23" s="96" t="s">
        <v>211</v>
      </c>
      <c r="C23" s="78">
        <f>VLOOKUP(GroupVertices[[#This Row],[Vertex]],Vertices[],MATCH("ID",Vertices[[#Headers],[Vertex]:[Vertex Group]],0),FALSE)</f>
        <v>27</v>
      </c>
    </row>
    <row r="24" spans="1:3" ht="15">
      <c r="A24" s="79" t="s">
        <v>1562</v>
      </c>
      <c r="B24" s="96" t="s">
        <v>329</v>
      </c>
      <c r="C24" s="78">
        <f>VLOOKUP(GroupVertices[[#This Row],[Vertex]],Vertices[],MATCH("ID",Vertices[[#Headers],[Vertex]:[Vertex Group]],0),FALSE)</f>
        <v>78</v>
      </c>
    </row>
    <row r="25" spans="1:3" ht="15">
      <c r="A25" s="79" t="s">
        <v>1562</v>
      </c>
      <c r="B25" s="96" t="s">
        <v>205</v>
      </c>
      <c r="C25" s="78">
        <f>VLOOKUP(GroupVertices[[#This Row],[Vertex]],Vertices[],MATCH("ID",Vertices[[#Headers],[Vertex]:[Vertex Group]],0),FALSE)</f>
        <v>44</v>
      </c>
    </row>
    <row r="26" spans="1:3" ht="15">
      <c r="A26" s="79" t="s">
        <v>1562</v>
      </c>
      <c r="B26" s="96" t="s">
        <v>202</v>
      </c>
      <c r="C26" s="78">
        <f>VLOOKUP(GroupVertices[[#This Row],[Vertex]],Vertices[],MATCH("ID",Vertices[[#Headers],[Vertex]:[Vertex Group]],0),FALSE)</f>
        <v>36</v>
      </c>
    </row>
    <row r="27" spans="1:3" ht="15">
      <c r="A27" s="79" t="s">
        <v>1562</v>
      </c>
      <c r="B27" s="96" t="s">
        <v>214</v>
      </c>
      <c r="C27" s="78">
        <f>VLOOKUP(GroupVertices[[#This Row],[Vertex]],Vertices[],MATCH("ID",Vertices[[#Headers],[Vertex]:[Vertex Group]],0),FALSE)</f>
        <v>25</v>
      </c>
    </row>
    <row r="28" spans="1:3" ht="15">
      <c r="A28" s="79" t="s">
        <v>1562</v>
      </c>
      <c r="B28" s="96" t="s">
        <v>386</v>
      </c>
      <c r="C28" s="78">
        <f>VLOOKUP(GroupVertices[[#This Row],[Vertex]],Vertices[],MATCH("ID",Vertices[[#Headers],[Vertex]:[Vertex Group]],0),FALSE)</f>
        <v>123</v>
      </c>
    </row>
    <row r="29" spans="1:3" ht="15">
      <c r="A29" s="79" t="s">
        <v>1562</v>
      </c>
      <c r="B29" s="96" t="s">
        <v>210</v>
      </c>
      <c r="C29" s="78">
        <f>VLOOKUP(GroupVertices[[#This Row],[Vertex]],Vertices[],MATCH("ID",Vertices[[#Headers],[Vertex]:[Vertex Group]],0),FALSE)</f>
        <v>24</v>
      </c>
    </row>
    <row r="30" spans="1:3" ht="15">
      <c r="A30" s="79" t="s">
        <v>1562</v>
      </c>
      <c r="B30" s="96" t="s">
        <v>212</v>
      </c>
      <c r="C30" s="78">
        <f>VLOOKUP(GroupVertices[[#This Row],[Vertex]],Vertices[],MATCH("ID",Vertices[[#Headers],[Vertex]:[Vertex Group]],0),FALSE)</f>
        <v>22</v>
      </c>
    </row>
    <row r="31" spans="1:3" ht="15">
      <c r="A31" s="79" t="s">
        <v>1562</v>
      </c>
      <c r="B31" s="96" t="s">
        <v>225</v>
      </c>
      <c r="C31" s="78">
        <f>VLOOKUP(GroupVertices[[#This Row],[Vertex]],Vertices[],MATCH("ID",Vertices[[#Headers],[Vertex]:[Vertex Group]],0),FALSE)</f>
        <v>48</v>
      </c>
    </row>
    <row r="32" spans="1:3" ht="15">
      <c r="A32" s="79" t="s">
        <v>1562</v>
      </c>
      <c r="B32" s="96" t="s">
        <v>222</v>
      </c>
      <c r="C32" s="78">
        <f>VLOOKUP(GroupVertices[[#This Row],[Vertex]],Vertices[],MATCH("ID",Vertices[[#Headers],[Vertex]:[Vertex Group]],0),FALSE)</f>
        <v>38</v>
      </c>
    </row>
    <row r="33" spans="1:3" ht="15">
      <c r="A33" s="79" t="s">
        <v>1562</v>
      </c>
      <c r="B33" s="96" t="s">
        <v>221</v>
      </c>
      <c r="C33" s="78">
        <f>VLOOKUP(GroupVertices[[#This Row],[Vertex]],Vertices[],MATCH("ID",Vertices[[#Headers],[Vertex]:[Vertex Group]],0),FALSE)</f>
        <v>37</v>
      </c>
    </row>
    <row r="34" spans="1:3" ht="15">
      <c r="A34" s="79" t="s">
        <v>1497</v>
      </c>
      <c r="B34" s="96" t="s">
        <v>247</v>
      </c>
      <c r="C34" s="78">
        <f>VLOOKUP(GroupVertices[[#This Row],[Vertex]],Vertices[],MATCH("ID",Vertices[[#Headers],[Vertex]:[Vertex Group]],0),FALSE)</f>
        <v>14</v>
      </c>
    </row>
    <row r="35" spans="1:3" ht="15">
      <c r="A35" s="79" t="s">
        <v>1497</v>
      </c>
      <c r="B35" s="96" t="s">
        <v>2569</v>
      </c>
      <c r="C35" s="78">
        <f>VLOOKUP(GroupVertices[[#This Row],[Vertex]],Vertices[],MATCH("ID",Vertices[[#Headers],[Vertex]:[Vertex Group]],0),FALSE)</f>
        <v>828</v>
      </c>
    </row>
    <row r="36" spans="1:3" ht="15">
      <c r="A36" s="79" t="s">
        <v>1497</v>
      </c>
      <c r="B36" s="96" t="s">
        <v>2573</v>
      </c>
      <c r="C36" s="78">
        <f>VLOOKUP(GroupVertices[[#This Row],[Vertex]],Vertices[],MATCH("ID",Vertices[[#Headers],[Vertex]:[Vertex Group]],0),FALSE)</f>
        <v>832</v>
      </c>
    </row>
    <row r="37" spans="1:3" ht="15">
      <c r="A37" s="79" t="s">
        <v>1497</v>
      </c>
      <c r="B37" s="96" t="s">
        <v>2574</v>
      </c>
      <c r="C37" s="78">
        <f>VLOOKUP(GroupVertices[[#This Row],[Vertex]],Vertices[],MATCH("ID",Vertices[[#Headers],[Vertex]:[Vertex Group]],0),FALSE)</f>
        <v>833</v>
      </c>
    </row>
    <row r="38" spans="1:3" ht="15">
      <c r="A38" s="79" t="s">
        <v>1497</v>
      </c>
      <c r="B38" s="96" t="s">
        <v>2575</v>
      </c>
      <c r="C38" s="78">
        <f>VLOOKUP(GroupVertices[[#This Row],[Vertex]],Vertices[],MATCH("ID",Vertices[[#Headers],[Vertex]:[Vertex Group]],0),FALSE)</f>
        <v>834</v>
      </c>
    </row>
    <row r="39" spans="1:3" ht="15">
      <c r="A39" s="79" t="s">
        <v>1497</v>
      </c>
      <c r="B39" s="96" t="s">
        <v>2576</v>
      </c>
      <c r="C39" s="78">
        <f>VLOOKUP(GroupVertices[[#This Row],[Vertex]],Vertices[],MATCH("ID",Vertices[[#Headers],[Vertex]:[Vertex Group]],0),FALSE)</f>
        <v>835</v>
      </c>
    </row>
    <row r="40" spans="1:3" ht="15">
      <c r="A40" s="79" t="s">
        <v>1497</v>
      </c>
      <c r="B40" s="96" t="s">
        <v>2577</v>
      </c>
      <c r="C40" s="78">
        <f>VLOOKUP(GroupVertices[[#This Row],[Vertex]],Vertices[],MATCH("ID",Vertices[[#Headers],[Vertex]:[Vertex Group]],0),FALSE)</f>
        <v>836</v>
      </c>
    </row>
    <row r="41" spans="1:3" ht="15">
      <c r="A41" s="79" t="s">
        <v>1497</v>
      </c>
      <c r="B41" s="96" t="s">
        <v>2578</v>
      </c>
      <c r="C41" s="78">
        <f>VLOOKUP(GroupVertices[[#This Row],[Vertex]],Vertices[],MATCH("ID",Vertices[[#Headers],[Vertex]:[Vertex Group]],0),FALSE)</f>
        <v>837</v>
      </c>
    </row>
    <row r="42" spans="1:3" ht="15">
      <c r="A42" s="79" t="s">
        <v>1497</v>
      </c>
      <c r="B42" s="96" t="s">
        <v>2579</v>
      </c>
      <c r="C42" s="78">
        <f>VLOOKUP(GroupVertices[[#This Row],[Vertex]],Vertices[],MATCH("ID",Vertices[[#Headers],[Vertex]:[Vertex Group]],0),FALSE)</f>
        <v>838</v>
      </c>
    </row>
    <row r="43" spans="1:3" ht="15">
      <c r="A43" s="79" t="s">
        <v>1497</v>
      </c>
      <c r="B43" s="96" t="s">
        <v>2580</v>
      </c>
      <c r="C43" s="78">
        <f>VLOOKUP(GroupVertices[[#This Row],[Vertex]],Vertices[],MATCH("ID",Vertices[[#Headers],[Vertex]:[Vertex Group]],0),FALSE)</f>
        <v>839</v>
      </c>
    </row>
    <row r="44" spans="1:3" ht="15">
      <c r="A44" s="79" t="s">
        <v>1497</v>
      </c>
      <c r="B44" s="96" t="s">
        <v>2581</v>
      </c>
      <c r="C44" s="78">
        <f>VLOOKUP(GroupVertices[[#This Row],[Vertex]],Vertices[],MATCH("ID",Vertices[[#Headers],[Vertex]:[Vertex Group]],0),FALSE)</f>
        <v>840</v>
      </c>
    </row>
    <row r="45" spans="1:3" ht="15">
      <c r="A45" s="79" t="s">
        <v>1497</v>
      </c>
      <c r="B45" s="96" t="s">
        <v>2582</v>
      </c>
      <c r="C45" s="78">
        <f>VLOOKUP(GroupVertices[[#This Row],[Vertex]],Vertices[],MATCH("ID",Vertices[[#Headers],[Vertex]:[Vertex Group]],0),FALSE)</f>
        <v>841</v>
      </c>
    </row>
    <row r="46" spans="1:3" ht="15">
      <c r="A46" s="79" t="s">
        <v>1497</v>
      </c>
      <c r="B46" s="96" t="s">
        <v>2583</v>
      </c>
      <c r="C46" s="78">
        <f>VLOOKUP(GroupVertices[[#This Row],[Vertex]],Vertices[],MATCH("ID",Vertices[[#Headers],[Vertex]:[Vertex Group]],0),FALSE)</f>
        <v>842</v>
      </c>
    </row>
    <row r="47" spans="1:3" ht="15">
      <c r="A47" s="79" t="s">
        <v>1497</v>
      </c>
      <c r="B47" s="96" t="s">
        <v>2584</v>
      </c>
      <c r="C47" s="78">
        <f>VLOOKUP(GroupVertices[[#This Row],[Vertex]],Vertices[],MATCH("ID",Vertices[[#Headers],[Vertex]:[Vertex Group]],0),FALSE)</f>
        <v>843</v>
      </c>
    </row>
    <row r="48" spans="1:3" ht="15">
      <c r="A48" s="79" t="s">
        <v>1497</v>
      </c>
      <c r="B48" s="96" t="s">
        <v>2585</v>
      </c>
      <c r="C48" s="78">
        <f>VLOOKUP(GroupVertices[[#This Row],[Vertex]],Vertices[],MATCH("ID",Vertices[[#Headers],[Vertex]:[Vertex Group]],0),FALSE)</f>
        <v>844</v>
      </c>
    </row>
    <row r="49" spans="1:3" ht="15">
      <c r="A49" s="79" t="s">
        <v>1497</v>
      </c>
      <c r="B49" s="96" t="s">
        <v>2586</v>
      </c>
      <c r="C49" s="78">
        <f>VLOOKUP(GroupVertices[[#This Row],[Vertex]],Vertices[],MATCH("ID",Vertices[[#Headers],[Vertex]:[Vertex Group]],0),FALSE)</f>
        <v>845</v>
      </c>
    </row>
    <row r="50" spans="1:3" ht="15">
      <c r="A50" s="79" t="s">
        <v>1497</v>
      </c>
      <c r="B50" s="96" t="s">
        <v>2587</v>
      </c>
      <c r="C50" s="78">
        <f>VLOOKUP(GroupVertices[[#This Row],[Vertex]],Vertices[],MATCH("ID",Vertices[[#Headers],[Vertex]:[Vertex Group]],0),FALSE)</f>
        <v>846</v>
      </c>
    </row>
    <row r="51" spans="1:3" ht="15">
      <c r="A51" s="79" t="s">
        <v>1497</v>
      </c>
      <c r="B51" s="96" t="s">
        <v>2588</v>
      </c>
      <c r="C51" s="78">
        <f>VLOOKUP(GroupVertices[[#This Row],[Vertex]],Vertices[],MATCH("ID",Vertices[[#Headers],[Vertex]:[Vertex Group]],0),FALSE)</f>
        <v>847</v>
      </c>
    </row>
    <row r="52" spans="1:3" ht="15">
      <c r="A52" s="79" t="s">
        <v>1497</v>
      </c>
      <c r="B52" s="96" t="s">
        <v>2589</v>
      </c>
      <c r="C52" s="78">
        <f>VLOOKUP(GroupVertices[[#This Row],[Vertex]],Vertices[],MATCH("ID",Vertices[[#Headers],[Vertex]:[Vertex Group]],0),FALSE)</f>
        <v>848</v>
      </c>
    </row>
    <row r="53" spans="1:3" ht="15">
      <c r="A53" s="79" t="s">
        <v>1497</v>
      </c>
      <c r="B53" s="96" t="s">
        <v>2590</v>
      </c>
      <c r="C53" s="78">
        <f>VLOOKUP(GroupVertices[[#This Row],[Vertex]],Vertices[],MATCH("ID",Vertices[[#Headers],[Vertex]:[Vertex Group]],0),FALSE)</f>
        <v>849</v>
      </c>
    </row>
    <row r="54" spans="1:3" ht="15">
      <c r="A54" s="79" t="s">
        <v>1497</v>
      </c>
      <c r="B54" s="96" t="s">
        <v>2591</v>
      </c>
      <c r="C54" s="78">
        <f>VLOOKUP(GroupVertices[[#This Row],[Vertex]],Vertices[],MATCH("ID",Vertices[[#Headers],[Vertex]:[Vertex Group]],0),FALSE)</f>
        <v>850</v>
      </c>
    </row>
    <row r="55" spans="1:3" ht="15">
      <c r="A55" s="79" t="s">
        <v>1497</v>
      </c>
      <c r="B55" s="96" t="s">
        <v>484</v>
      </c>
      <c r="C55" s="78">
        <f>VLOOKUP(GroupVertices[[#This Row],[Vertex]],Vertices[],MATCH("ID",Vertices[[#Headers],[Vertex]:[Vertex Group]],0),FALSE)</f>
        <v>851</v>
      </c>
    </row>
    <row r="56" spans="1:3" ht="15">
      <c r="A56" s="79" t="s">
        <v>1524</v>
      </c>
      <c r="B56" s="96" t="s">
        <v>248</v>
      </c>
      <c r="C56" s="78">
        <f>VLOOKUP(GroupVertices[[#This Row],[Vertex]],Vertices[],MATCH("ID",Vertices[[#Headers],[Vertex]:[Vertex Group]],0),FALSE)</f>
        <v>9</v>
      </c>
    </row>
    <row r="57" spans="1:3" ht="15">
      <c r="A57" s="79" t="s">
        <v>1524</v>
      </c>
      <c r="B57" s="96" t="s">
        <v>2598</v>
      </c>
      <c r="C57" s="78">
        <f>VLOOKUP(GroupVertices[[#This Row],[Vertex]],Vertices[],MATCH("ID",Vertices[[#Headers],[Vertex]:[Vertex Group]],0),FALSE)</f>
        <v>865</v>
      </c>
    </row>
    <row r="58" spans="1:3" ht="15">
      <c r="A58" s="79" t="s">
        <v>1524</v>
      </c>
      <c r="B58" s="96" t="s">
        <v>2599</v>
      </c>
      <c r="C58" s="78">
        <f>VLOOKUP(GroupVertices[[#This Row],[Vertex]],Vertices[],MATCH("ID",Vertices[[#Headers],[Vertex]:[Vertex Group]],0),FALSE)</f>
        <v>867</v>
      </c>
    </row>
    <row r="59" spans="1:3" ht="15">
      <c r="A59" s="79" t="s">
        <v>1524</v>
      </c>
      <c r="B59" s="96" t="s">
        <v>361</v>
      </c>
      <c r="C59" s="78">
        <f>VLOOKUP(GroupVertices[[#This Row],[Vertex]],Vertices[],MATCH("ID",Vertices[[#Headers],[Vertex]:[Vertex Group]],0),FALSE)</f>
        <v>869</v>
      </c>
    </row>
    <row r="60" spans="1:3" ht="15">
      <c r="A60" s="79" t="s">
        <v>1524</v>
      </c>
      <c r="B60" s="96" t="s">
        <v>369</v>
      </c>
      <c r="C60" s="78">
        <f>VLOOKUP(GroupVertices[[#This Row],[Vertex]],Vertices[],MATCH("ID",Vertices[[#Headers],[Vertex]:[Vertex Group]],0),FALSE)</f>
        <v>875</v>
      </c>
    </row>
    <row r="61" spans="1:3" ht="15">
      <c r="A61" s="79" t="s">
        <v>1524</v>
      </c>
      <c r="B61" s="96" t="s">
        <v>2601</v>
      </c>
      <c r="C61" s="78">
        <f>VLOOKUP(GroupVertices[[#This Row],[Vertex]],Vertices[],MATCH("ID",Vertices[[#Headers],[Vertex]:[Vertex Group]],0),FALSE)</f>
        <v>876</v>
      </c>
    </row>
    <row r="62" spans="1:3" ht="15">
      <c r="A62" s="79" t="s">
        <v>1524</v>
      </c>
      <c r="B62" s="96" t="s">
        <v>447</v>
      </c>
      <c r="C62" s="78">
        <f>VLOOKUP(GroupVertices[[#This Row],[Vertex]],Vertices[],MATCH("ID",Vertices[[#Headers],[Vertex]:[Vertex Group]],0),FALSE)</f>
        <v>877</v>
      </c>
    </row>
    <row r="63" spans="1:3" ht="15">
      <c r="A63" s="79" t="s">
        <v>1524</v>
      </c>
      <c r="B63" s="96" t="s">
        <v>607</v>
      </c>
      <c r="C63" s="78">
        <f>VLOOKUP(GroupVertices[[#This Row],[Vertex]],Vertices[],MATCH("ID",Vertices[[#Headers],[Vertex]:[Vertex Group]],0),FALSE)</f>
        <v>881</v>
      </c>
    </row>
    <row r="64" spans="1:3" ht="15">
      <c r="A64" s="79" t="s">
        <v>1524</v>
      </c>
      <c r="B64" s="96" t="s">
        <v>206</v>
      </c>
      <c r="C64" s="78">
        <f>VLOOKUP(GroupVertices[[#This Row],[Vertex]],Vertices[],MATCH("ID",Vertices[[#Headers],[Vertex]:[Vertex Group]],0),FALSE)</f>
        <v>882</v>
      </c>
    </row>
    <row r="65" spans="1:3" ht="15">
      <c r="A65" s="79" t="s">
        <v>1524</v>
      </c>
      <c r="B65" s="96" t="s">
        <v>372</v>
      </c>
      <c r="C65" s="78">
        <f>VLOOKUP(GroupVertices[[#This Row],[Vertex]],Vertices[],MATCH("ID",Vertices[[#Headers],[Vertex]:[Vertex Group]],0),FALSE)</f>
        <v>883</v>
      </c>
    </row>
    <row r="66" spans="1:3" ht="15">
      <c r="A66" s="79" t="s">
        <v>1524</v>
      </c>
      <c r="B66" s="96" t="s">
        <v>271</v>
      </c>
      <c r="C66" s="78">
        <f>VLOOKUP(GroupVertices[[#This Row],[Vertex]],Vertices[],MATCH("ID",Vertices[[#Headers],[Vertex]:[Vertex Group]],0),FALSE)</f>
        <v>880</v>
      </c>
    </row>
    <row r="67" spans="1:3" ht="15">
      <c r="A67" s="79" t="s">
        <v>1524</v>
      </c>
      <c r="B67" s="96" t="s">
        <v>365</v>
      </c>
      <c r="C67" s="78">
        <f>VLOOKUP(GroupVertices[[#This Row],[Vertex]],Vertices[],MATCH("ID",Vertices[[#Headers],[Vertex]:[Vertex Group]],0),FALSE)</f>
        <v>884</v>
      </c>
    </row>
    <row r="68" spans="1:3" ht="15">
      <c r="A68" s="79" t="s">
        <v>1524</v>
      </c>
      <c r="B68" s="96" t="s">
        <v>368</v>
      </c>
      <c r="C68" s="78">
        <f>VLOOKUP(GroupVertices[[#This Row],[Vertex]],Vertices[],MATCH("ID",Vertices[[#Headers],[Vertex]:[Vertex Group]],0),FALSE)</f>
        <v>886</v>
      </c>
    </row>
    <row r="69" spans="1:3" ht="15">
      <c r="A69" s="79" t="s">
        <v>1524</v>
      </c>
      <c r="B69" s="96" t="s">
        <v>363</v>
      </c>
      <c r="C69" s="78">
        <f>VLOOKUP(GroupVertices[[#This Row],[Vertex]],Vertices[],MATCH("ID",Vertices[[#Headers],[Vertex]:[Vertex Group]],0),FALSE)</f>
        <v>887</v>
      </c>
    </row>
    <row r="70" spans="1:3" ht="15">
      <c r="A70" s="79" t="s">
        <v>1524</v>
      </c>
      <c r="B70" s="96" t="s">
        <v>367</v>
      </c>
      <c r="C70" s="78">
        <f>VLOOKUP(GroupVertices[[#This Row],[Vertex]],Vertices[],MATCH("ID",Vertices[[#Headers],[Vertex]:[Vertex Group]],0),FALSE)</f>
        <v>889</v>
      </c>
    </row>
    <row r="71" spans="1:3" ht="15">
      <c r="A71" s="79" t="s">
        <v>1524</v>
      </c>
      <c r="B71" s="96" t="s">
        <v>371</v>
      </c>
      <c r="C71" s="78">
        <f>VLOOKUP(GroupVertices[[#This Row],[Vertex]],Vertices[],MATCH("ID",Vertices[[#Headers],[Vertex]:[Vertex Group]],0),FALSE)</f>
        <v>891</v>
      </c>
    </row>
    <row r="72" spans="1:3" ht="15">
      <c r="A72" s="79" t="s">
        <v>1524</v>
      </c>
      <c r="B72" s="96" t="s">
        <v>608</v>
      </c>
      <c r="C72" s="78">
        <f>VLOOKUP(GroupVertices[[#This Row],[Vertex]],Vertices[],MATCH("ID",Vertices[[#Headers],[Vertex]:[Vertex Group]],0),FALSE)</f>
        <v>892</v>
      </c>
    </row>
    <row r="73" spans="1:3" ht="15">
      <c r="A73" s="79" t="s">
        <v>1524</v>
      </c>
      <c r="B73" s="96" t="s">
        <v>228</v>
      </c>
      <c r="C73" s="78">
        <f>VLOOKUP(GroupVertices[[#This Row],[Vertex]],Vertices[],MATCH("ID",Vertices[[#Headers],[Vertex]:[Vertex Group]],0),FALSE)</f>
        <v>13</v>
      </c>
    </row>
    <row r="74" spans="1:3" ht="15">
      <c r="A74" s="79" t="s">
        <v>1524</v>
      </c>
      <c r="B74" s="96" t="s">
        <v>349</v>
      </c>
      <c r="C74" s="78">
        <f>VLOOKUP(GroupVertices[[#This Row],[Vertex]],Vertices[],MATCH("ID",Vertices[[#Headers],[Vertex]:[Vertex Group]],0),FALSE)</f>
        <v>435</v>
      </c>
    </row>
    <row r="75" spans="1:3" ht="15">
      <c r="A75" s="79" t="s">
        <v>1524</v>
      </c>
      <c r="B75" s="96" t="s">
        <v>370</v>
      </c>
      <c r="C75" s="78">
        <f>VLOOKUP(GroupVertices[[#This Row],[Vertex]],Vertices[],MATCH("ID",Vertices[[#Headers],[Vertex]:[Vertex Group]],0),FALSE)</f>
        <v>436</v>
      </c>
    </row>
    <row r="76" spans="1:3" ht="15">
      <c r="A76" s="79" t="s">
        <v>1524</v>
      </c>
      <c r="B76" s="96" t="s">
        <v>448</v>
      </c>
      <c r="C76" s="78">
        <f>VLOOKUP(GroupVertices[[#This Row],[Vertex]],Vertices[],MATCH("ID",Vertices[[#Headers],[Vertex]:[Vertex Group]],0),FALSE)</f>
        <v>437</v>
      </c>
    </row>
    <row r="77" spans="1:3" ht="15">
      <c r="A77" s="79" t="s">
        <v>1511</v>
      </c>
      <c r="B77" s="96" t="s">
        <v>243</v>
      </c>
      <c r="C77" s="78">
        <f>VLOOKUP(GroupVertices[[#This Row],[Vertex]],Vertices[],MATCH("ID",Vertices[[#Headers],[Vertex]:[Vertex Group]],0),FALSE)</f>
        <v>6</v>
      </c>
    </row>
    <row r="78" spans="1:3" ht="15">
      <c r="A78" s="79" t="s">
        <v>1511</v>
      </c>
      <c r="B78" s="96" t="s">
        <v>388</v>
      </c>
      <c r="C78" s="78">
        <f>VLOOKUP(GroupVertices[[#This Row],[Vertex]],Vertices[],MATCH("ID",Vertices[[#Headers],[Vertex]:[Vertex Group]],0),FALSE)</f>
        <v>693</v>
      </c>
    </row>
    <row r="79" spans="1:3" ht="15">
      <c r="A79" s="79" t="s">
        <v>1511</v>
      </c>
      <c r="B79" s="96" t="s">
        <v>275</v>
      </c>
      <c r="C79" s="78">
        <f>VLOOKUP(GroupVertices[[#This Row],[Vertex]],Vertices[],MATCH("ID",Vertices[[#Headers],[Vertex]:[Vertex Group]],0),FALSE)</f>
        <v>695</v>
      </c>
    </row>
    <row r="80" spans="1:3" ht="15">
      <c r="A80" s="79" t="s">
        <v>1511</v>
      </c>
      <c r="B80" s="96" t="s">
        <v>581</v>
      </c>
      <c r="C80" s="78">
        <f>VLOOKUP(GroupVertices[[#This Row],[Vertex]],Vertices[],MATCH("ID",Vertices[[#Headers],[Vertex]:[Vertex Group]],0),FALSE)</f>
        <v>699</v>
      </c>
    </row>
    <row r="81" spans="1:3" ht="15">
      <c r="A81" s="79" t="s">
        <v>1511</v>
      </c>
      <c r="B81" s="96" t="s">
        <v>582</v>
      </c>
      <c r="C81" s="78">
        <f>VLOOKUP(GroupVertices[[#This Row],[Vertex]],Vertices[],MATCH("ID",Vertices[[#Headers],[Vertex]:[Vertex Group]],0),FALSE)</f>
        <v>701</v>
      </c>
    </row>
    <row r="82" spans="1:3" ht="15">
      <c r="A82" s="79" t="s">
        <v>1511</v>
      </c>
      <c r="B82" s="96" t="s">
        <v>570</v>
      </c>
      <c r="C82" s="78">
        <f>VLOOKUP(GroupVertices[[#This Row],[Vertex]],Vertices[],MATCH("ID",Vertices[[#Headers],[Vertex]:[Vertex Group]],0),FALSE)</f>
        <v>702</v>
      </c>
    </row>
    <row r="83" spans="1:3" ht="15">
      <c r="A83" s="79" t="s">
        <v>1511</v>
      </c>
      <c r="B83" s="96" t="s">
        <v>584</v>
      </c>
      <c r="C83" s="78">
        <f>VLOOKUP(GroupVertices[[#This Row],[Vertex]],Vertices[],MATCH("ID",Vertices[[#Headers],[Vertex]:[Vertex Group]],0),FALSE)</f>
        <v>703</v>
      </c>
    </row>
    <row r="84" spans="1:3" ht="15">
      <c r="A84" s="79" t="s">
        <v>1511</v>
      </c>
      <c r="B84" s="96" t="s">
        <v>602</v>
      </c>
      <c r="C84" s="78">
        <f>VLOOKUP(GroupVertices[[#This Row],[Vertex]],Vertices[],MATCH("ID",Vertices[[#Headers],[Vertex]:[Vertex Group]],0),FALSE)</f>
        <v>704</v>
      </c>
    </row>
    <row r="85" spans="1:3" ht="15">
      <c r="A85" s="79" t="s">
        <v>1511</v>
      </c>
      <c r="B85" s="96" t="s">
        <v>555</v>
      </c>
      <c r="C85" s="78">
        <f>VLOOKUP(GroupVertices[[#This Row],[Vertex]],Vertices[],MATCH("ID",Vertices[[#Headers],[Vertex]:[Vertex Group]],0),FALSE)</f>
        <v>705</v>
      </c>
    </row>
    <row r="86" spans="1:3" ht="15">
      <c r="A86" s="79" t="s">
        <v>1511</v>
      </c>
      <c r="B86" s="96" t="s">
        <v>269</v>
      </c>
      <c r="C86" s="78">
        <f>VLOOKUP(GroupVertices[[#This Row],[Vertex]],Vertices[],MATCH("ID",Vertices[[#Headers],[Vertex]:[Vertex Group]],0),FALSE)</f>
        <v>706</v>
      </c>
    </row>
    <row r="87" spans="1:3" ht="15">
      <c r="A87" s="79" t="s">
        <v>1511</v>
      </c>
      <c r="B87" s="96" t="s">
        <v>587</v>
      </c>
      <c r="C87" s="78">
        <f>VLOOKUP(GroupVertices[[#This Row],[Vertex]],Vertices[],MATCH("ID",Vertices[[#Headers],[Vertex]:[Vertex Group]],0),FALSE)</f>
        <v>707</v>
      </c>
    </row>
    <row r="88" spans="1:3" ht="15">
      <c r="A88" s="79" t="s">
        <v>1511</v>
      </c>
      <c r="B88" s="96" t="s">
        <v>2478</v>
      </c>
      <c r="C88" s="78">
        <f>VLOOKUP(GroupVertices[[#This Row],[Vertex]],Vertices[],MATCH("ID",Vertices[[#Headers],[Vertex]:[Vertex Group]],0),FALSE)</f>
        <v>708</v>
      </c>
    </row>
    <row r="89" spans="1:3" ht="15">
      <c r="A89" s="79" t="s">
        <v>1511</v>
      </c>
      <c r="B89" s="96" t="s">
        <v>589</v>
      </c>
      <c r="C89" s="78">
        <f>VLOOKUP(GroupVertices[[#This Row],[Vertex]],Vertices[],MATCH("ID",Vertices[[#Headers],[Vertex]:[Vertex Group]],0),FALSE)</f>
        <v>709</v>
      </c>
    </row>
    <row r="90" spans="1:3" ht="15">
      <c r="A90" s="79" t="s">
        <v>1511</v>
      </c>
      <c r="B90" s="96" t="s">
        <v>583</v>
      </c>
      <c r="C90" s="78">
        <f>VLOOKUP(GroupVertices[[#This Row],[Vertex]],Vertices[],MATCH("ID",Vertices[[#Headers],[Vertex]:[Vertex Group]],0),FALSE)</f>
        <v>710</v>
      </c>
    </row>
    <row r="91" spans="1:3" ht="15">
      <c r="A91" s="79" t="s">
        <v>1511</v>
      </c>
      <c r="B91" s="96" t="s">
        <v>585</v>
      </c>
      <c r="C91" s="78">
        <f>VLOOKUP(GroupVertices[[#This Row],[Vertex]],Vertices[],MATCH("ID",Vertices[[#Headers],[Vertex]:[Vertex Group]],0),FALSE)</f>
        <v>711</v>
      </c>
    </row>
    <row r="92" spans="1:3" ht="15">
      <c r="A92" s="79" t="s">
        <v>1511</v>
      </c>
      <c r="B92" s="96" t="s">
        <v>586</v>
      </c>
      <c r="C92" s="78">
        <f>VLOOKUP(GroupVertices[[#This Row],[Vertex]],Vertices[],MATCH("ID",Vertices[[#Headers],[Vertex]:[Vertex Group]],0),FALSE)</f>
        <v>712</v>
      </c>
    </row>
    <row r="93" spans="1:3" ht="15">
      <c r="A93" s="79" t="s">
        <v>1511</v>
      </c>
      <c r="B93" s="96" t="s">
        <v>588</v>
      </c>
      <c r="C93" s="78">
        <f>VLOOKUP(GroupVertices[[#This Row],[Vertex]],Vertices[],MATCH("ID",Vertices[[#Headers],[Vertex]:[Vertex Group]],0),FALSE)</f>
        <v>713</v>
      </c>
    </row>
    <row r="94" spans="1:3" ht="15">
      <c r="A94" s="79" t="s">
        <v>1511</v>
      </c>
      <c r="B94" s="96" t="s">
        <v>564</v>
      </c>
      <c r="C94" s="78">
        <f>VLOOKUP(GroupVertices[[#This Row],[Vertex]],Vertices[],MATCH("ID",Vertices[[#Headers],[Vertex]:[Vertex Group]],0),FALSE)</f>
        <v>714</v>
      </c>
    </row>
    <row r="95" spans="1:3" ht="15">
      <c r="A95" s="79" t="s">
        <v>1511</v>
      </c>
      <c r="B95" s="96" t="s">
        <v>385</v>
      </c>
      <c r="C95" s="78">
        <f>VLOOKUP(GroupVertices[[#This Row],[Vertex]],Vertices[],MATCH("ID",Vertices[[#Headers],[Vertex]:[Vertex Group]],0),FALSE)</f>
        <v>716</v>
      </c>
    </row>
    <row r="96" spans="1:3" ht="15">
      <c r="A96" s="79" t="s">
        <v>1511</v>
      </c>
      <c r="B96" s="96" t="s">
        <v>597</v>
      </c>
      <c r="C96" s="78">
        <f>VLOOKUP(GroupVertices[[#This Row],[Vertex]],Vertices[],MATCH("ID",Vertices[[#Headers],[Vertex]:[Vertex Group]],0),FALSE)</f>
        <v>788</v>
      </c>
    </row>
    <row r="97" spans="1:3" ht="15">
      <c r="A97" s="79" t="s">
        <v>1541</v>
      </c>
      <c r="B97" s="96" t="s">
        <v>244</v>
      </c>
      <c r="C97" s="78">
        <f>VLOOKUP(GroupVertices[[#This Row],[Vertex]],Vertices[],MATCH("ID",Vertices[[#Headers],[Vertex]:[Vertex Group]],0),FALSE)</f>
        <v>7</v>
      </c>
    </row>
    <row r="98" spans="1:3" ht="15">
      <c r="A98" s="79" t="s">
        <v>1541</v>
      </c>
      <c r="B98" s="96" t="s">
        <v>2498</v>
      </c>
      <c r="C98" s="78">
        <f>VLOOKUP(GroupVertices[[#This Row],[Vertex]],Vertices[],MATCH("ID",Vertices[[#Headers],[Vertex]:[Vertex Group]],0),FALSE)</f>
        <v>736</v>
      </c>
    </row>
    <row r="99" spans="1:3" ht="15">
      <c r="A99" s="79" t="s">
        <v>1541</v>
      </c>
      <c r="B99" s="96" t="s">
        <v>2499</v>
      </c>
      <c r="C99" s="78">
        <f>VLOOKUP(GroupVertices[[#This Row],[Vertex]],Vertices[],MATCH("ID",Vertices[[#Headers],[Vertex]:[Vertex Group]],0),FALSE)</f>
        <v>737</v>
      </c>
    </row>
    <row r="100" spans="1:3" ht="15">
      <c r="A100" s="79" t="s">
        <v>1541</v>
      </c>
      <c r="B100" s="96" t="s">
        <v>2500</v>
      </c>
      <c r="C100" s="78">
        <f>VLOOKUP(GroupVertices[[#This Row],[Vertex]],Vertices[],MATCH("ID",Vertices[[#Headers],[Vertex]:[Vertex Group]],0),FALSE)</f>
        <v>738</v>
      </c>
    </row>
    <row r="101" spans="1:3" ht="15">
      <c r="A101" s="79" t="s">
        <v>1541</v>
      </c>
      <c r="B101" s="96" t="s">
        <v>590</v>
      </c>
      <c r="C101" s="78">
        <f>VLOOKUP(GroupVertices[[#This Row],[Vertex]],Vertices[],MATCH("ID",Vertices[[#Headers],[Vertex]:[Vertex Group]],0),FALSE)</f>
        <v>740</v>
      </c>
    </row>
    <row r="102" spans="1:3" ht="15">
      <c r="A102" s="79" t="s">
        <v>1541</v>
      </c>
      <c r="B102" s="96" t="s">
        <v>2502</v>
      </c>
      <c r="C102" s="78">
        <f>VLOOKUP(GroupVertices[[#This Row],[Vertex]],Vertices[],MATCH("ID",Vertices[[#Headers],[Vertex]:[Vertex Group]],0),FALSE)</f>
        <v>741</v>
      </c>
    </row>
    <row r="103" spans="1:3" ht="15">
      <c r="A103" s="79" t="s">
        <v>1541</v>
      </c>
      <c r="B103" s="96" t="s">
        <v>2503</v>
      </c>
      <c r="C103" s="78">
        <f>VLOOKUP(GroupVertices[[#This Row],[Vertex]],Vertices[],MATCH("ID",Vertices[[#Headers],[Vertex]:[Vertex Group]],0),FALSE)</f>
        <v>742</v>
      </c>
    </row>
    <row r="104" spans="1:3" ht="15">
      <c r="A104" s="79" t="s">
        <v>1541</v>
      </c>
      <c r="B104" s="96" t="s">
        <v>2504</v>
      </c>
      <c r="C104" s="78">
        <f>VLOOKUP(GroupVertices[[#This Row],[Vertex]],Vertices[],MATCH("ID",Vertices[[#Headers],[Vertex]:[Vertex Group]],0),FALSE)</f>
        <v>743</v>
      </c>
    </row>
    <row r="105" spans="1:3" ht="15">
      <c r="A105" s="79" t="s">
        <v>1541</v>
      </c>
      <c r="B105" s="96" t="s">
        <v>592</v>
      </c>
      <c r="C105" s="78">
        <f>VLOOKUP(GroupVertices[[#This Row],[Vertex]],Vertices[],MATCH("ID",Vertices[[#Headers],[Vertex]:[Vertex Group]],0),FALSE)</f>
        <v>744</v>
      </c>
    </row>
    <row r="106" spans="1:3" ht="15">
      <c r="A106" s="79" t="s">
        <v>1541</v>
      </c>
      <c r="B106" s="96" t="s">
        <v>2506</v>
      </c>
      <c r="C106" s="78">
        <f>VLOOKUP(GroupVertices[[#This Row],[Vertex]],Vertices[],MATCH("ID",Vertices[[#Headers],[Vertex]:[Vertex Group]],0),FALSE)</f>
        <v>746</v>
      </c>
    </row>
    <row r="107" spans="1:3" ht="15">
      <c r="A107" s="79" t="s">
        <v>1541</v>
      </c>
      <c r="B107" s="96" t="s">
        <v>2507</v>
      </c>
      <c r="C107" s="78">
        <f>VLOOKUP(GroupVertices[[#This Row],[Vertex]],Vertices[],MATCH("ID",Vertices[[#Headers],[Vertex]:[Vertex Group]],0),FALSE)</f>
        <v>747</v>
      </c>
    </row>
    <row r="108" spans="1:3" ht="15">
      <c r="A108" s="79" t="s">
        <v>1541</v>
      </c>
      <c r="B108" s="96" t="s">
        <v>594</v>
      </c>
      <c r="C108" s="78">
        <f>VLOOKUP(GroupVertices[[#This Row],[Vertex]],Vertices[],MATCH("ID",Vertices[[#Headers],[Vertex]:[Vertex Group]],0),FALSE)</f>
        <v>748</v>
      </c>
    </row>
    <row r="109" spans="1:3" ht="15">
      <c r="A109" s="79" t="s">
        <v>1541</v>
      </c>
      <c r="B109" s="96" t="s">
        <v>2508</v>
      </c>
      <c r="C109" s="78">
        <f>VLOOKUP(GroupVertices[[#This Row],[Vertex]],Vertices[],MATCH("ID",Vertices[[#Headers],[Vertex]:[Vertex Group]],0),FALSE)</f>
        <v>750</v>
      </c>
    </row>
    <row r="110" spans="1:3" ht="15">
      <c r="A110" s="79" t="s">
        <v>1541</v>
      </c>
      <c r="B110" s="96" t="s">
        <v>591</v>
      </c>
      <c r="C110" s="78">
        <f>VLOOKUP(GroupVertices[[#This Row],[Vertex]],Vertices[],MATCH("ID",Vertices[[#Headers],[Vertex]:[Vertex Group]],0),FALSE)</f>
        <v>752</v>
      </c>
    </row>
    <row r="111" spans="1:3" ht="15">
      <c r="A111" s="79" t="s">
        <v>1541</v>
      </c>
      <c r="B111" s="96" t="s">
        <v>2509</v>
      </c>
      <c r="C111" s="78">
        <f>VLOOKUP(GroupVertices[[#This Row],[Vertex]],Vertices[],MATCH("ID",Vertices[[#Headers],[Vertex]:[Vertex Group]],0),FALSE)</f>
        <v>754</v>
      </c>
    </row>
    <row r="112" spans="1:3" ht="15">
      <c r="A112" s="79" t="s">
        <v>1541</v>
      </c>
      <c r="B112" s="96" t="s">
        <v>2510</v>
      </c>
      <c r="C112" s="78">
        <f>VLOOKUP(GroupVertices[[#This Row],[Vertex]],Vertices[],MATCH("ID",Vertices[[#Headers],[Vertex]:[Vertex Group]],0),FALSE)</f>
        <v>755</v>
      </c>
    </row>
    <row r="113" spans="1:3" ht="15">
      <c r="A113" s="79" t="s">
        <v>1541</v>
      </c>
      <c r="B113" s="96" t="s">
        <v>2511</v>
      </c>
      <c r="C113" s="78">
        <f>VLOOKUP(GroupVertices[[#This Row],[Vertex]],Vertices[],MATCH("ID",Vertices[[#Headers],[Vertex]:[Vertex Group]],0),FALSE)</f>
        <v>756</v>
      </c>
    </row>
    <row r="114" spans="1:3" ht="15">
      <c r="A114" s="79" t="s">
        <v>1541</v>
      </c>
      <c r="B114" s="96" t="s">
        <v>2512</v>
      </c>
      <c r="C114" s="78">
        <f>VLOOKUP(GroupVertices[[#This Row],[Vertex]],Vertices[],MATCH("ID",Vertices[[#Headers],[Vertex]:[Vertex Group]],0),FALSE)</f>
        <v>757</v>
      </c>
    </row>
    <row r="115" spans="1:3" ht="15">
      <c r="A115" s="79" t="s">
        <v>1541</v>
      </c>
      <c r="B115" s="96" t="s">
        <v>2513</v>
      </c>
      <c r="C115" s="78">
        <f>VLOOKUP(GroupVertices[[#This Row],[Vertex]],Vertices[],MATCH("ID",Vertices[[#Headers],[Vertex]:[Vertex Group]],0),FALSE)</f>
        <v>758</v>
      </c>
    </row>
    <row r="116" spans="1:3" ht="15">
      <c r="A116" s="79" t="s">
        <v>1541</v>
      </c>
      <c r="B116" s="96" t="s">
        <v>285</v>
      </c>
      <c r="C116" s="78">
        <f>VLOOKUP(GroupVertices[[#This Row],[Vertex]],Vertices[],MATCH("ID",Vertices[[#Headers],[Vertex]:[Vertex Group]],0),FALSE)</f>
        <v>759</v>
      </c>
    </row>
    <row r="117" spans="1:3" ht="15">
      <c r="A117" s="79" t="s">
        <v>1510</v>
      </c>
      <c r="B117" s="96" t="s">
        <v>245</v>
      </c>
      <c r="C117" s="78">
        <f>VLOOKUP(GroupVertices[[#This Row],[Vertex]],Vertices[],MATCH("ID",Vertices[[#Headers],[Vertex]:[Vertex Group]],0),FALSE)</f>
        <v>8</v>
      </c>
    </row>
    <row r="118" spans="1:3" ht="15">
      <c r="A118" s="79" t="s">
        <v>1510</v>
      </c>
      <c r="B118" s="96" t="s">
        <v>2529</v>
      </c>
      <c r="C118" s="78">
        <f>VLOOKUP(GroupVertices[[#This Row],[Vertex]],Vertices[],MATCH("ID",Vertices[[#Headers],[Vertex]:[Vertex Group]],0),FALSE)</f>
        <v>775</v>
      </c>
    </row>
    <row r="119" spans="1:3" ht="15">
      <c r="A119" s="79" t="s">
        <v>1510</v>
      </c>
      <c r="B119" s="96" t="s">
        <v>2531</v>
      </c>
      <c r="C119" s="78">
        <f>VLOOKUP(GroupVertices[[#This Row],[Vertex]],Vertices[],MATCH("ID",Vertices[[#Headers],[Vertex]:[Vertex Group]],0),FALSE)</f>
        <v>777</v>
      </c>
    </row>
    <row r="120" spans="1:3" ht="15">
      <c r="A120" s="79" t="s">
        <v>1510</v>
      </c>
      <c r="B120" s="96" t="s">
        <v>2532</v>
      </c>
      <c r="C120" s="78">
        <f>VLOOKUP(GroupVertices[[#This Row],[Vertex]],Vertices[],MATCH("ID",Vertices[[#Headers],[Vertex]:[Vertex Group]],0),FALSE)</f>
        <v>778</v>
      </c>
    </row>
    <row r="121" spans="1:3" ht="15">
      <c r="A121" s="79" t="s">
        <v>1510</v>
      </c>
      <c r="B121" s="96" t="s">
        <v>2533</v>
      </c>
      <c r="C121" s="78">
        <f>VLOOKUP(GroupVertices[[#This Row],[Vertex]],Vertices[],MATCH("ID",Vertices[[#Headers],[Vertex]:[Vertex Group]],0),FALSE)</f>
        <v>779</v>
      </c>
    </row>
    <row r="122" spans="1:3" ht="15">
      <c r="A122" s="79" t="s">
        <v>1510</v>
      </c>
      <c r="B122" s="96" t="s">
        <v>2534</v>
      </c>
      <c r="C122" s="78">
        <f>VLOOKUP(GroupVertices[[#This Row],[Vertex]],Vertices[],MATCH("ID",Vertices[[#Headers],[Vertex]:[Vertex Group]],0),FALSE)</f>
        <v>780</v>
      </c>
    </row>
    <row r="123" spans="1:3" ht="15">
      <c r="A123" s="79" t="s">
        <v>1510</v>
      </c>
      <c r="B123" s="96" t="s">
        <v>2535</v>
      </c>
      <c r="C123" s="78">
        <f>VLOOKUP(GroupVertices[[#This Row],[Vertex]],Vertices[],MATCH("ID",Vertices[[#Headers],[Vertex]:[Vertex Group]],0),FALSE)</f>
        <v>781</v>
      </c>
    </row>
    <row r="124" spans="1:3" ht="15">
      <c r="A124" s="79" t="s">
        <v>1510</v>
      </c>
      <c r="B124" s="96" t="s">
        <v>2536</v>
      </c>
      <c r="C124" s="78">
        <f>VLOOKUP(GroupVertices[[#This Row],[Vertex]],Vertices[],MATCH("ID",Vertices[[#Headers],[Vertex]:[Vertex Group]],0),FALSE)</f>
        <v>784</v>
      </c>
    </row>
    <row r="125" spans="1:3" ht="15">
      <c r="A125" s="79" t="s">
        <v>1510</v>
      </c>
      <c r="B125" s="96" t="s">
        <v>2537</v>
      </c>
      <c r="C125" s="78">
        <f>VLOOKUP(GroupVertices[[#This Row],[Vertex]],Vertices[],MATCH("ID",Vertices[[#Headers],[Vertex]:[Vertex Group]],0),FALSE)</f>
        <v>785</v>
      </c>
    </row>
    <row r="126" spans="1:3" ht="15">
      <c r="A126" s="79" t="s">
        <v>1510</v>
      </c>
      <c r="B126" s="96" t="s">
        <v>2538</v>
      </c>
      <c r="C126" s="78">
        <f>VLOOKUP(GroupVertices[[#This Row],[Vertex]],Vertices[],MATCH("ID",Vertices[[#Headers],[Vertex]:[Vertex Group]],0),FALSE)</f>
        <v>786</v>
      </c>
    </row>
    <row r="127" spans="1:3" ht="15">
      <c r="A127" s="79" t="s">
        <v>1510</v>
      </c>
      <c r="B127" s="96" t="s">
        <v>2539</v>
      </c>
      <c r="C127" s="78">
        <f>VLOOKUP(GroupVertices[[#This Row],[Vertex]],Vertices[],MATCH("ID",Vertices[[#Headers],[Vertex]:[Vertex Group]],0),FALSE)</f>
        <v>787</v>
      </c>
    </row>
    <row r="128" spans="1:3" ht="15">
      <c r="A128" s="79" t="s">
        <v>1510</v>
      </c>
      <c r="B128" s="96" t="s">
        <v>596</v>
      </c>
      <c r="C128" s="78">
        <f>VLOOKUP(GroupVertices[[#This Row],[Vertex]],Vertices[],MATCH("ID",Vertices[[#Headers],[Vertex]:[Vertex Group]],0),FALSE)</f>
        <v>789</v>
      </c>
    </row>
    <row r="129" spans="1:3" ht="15">
      <c r="A129" s="79" t="s">
        <v>1510</v>
      </c>
      <c r="B129" s="96" t="s">
        <v>600</v>
      </c>
      <c r="C129" s="78">
        <f>VLOOKUP(GroupVertices[[#This Row],[Vertex]],Vertices[],MATCH("ID",Vertices[[#Headers],[Vertex]:[Vertex Group]],0),FALSE)</f>
        <v>790</v>
      </c>
    </row>
    <row r="130" spans="1:3" ht="15">
      <c r="A130" s="79" t="s">
        <v>1510</v>
      </c>
      <c r="B130" s="96" t="s">
        <v>2540</v>
      </c>
      <c r="C130" s="78">
        <f>VLOOKUP(GroupVertices[[#This Row],[Vertex]],Vertices[],MATCH("ID",Vertices[[#Headers],[Vertex]:[Vertex Group]],0),FALSE)</f>
        <v>791</v>
      </c>
    </row>
    <row r="131" spans="1:3" ht="15">
      <c r="A131" s="79" t="s">
        <v>1510</v>
      </c>
      <c r="B131" s="96" t="s">
        <v>2541</v>
      </c>
      <c r="C131" s="78">
        <f>VLOOKUP(GroupVertices[[#This Row],[Vertex]],Vertices[],MATCH("ID",Vertices[[#Headers],[Vertex]:[Vertex Group]],0),FALSE)</f>
        <v>792</v>
      </c>
    </row>
    <row r="132" spans="1:3" ht="15">
      <c r="A132" s="79" t="s">
        <v>1510</v>
      </c>
      <c r="B132" s="96" t="s">
        <v>2542</v>
      </c>
      <c r="C132" s="78">
        <f>VLOOKUP(GroupVertices[[#This Row],[Vertex]],Vertices[],MATCH("ID",Vertices[[#Headers],[Vertex]:[Vertex Group]],0),FALSE)</f>
        <v>793</v>
      </c>
    </row>
    <row r="133" spans="1:3" ht="15">
      <c r="A133" s="79" t="s">
        <v>1510</v>
      </c>
      <c r="B133" s="96" t="s">
        <v>601</v>
      </c>
      <c r="C133" s="78">
        <f>VLOOKUP(GroupVertices[[#This Row],[Vertex]],Vertices[],MATCH("ID",Vertices[[#Headers],[Vertex]:[Vertex Group]],0),FALSE)</f>
        <v>795</v>
      </c>
    </row>
    <row r="134" spans="1:3" ht="15">
      <c r="A134" s="79" t="s">
        <v>1510</v>
      </c>
      <c r="B134" s="96" t="s">
        <v>603</v>
      </c>
      <c r="C134" s="78">
        <f>VLOOKUP(GroupVertices[[#This Row],[Vertex]],Vertices[],MATCH("ID",Vertices[[#Headers],[Vertex]:[Vertex Group]],0),FALSE)</f>
        <v>796</v>
      </c>
    </row>
    <row r="135" spans="1:3" ht="15">
      <c r="A135" s="79" t="s">
        <v>1510</v>
      </c>
      <c r="B135" s="96" t="s">
        <v>599</v>
      </c>
      <c r="C135" s="78">
        <f>VLOOKUP(GroupVertices[[#This Row],[Vertex]],Vertices[],MATCH("ID",Vertices[[#Headers],[Vertex]:[Vertex Group]],0),FALSE)</f>
        <v>797</v>
      </c>
    </row>
    <row r="136" spans="1:3" ht="15">
      <c r="A136" s="79" t="s">
        <v>1510</v>
      </c>
      <c r="B136" s="96" t="s">
        <v>598</v>
      </c>
      <c r="C136" s="78">
        <f>VLOOKUP(GroupVertices[[#This Row],[Vertex]],Vertices[],MATCH("ID",Vertices[[#Headers],[Vertex]:[Vertex Group]],0),FALSE)</f>
        <v>798</v>
      </c>
    </row>
    <row r="137" spans="1:3" ht="15">
      <c r="A137" s="79" t="s">
        <v>1671</v>
      </c>
      <c r="B137" s="96" t="s">
        <v>240</v>
      </c>
      <c r="C137" s="78">
        <f>VLOOKUP(GroupVertices[[#This Row],[Vertex]],Vertices[],MATCH("ID",Vertices[[#Headers],[Vertex]:[Vertex Group]],0),FALSE)</f>
        <v>10</v>
      </c>
    </row>
    <row r="138" spans="1:3" ht="15">
      <c r="A138" s="79" t="s">
        <v>1671</v>
      </c>
      <c r="B138" s="96" t="s">
        <v>2444</v>
      </c>
      <c r="C138" s="78">
        <f>VLOOKUP(GroupVertices[[#This Row],[Vertex]],Vertices[],MATCH("ID",Vertices[[#Headers],[Vertex]:[Vertex Group]],0),FALSE)</f>
        <v>643</v>
      </c>
    </row>
    <row r="139" spans="1:3" ht="15">
      <c r="A139" s="79" t="s">
        <v>1671</v>
      </c>
      <c r="B139" s="96" t="s">
        <v>2445</v>
      </c>
      <c r="C139" s="78">
        <f>VLOOKUP(GroupVertices[[#This Row],[Vertex]],Vertices[],MATCH("ID",Vertices[[#Headers],[Vertex]:[Vertex Group]],0),FALSE)</f>
        <v>644</v>
      </c>
    </row>
    <row r="140" spans="1:3" ht="15">
      <c r="A140" s="79" t="s">
        <v>1671</v>
      </c>
      <c r="B140" s="96" t="s">
        <v>2446</v>
      </c>
      <c r="C140" s="78">
        <f>VLOOKUP(GroupVertices[[#This Row],[Vertex]],Vertices[],MATCH("ID",Vertices[[#Headers],[Vertex]:[Vertex Group]],0),FALSE)</f>
        <v>645</v>
      </c>
    </row>
    <row r="141" spans="1:3" ht="15">
      <c r="A141" s="79" t="s">
        <v>1671</v>
      </c>
      <c r="B141" s="96" t="s">
        <v>2447</v>
      </c>
      <c r="C141" s="78">
        <f>VLOOKUP(GroupVertices[[#This Row],[Vertex]],Vertices[],MATCH("ID",Vertices[[#Headers],[Vertex]:[Vertex Group]],0),FALSE)</f>
        <v>646</v>
      </c>
    </row>
    <row r="142" spans="1:3" ht="15">
      <c r="A142" s="79" t="s">
        <v>1671</v>
      </c>
      <c r="B142" s="96" t="s">
        <v>2448</v>
      </c>
      <c r="C142" s="78">
        <f>VLOOKUP(GroupVertices[[#This Row],[Vertex]],Vertices[],MATCH("ID",Vertices[[#Headers],[Vertex]:[Vertex Group]],0),FALSE)</f>
        <v>647</v>
      </c>
    </row>
    <row r="143" spans="1:3" ht="15">
      <c r="A143" s="79" t="s">
        <v>1671</v>
      </c>
      <c r="B143" s="96" t="s">
        <v>2449</v>
      </c>
      <c r="C143" s="78">
        <f>VLOOKUP(GroupVertices[[#This Row],[Vertex]],Vertices[],MATCH("ID",Vertices[[#Headers],[Vertex]:[Vertex Group]],0),FALSE)</f>
        <v>648</v>
      </c>
    </row>
    <row r="144" spans="1:3" ht="15">
      <c r="A144" s="79" t="s">
        <v>1671</v>
      </c>
      <c r="B144" s="96" t="s">
        <v>2450</v>
      </c>
      <c r="C144" s="78">
        <f>VLOOKUP(GroupVertices[[#This Row],[Vertex]],Vertices[],MATCH("ID",Vertices[[#Headers],[Vertex]:[Vertex Group]],0),FALSE)</f>
        <v>649</v>
      </c>
    </row>
    <row r="145" spans="1:3" ht="15">
      <c r="A145" s="79" t="s">
        <v>1671</v>
      </c>
      <c r="B145" s="96" t="s">
        <v>2451</v>
      </c>
      <c r="C145" s="78">
        <f>VLOOKUP(GroupVertices[[#This Row],[Vertex]],Vertices[],MATCH("ID",Vertices[[#Headers],[Vertex]:[Vertex Group]],0),FALSE)</f>
        <v>650</v>
      </c>
    </row>
    <row r="146" spans="1:3" ht="15">
      <c r="A146" s="79" t="s">
        <v>1671</v>
      </c>
      <c r="B146" s="96" t="s">
        <v>2452</v>
      </c>
      <c r="C146" s="78">
        <f>VLOOKUP(GroupVertices[[#This Row],[Vertex]],Vertices[],MATCH("ID",Vertices[[#Headers],[Vertex]:[Vertex Group]],0),FALSE)</f>
        <v>651</v>
      </c>
    </row>
    <row r="147" spans="1:3" ht="15">
      <c r="A147" s="79" t="s">
        <v>1671</v>
      </c>
      <c r="B147" s="96" t="s">
        <v>561</v>
      </c>
      <c r="C147" s="78">
        <f>VLOOKUP(GroupVertices[[#This Row],[Vertex]],Vertices[],MATCH("ID",Vertices[[#Headers],[Vertex]:[Vertex Group]],0),FALSE)</f>
        <v>652</v>
      </c>
    </row>
    <row r="148" spans="1:3" ht="15">
      <c r="A148" s="79" t="s">
        <v>1671</v>
      </c>
      <c r="B148" s="96" t="s">
        <v>2453</v>
      </c>
      <c r="C148" s="78">
        <f>VLOOKUP(GroupVertices[[#This Row],[Vertex]],Vertices[],MATCH("ID",Vertices[[#Headers],[Vertex]:[Vertex Group]],0),FALSE)</f>
        <v>653</v>
      </c>
    </row>
    <row r="149" spans="1:3" ht="15">
      <c r="A149" s="79" t="s">
        <v>1671</v>
      </c>
      <c r="B149" s="96" t="s">
        <v>560</v>
      </c>
      <c r="C149" s="78">
        <f>VLOOKUP(GroupVertices[[#This Row],[Vertex]],Vertices[],MATCH("ID",Vertices[[#Headers],[Vertex]:[Vertex Group]],0),FALSE)</f>
        <v>654</v>
      </c>
    </row>
    <row r="150" spans="1:3" ht="15">
      <c r="A150" s="79" t="s">
        <v>1671</v>
      </c>
      <c r="B150" s="96" t="s">
        <v>566</v>
      </c>
      <c r="C150" s="78">
        <f>VLOOKUP(GroupVertices[[#This Row],[Vertex]],Vertices[],MATCH("ID",Vertices[[#Headers],[Vertex]:[Vertex Group]],0),FALSE)</f>
        <v>655</v>
      </c>
    </row>
    <row r="151" spans="1:3" ht="15">
      <c r="A151" s="79" t="s">
        <v>1671</v>
      </c>
      <c r="B151" s="96" t="s">
        <v>565</v>
      </c>
      <c r="C151" s="78">
        <f>VLOOKUP(GroupVertices[[#This Row],[Vertex]],Vertices[],MATCH("ID",Vertices[[#Headers],[Vertex]:[Vertex Group]],0),FALSE)</f>
        <v>656</v>
      </c>
    </row>
    <row r="152" spans="1:3" ht="15">
      <c r="A152" s="79" t="s">
        <v>1671</v>
      </c>
      <c r="B152" s="96" t="s">
        <v>2454</v>
      </c>
      <c r="C152" s="78">
        <f>VLOOKUP(GroupVertices[[#This Row],[Vertex]],Vertices[],MATCH("ID",Vertices[[#Headers],[Vertex]:[Vertex Group]],0),FALSE)</f>
        <v>657</v>
      </c>
    </row>
    <row r="153" spans="1:3" ht="15">
      <c r="A153" s="79" t="s">
        <v>1671</v>
      </c>
      <c r="B153" s="96" t="s">
        <v>2455</v>
      </c>
      <c r="C153" s="78">
        <f>VLOOKUP(GroupVertices[[#This Row],[Vertex]],Vertices[],MATCH("ID",Vertices[[#Headers],[Vertex]:[Vertex Group]],0),FALSE)</f>
        <v>658</v>
      </c>
    </row>
    <row r="154" spans="1:3" ht="15">
      <c r="A154" s="79" t="s">
        <v>1671</v>
      </c>
      <c r="B154" s="96" t="s">
        <v>568</v>
      </c>
      <c r="C154" s="78">
        <f>VLOOKUP(GroupVertices[[#This Row],[Vertex]],Vertices[],MATCH("ID",Vertices[[#Headers],[Vertex]:[Vertex Group]],0),FALSE)</f>
        <v>659</v>
      </c>
    </row>
    <row r="155" spans="1:3" ht="15">
      <c r="A155" s="79" t="s">
        <v>1671</v>
      </c>
      <c r="B155" s="96" t="s">
        <v>567</v>
      </c>
      <c r="C155" s="78">
        <f>VLOOKUP(GroupVertices[[#This Row],[Vertex]],Vertices[],MATCH("ID",Vertices[[#Headers],[Vertex]:[Vertex Group]],0),FALSE)</f>
        <v>660</v>
      </c>
    </row>
    <row r="156" spans="1:3" ht="15">
      <c r="A156" s="79" t="s">
        <v>1671</v>
      </c>
      <c r="B156" s="96" t="s">
        <v>569</v>
      </c>
      <c r="C156" s="78">
        <f>VLOOKUP(GroupVertices[[#This Row],[Vertex]],Vertices[],MATCH("ID",Vertices[[#Headers],[Vertex]:[Vertex Group]],0),FALSE)</f>
        <v>661</v>
      </c>
    </row>
    <row r="157" spans="1:3" ht="15">
      <c r="A157" s="79" t="s">
        <v>1507</v>
      </c>
      <c r="B157" s="96" t="s">
        <v>226</v>
      </c>
      <c r="C157" s="78">
        <f>VLOOKUP(GroupVertices[[#This Row],[Vertex]],Vertices[],MATCH("ID",Vertices[[#Headers],[Vertex]:[Vertex Group]],0),FALSE)</f>
        <v>4</v>
      </c>
    </row>
    <row r="158" spans="1:3" ht="15">
      <c r="A158" s="79" t="s">
        <v>1507</v>
      </c>
      <c r="B158" s="96" t="s">
        <v>318</v>
      </c>
      <c r="C158" s="78">
        <f>VLOOKUP(GroupVertices[[#This Row],[Vertex]],Vertices[],MATCH("ID",Vertices[[#Headers],[Vertex]:[Vertex Group]],0),FALSE)</f>
        <v>230</v>
      </c>
    </row>
    <row r="159" spans="1:3" ht="15">
      <c r="A159" s="79" t="s">
        <v>1507</v>
      </c>
      <c r="B159" s="96" t="s">
        <v>2213</v>
      </c>
      <c r="C159" s="78">
        <f>VLOOKUP(GroupVertices[[#This Row],[Vertex]],Vertices[],MATCH("ID",Vertices[[#Headers],[Vertex]:[Vertex Group]],0),FALSE)</f>
        <v>231</v>
      </c>
    </row>
    <row r="160" spans="1:3" ht="15">
      <c r="A160" s="79" t="s">
        <v>1507</v>
      </c>
      <c r="B160" s="96" t="s">
        <v>424</v>
      </c>
      <c r="C160" s="78">
        <f>VLOOKUP(GroupVertices[[#This Row],[Vertex]],Vertices[],MATCH("ID",Vertices[[#Headers],[Vertex]:[Vertex Group]],0),FALSE)</f>
        <v>233</v>
      </c>
    </row>
    <row r="161" spans="1:3" ht="15">
      <c r="A161" s="79" t="s">
        <v>1507</v>
      </c>
      <c r="B161" s="96" t="s">
        <v>425</v>
      </c>
      <c r="C161" s="78">
        <f>VLOOKUP(GroupVertices[[#This Row],[Vertex]],Vertices[],MATCH("ID",Vertices[[#Headers],[Vertex]:[Vertex Group]],0),FALSE)</f>
        <v>235</v>
      </c>
    </row>
    <row r="162" spans="1:3" ht="15">
      <c r="A162" s="79" t="s">
        <v>1507</v>
      </c>
      <c r="B162" s="96" t="s">
        <v>2214</v>
      </c>
      <c r="C162" s="78">
        <f>VLOOKUP(GroupVertices[[#This Row],[Vertex]],Vertices[],MATCH("ID",Vertices[[#Headers],[Vertex]:[Vertex Group]],0),FALSE)</f>
        <v>236</v>
      </c>
    </row>
    <row r="163" spans="1:3" ht="15">
      <c r="A163" s="79" t="s">
        <v>1507</v>
      </c>
      <c r="B163" s="96" t="s">
        <v>2215</v>
      </c>
      <c r="C163" s="78">
        <f>VLOOKUP(GroupVertices[[#This Row],[Vertex]],Vertices[],MATCH("ID",Vertices[[#Headers],[Vertex]:[Vertex Group]],0),FALSE)</f>
        <v>238</v>
      </c>
    </row>
    <row r="164" spans="1:3" ht="15">
      <c r="A164" s="79" t="s">
        <v>1507</v>
      </c>
      <c r="B164" s="96" t="s">
        <v>426</v>
      </c>
      <c r="C164" s="78">
        <f>VLOOKUP(GroupVertices[[#This Row],[Vertex]],Vertices[],MATCH("ID",Vertices[[#Headers],[Vertex]:[Vertex Group]],0),FALSE)</f>
        <v>239</v>
      </c>
    </row>
    <row r="165" spans="1:3" ht="15">
      <c r="A165" s="79" t="s">
        <v>1507</v>
      </c>
      <c r="B165" s="96" t="s">
        <v>427</v>
      </c>
      <c r="C165" s="78">
        <f>VLOOKUP(GroupVertices[[#This Row],[Vertex]],Vertices[],MATCH("ID",Vertices[[#Headers],[Vertex]:[Vertex Group]],0),FALSE)</f>
        <v>241</v>
      </c>
    </row>
    <row r="166" spans="1:3" ht="15">
      <c r="A166" s="79" t="s">
        <v>1507</v>
      </c>
      <c r="B166" s="96" t="s">
        <v>419</v>
      </c>
      <c r="C166" s="78">
        <f>VLOOKUP(GroupVertices[[#This Row],[Vertex]],Vertices[],MATCH("ID",Vertices[[#Headers],[Vertex]:[Vertex Group]],0),FALSE)</f>
        <v>242</v>
      </c>
    </row>
    <row r="167" spans="1:3" ht="15">
      <c r="A167" s="79" t="s">
        <v>1507</v>
      </c>
      <c r="B167" s="96" t="s">
        <v>422</v>
      </c>
      <c r="C167" s="78">
        <f>VLOOKUP(GroupVertices[[#This Row],[Vertex]],Vertices[],MATCH("ID",Vertices[[#Headers],[Vertex]:[Vertex Group]],0),FALSE)</f>
        <v>245</v>
      </c>
    </row>
    <row r="168" spans="1:3" ht="15">
      <c r="A168" s="79" t="s">
        <v>1507</v>
      </c>
      <c r="B168" s="96" t="s">
        <v>428</v>
      </c>
      <c r="C168" s="78">
        <f>VLOOKUP(GroupVertices[[#This Row],[Vertex]],Vertices[],MATCH("ID",Vertices[[#Headers],[Vertex]:[Vertex Group]],0),FALSE)</f>
        <v>247</v>
      </c>
    </row>
    <row r="169" spans="1:3" ht="15">
      <c r="A169" s="79" t="s">
        <v>1507</v>
      </c>
      <c r="B169" s="96" t="s">
        <v>2219</v>
      </c>
      <c r="C169" s="78">
        <f>VLOOKUP(GroupVertices[[#This Row],[Vertex]],Vertices[],MATCH("ID",Vertices[[#Headers],[Vertex]:[Vertex Group]],0),FALSE)</f>
        <v>248</v>
      </c>
    </row>
    <row r="170" spans="1:3" ht="15">
      <c r="A170" s="79" t="s">
        <v>1507</v>
      </c>
      <c r="B170" s="96" t="s">
        <v>530</v>
      </c>
      <c r="C170" s="78">
        <f>VLOOKUP(GroupVertices[[#This Row],[Vertex]],Vertices[],MATCH("ID",Vertices[[#Headers],[Vertex]:[Vertex Group]],0),FALSE)</f>
        <v>249</v>
      </c>
    </row>
    <row r="171" spans="1:3" ht="15">
      <c r="A171" s="79" t="s">
        <v>1507</v>
      </c>
      <c r="B171" s="96" t="s">
        <v>529</v>
      </c>
      <c r="C171" s="78">
        <f>VLOOKUP(GroupVertices[[#This Row],[Vertex]],Vertices[],MATCH("ID",Vertices[[#Headers],[Vertex]:[Vertex Group]],0),FALSE)</f>
        <v>251</v>
      </c>
    </row>
    <row r="172" spans="1:3" ht="15">
      <c r="A172" s="79" t="s">
        <v>1507</v>
      </c>
      <c r="B172" s="96" t="s">
        <v>429</v>
      </c>
      <c r="C172" s="78">
        <f>VLOOKUP(GroupVertices[[#This Row],[Vertex]],Vertices[],MATCH("ID",Vertices[[#Headers],[Vertex]:[Vertex Group]],0),FALSE)</f>
        <v>252</v>
      </c>
    </row>
    <row r="173" spans="1:3" ht="15">
      <c r="A173" s="79" t="s">
        <v>1507</v>
      </c>
      <c r="B173" s="96" t="s">
        <v>2221</v>
      </c>
      <c r="C173" s="78">
        <f>VLOOKUP(GroupVertices[[#This Row],[Vertex]],Vertices[],MATCH("ID",Vertices[[#Headers],[Vertex]:[Vertex Group]],0),FALSE)</f>
        <v>253</v>
      </c>
    </row>
    <row r="174" spans="1:3" ht="15">
      <c r="A174" s="79" t="s">
        <v>1507</v>
      </c>
      <c r="B174" s="96" t="s">
        <v>559</v>
      </c>
      <c r="C174" s="78">
        <f>VLOOKUP(GroupVertices[[#This Row],[Vertex]],Vertices[],MATCH("ID",Vertices[[#Headers],[Vertex]:[Vertex Group]],0),FALSE)</f>
        <v>256</v>
      </c>
    </row>
    <row r="175" spans="1:3" ht="15">
      <c r="A175" s="79" t="s">
        <v>1507</v>
      </c>
      <c r="B175" s="96" t="s">
        <v>430</v>
      </c>
      <c r="C175" s="78">
        <f>VLOOKUP(GroupVertices[[#This Row],[Vertex]],Vertices[],MATCH("ID",Vertices[[#Headers],[Vertex]:[Vertex Group]],0),FALSE)</f>
        <v>257</v>
      </c>
    </row>
    <row r="176" spans="1:3" ht="15">
      <c r="A176" s="79" t="s">
        <v>1507</v>
      </c>
      <c r="B176" s="96" t="s">
        <v>431</v>
      </c>
      <c r="C176" s="78">
        <f>VLOOKUP(GroupVertices[[#This Row],[Vertex]],Vertices[],MATCH("ID",Vertices[[#Headers],[Vertex]:[Vertex Group]],0),FALSE)</f>
        <v>258</v>
      </c>
    </row>
    <row r="177" spans="1:3" ht="15">
      <c r="A177" s="79" t="s">
        <v>1560</v>
      </c>
      <c r="B177" s="96" t="s">
        <v>342</v>
      </c>
      <c r="C177" s="78">
        <f>VLOOKUP(GroupVertices[[#This Row],[Vertex]],Vertices[],MATCH("ID",Vertices[[#Headers],[Vertex]:[Vertex Group]],0),FALSE)</f>
        <v>864</v>
      </c>
    </row>
    <row r="178" spans="1:3" ht="15">
      <c r="A178" s="79" t="s">
        <v>1560</v>
      </c>
      <c r="B178" s="96" t="s">
        <v>209</v>
      </c>
      <c r="C178" s="78">
        <f>VLOOKUP(GroupVertices[[#This Row],[Vertex]],Vertices[],MATCH("ID",Vertices[[#Headers],[Vertex]:[Vertex Group]],0),FALSE)</f>
        <v>16</v>
      </c>
    </row>
    <row r="179" spans="1:3" ht="15">
      <c r="A179" s="79" t="s">
        <v>1560</v>
      </c>
      <c r="B179" s="96" t="s">
        <v>2343</v>
      </c>
      <c r="C179" s="78">
        <f>VLOOKUP(GroupVertices[[#This Row],[Vertex]],Vertices[],MATCH("ID",Vertices[[#Headers],[Vertex]:[Vertex Group]],0),FALSE)</f>
        <v>477</v>
      </c>
    </row>
    <row r="180" spans="1:3" ht="15">
      <c r="A180" s="79" t="s">
        <v>1560</v>
      </c>
      <c r="B180" s="96" t="s">
        <v>2346</v>
      </c>
      <c r="C180" s="78">
        <f>VLOOKUP(GroupVertices[[#This Row],[Vertex]],Vertices[],MATCH("ID",Vertices[[#Headers],[Vertex]:[Vertex Group]],0),FALSE)</f>
        <v>480</v>
      </c>
    </row>
    <row r="181" spans="1:3" ht="15">
      <c r="A181" s="79" t="s">
        <v>1560</v>
      </c>
      <c r="B181" s="96" t="s">
        <v>2347</v>
      </c>
      <c r="C181" s="78">
        <f>VLOOKUP(GroupVertices[[#This Row],[Vertex]],Vertices[],MATCH("ID",Vertices[[#Headers],[Vertex]:[Vertex Group]],0),FALSE)</f>
        <v>481</v>
      </c>
    </row>
    <row r="182" spans="1:3" ht="15">
      <c r="A182" s="79" t="s">
        <v>1560</v>
      </c>
      <c r="B182" s="96" t="s">
        <v>2348</v>
      </c>
      <c r="C182" s="78">
        <f>VLOOKUP(GroupVertices[[#This Row],[Vertex]],Vertices[],MATCH("ID",Vertices[[#Headers],[Vertex]:[Vertex Group]],0),FALSE)</f>
        <v>482</v>
      </c>
    </row>
    <row r="183" spans="1:3" ht="15">
      <c r="A183" s="79" t="s">
        <v>1560</v>
      </c>
      <c r="B183" s="96" t="s">
        <v>2349</v>
      </c>
      <c r="C183" s="78">
        <f>VLOOKUP(GroupVertices[[#This Row],[Vertex]],Vertices[],MATCH("ID",Vertices[[#Headers],[Vertex]:[Vertex Group]],0),FALSE)</f>
        <v>483</v>
      </c>
    </row>
    <row r="184" spans="1:3" ht="15">
      <c r="A184" s="79" t="s">
        <v>1560</v>
      </c>
      <c r="B184" s="96" t="s">
        <v>2350</v>
      </c>
      <c r="C184" s="78">
        <f>VLOOKUP(GroupVertices[[#This Row],[Vertex]],Vertices[],MATCH("ID",Vertices[[#Headers],[Vertex]:[Vertex Group]],0),FALSE)</f>
        <v>484</v>
      </c>
    </row>
    <row r="185" spans="1:3" ht="15">
      <c r="A185" s="79" t="s">
        <v>1560</v>
      </c>
      <c r="B185" s="96" t="s">
        <v>2351</v>
      </c>
      <c r="C185" s="78">
        <f>VLOOKUP(GroupVertices[[#This Row],[Vertex]],Vertices[],MATCH("ID",Vertices[[#Headers],[Vertex]:[Vertex Group]],0),FALSE)</f>
        <v>485</v>
      </c>
    </row>
    <row r="186" spans="1:3" ht="15">
      <c r="A186" s="79" t="s">
        <v>1560</v>
      </c>
      <c r="B186" s="96" t="s">
        <v>2352</v>
      </c>
      <c r="C186" s="78">
        <f>VLOOKUP(GroupVertices[[#This Row],[Vertex]],Vertices[],MATCH("ID",Vertices[[#Headers],[Vertex]:[Vertex Group]],0),FALSE)</f>
        <v>486</v>
      </c>
    </row>
    <row r="187" spans="1:3" ht="15">
      <c r="A187" s="79" t="s">
        <v>1560</v>
      </c>
      <c r="B187" s="96" t="s">
        <v>2353</v>
      </c>
      <c r="C187" s="78">
        <f>VLOOKUP(GroupVertices[[#This Row],[Vertex]],Vertices[],MATCH("ID",Vertices[[#Headers],[Vertex]:[Vertex Group]],0),FALSE)</f>
        <v>487</v>
      </c>
    </row>
    <row r="188" spans="1:3" ht="15">
      <c r="A188" s="79" t="s">
        <v>1560</v>
      </c>
      <c r="B188" s="96" t="s">
        <v>2354</v>
      </c>
      <c r="C188" s="78">
        <f>VLOOKUP(GroupVertices[[#This Row],[Vertex]],Vertices[],MATCH("ID",Vertices[[#Headers],[Vertex]:[Vertex Group]],0),FALSE)</f>
        <v>488</v>
      </c>
    </row>
    <row r="189" spans="1:3" ht="15">
      <c r="A189" s="79" t="s">
        <v>1560</v>
      </c>
      <c r="B189" s="96" t="s">
        <v>2355</v>
      </c>
      <c r="C189" s="78">
        <f>VLOOKUP(GroupVertices[[#This Row],[Vertex]],Vertices[],MATCH("ID",Vertices[[#Headers],[Vertex]:[Vertex Group]],0),FALSE)</f>
        <v>489</v>
      </c>
    </row>
    <row r="190" spans="1:3" ht="15">
      <c r="A190" s="79" t="s">
        <v>1560</v>
      </c>
      <c r="B190" s="96" t="s">
        <v>2356</v>
      </c>
      <c r="C190" s="78">
        <f>VLOOKUP(GroupVertices[[#This Row],[Vertex]],Vertices[],MATCH("ID",Vertices[[#Headers],[Vertex]:[Vertex Group]],0),FALSE)</f>
        <v>490</v>
      </c>
    </row>
    <row r="191" spans="1:3" ht="15">
      <c r="A191" s="79" t="s">
        <v>1560</v>
      </c>
      <c r="B191" s="96" t="s">
        <v>373</v>
      </c>
      <c r="C191" s="78">
        <f>VLOOKUP(GroupVertices[[#This Row],[Vertex]],Vertices[],MATCH("ID",Vertices[[#Headers],[Vertex]:[Vertex Group]],0),FALSE)</f>
        <v>492</v>
      </c>
    </row>
    <row r="192" spans="1:3" ht="15">
      <c r="A192" s="79" t="s">
        <v>1560</v>
      </c>
      <c r="B192" s="96" t="s">
        <v>375</v>
      </c>
      <c r="C192" s="78">
        <f>VLOOKUP(GroupVertices[[#This Row],[Vertex]],Vertices[],MATCH("ID",Vertices[[#Headers],[Vertex]:[Vertex Group]],0),FALSE)</f>
        <v>494</v>
      </c>
    </row>
    <row r="193" spans="1:3" ht="15">
      <c r="A193" s="79" t="s">
        <v>1560</v>
      </c>
      <c r="B193" s="96" t="s">
        <v>377</v>
      </c>
      <c r="C193" s="78">
        <f>VLOOKUP(GroupVertices[[#This Row],[Vertex]],Vertices[],MATCH("ID",Vertices[[#Headers],[Vertex]:[Vertex Group]],0),FALSE)</f>
        <v>495</v>
      </c>
    </row>
    <row r="194" spans="1:3" ht="15">
      <c r="A194" s="79" t="s">
        <v>1560</v>
      </c>
      <c r="B194" s="96" t="s">
        <v>376</v>
      </c>
      <c r="C194" s="78">
        <f>VLOOKUP(GroupVertices[[#This Row],[Vertex]],Vertices[],MATCH("ID",Vertices[[#Headers],[Vertex]:[Vertex Group]],0),FALSE)</f>
        <v>496</v>
      </c>
    </row>
    <row r="195" spans="1:3" ht="15">
      <c r="A195" s="79" t="s">
        <v>1560</v>
      </c>
      <c r="B195" s="96" t="s">
        <v>322</v>
      </c>
      <c r="C195" s="78">
        <f>VLOOKUP(GroupVertices[[#This Row],[Vertex]],Vertices[],MATCH("ID",Vertices[[#Headers],[Vertex]:[Vertex Group]],0),FALSE)</f>
        <v>497</v>
      </c>
    </row>
    <row r="196" spans="1:3" ht="15">
      <c r="A196" s="79" t="s">
        <v>1538</v>
      </c>
      <c r="B196" s="96" t="s">
        <v>207</v>
      </c>
      <c r="C196" s="78">
        <f>VLOOKUP(GroupVertices[[#This Row],[Vertex]],Vertices[],MATCH("ID",Vertices[[#Headers],[Vertex]:[Vertex Group]],0),FALSE)</f>
        <v>5</v>
      </c>
    </row>
    <row r="197" spans="1:3" ht="15">
      <c r="A197" s="79" t="s">
        <v>1538</v>
      </c>
      <c r="B197" s="96" t="s">
        <v>2266</v>
      </c>
      <c r="C197" s="78">
        <f>VLOOKUP(GroupVertices[[#This Row],[Vertex]],Vertices[],MATCH("ID",Vertices[[#Headers],[Vertex]:[Vertex Group]],0),FALSE)</f>
        <v>307</v>
      </c>
    </row>
    <row r="198" spans="1:3" ht="15">
      <c r="A198" s="79" t="s">
        <v>1538</v>
      </c>
      <c r="B198" s="96" t="s">
        <v>2267</v>
      </c>
      <c r="C198" s="78">
        <f>VLOOKUP(GroupVertices[[#This Row],[Vertex]],Vertices[],MATCH("ID",Vertices[[#Headers],[Vertex]:[Vertex Group]],0),FALSE)</f>
        <v>308</v>
      </c>
    </row>
    <row r="199" spans="1:3" ht="15">
      <c r="A199" s="79" t="s">
        <v>1538</v>
      </c>
      <c r="B199" s="96" t="s">
        <v>2268</v>
      </c>
      <c r="C199" s="78">
        <f>VLOOKUP(GroupVertices[[#This Row],[Vertex]],Vertices[],MATCH("ID",Vertices[[#Headers],[Vertex]:[Vertex Group]],0),FALSE)</f>
        <v>309</v>
      </c>
    </row>
    <row r="200" spans="1:3" ht="15">
      <c r="A200" s="79" t="s">
        <v>1538</v>
      </c>
      <c r="B200" s="96" t="s">
        <v>2270</v>
      </c>
      <c r="C200" s="78">
        <f>VLOOKUP(GroupVertices[[#This Row],[Vertex]],Vertices[],MATCH("ID",Vertices[[#Headers],[Vertex]:[Vertex Group]],0),FALSE)</f>
        <v>311</v>
      </c>
    </row>
    <row r="201" spans="1:3" ht="15">
      <c r="A201" s="79" t="s">
        <v>1538</v>
      </c>
      <c r="B201" s="96" t="s">
        <v>2271</v>
      </c>
      <c r="C201" s="78">
        <f>VLOOKUP(GroupVertices[[#This Row],[Vertex]],Vertices[],MATCH("ID",Vertices[[#Headers],[Vertex]:[Vertex Group]],0),FALSE)</f>
        <v>312</v>
      </c>
    </row>
    <row r="202" spans="1:3" ht="15">
      <c r="A202" s="79" t="s">
        <v>1538</v>
      </c>
      <c r="B202" s="96" t="s">
        <v>2272</v>
      </c>
      <c r="C202" s="78">
        <f>VLOOKUP(GroupVertices[[#This Row],[Vertex]],Vertices[],MATCH("ID",Vertices[[#Headers],[Vertex]:[Vertex Group]],0),FALSE)</f>
        <v>313</v>
      </c>
    </row>
    <row r="203" spans="1:3" ht="15">
      <c r="A203" s="79" t="s">
        <v>1538</v>
      </c>
      <c r="B203" s="96" t="s">
        <v>2273</v>
      </c>
      <c r="C203" s="78">
        <f>VLOOKUP(GroupVertices[[#This Row],[Vertex]],Vertices[],MATCH("ID",Vertices[[#Headers],[Vertex]:[Vertex Group]],0),FALSE)</f>
        <v>317</v>
      </c>
    </row>
    <row r="204" spans="1:3" ht="15">
      <c r="A204" s="79" t="s">
        <v>1538</v>
      </c>
      <c r="B204" s="96" t="s">
        <v>2274</v>
      </c>
      <c r="C204" s="78">
        <f>VLOOKUP(GroupVertices[[#This Row],[Vertex]],Vertices[],MATCH("ID",Vertices[[#Headers],[Vertex]:[Vertex Group]],0),FALSE)</f>
        <v>318</v>
      </c>
    </row>
    <row r="205" spans="1:3" ht="15">
      <c r="A205" s="79" t="s">
        <v>1538</v>
      </c>
      <c r="B205" s="96" t="s">
        <v>2275</v>
      </c>
      <c r="C205" s="78">
        <f>VLOOKUP(GroupVertices[[#This Row],[Vertex]],Vertices[],MATCH("ID",Vertices[[#Headers],[Vertex]:[Vertex Group]],0),FALSE)</f>
        <v>319</v>
      </c>
    </row>
    <row r="206" spans="1:3" ht="15">
      <c r="A206" s="79" t="s">
        <v>1538</v>
      </c>
      <c r="B206" s="96" t="s">
        <v>2276</v>
      </c>
      <c r="C206" s="78">
        <f>VLOOKUP(GroupVertices[[#This Row],[Vertex]],Vertices[],MATCH("ID",Vertices[[#Headers],[Vertex]:[Vertex Group]],0),FALSE)</f>
        <v>320</v>
      </c>
    </row>
    <row r="207" spans="1:3" ht="15">
      <c r="A207" s="79" t="s">
        <v>1538</v>
      </c>
      <c r="B207" s="96" t="s">
        <v>2277</v>
      </c>
      <c r="C207" s="78">
        <f>VLOOKUP(GroupVertices[[#This Row],[Vertex]],Vertices[],MATCH("ID",Vertices[[#Headers],[Vertex]:[Vertex Group]],0),FALSE)</f>
        <v>321</v>
      </c>
    </row>
    <row r="208" spans="1:3" ht="15">
      <c r="A208" s="79" t="s">
        <v>1538</v>
      </c>
      <c r="B208" s="96" t="s">
        <v>2278</v>
      </c>
      <c r="C208" s="78">
        <f>VLOOKUP(GroupVertices[[#This Row],[Vertex]],Vertices[],MATCH("ID",Vertices[[#Headers],[Vertex]:[Vertex Group]],0),FALSE)</f>
        <v>322</v>
      </c>
    </row>
    <row r="209" spans="1:3" ht="15">
      <c r="A209" s="79" t="s">
        <v>1538</v>
      </c>
      <c r="B209" s="96" t="s">
        <v>2279</v>
      </c>
      <c r="C209" s="78">
        <f>VLOOKUP(GroupVertices[[#This Row],[Vertex]],Vertices[],MATCH("ID",Vertices[[#Headers],[Vertex]:[Vertex Group]],0),FALSE)</f>
        <v>323</v>
      </c>
    </row>
    <row r="210" spans="1:3" ht="15">
      <c r="A210" s="79" t="s">
        <v>1538</v>
      </c>
      <c r="B210" s="96" t="s">
        <v>2280</v>
      </c>
      <c r="C210" s="78">
        <f>VLOOKUP(GroupVertices[[#This Row],[Vertex]],Vertices[],MATCH("ID",Vertices[[#Headers],[Vertex]:[Vertex Group]],0),FALSE)</f>
        <v>324</v>
      </c>
    </row>
    <row r="211" spans="1:3" ht="15">
      <c r="A211" s="79" t="s">
        <v>1538</v>
      </c>
      <c r="B211" s="96" t="s">
        <v>2281</v>
      </c>
      <c r="C211" s="78">
        <f>VLOOKUP(GroupVertices[[#This Row],[Vertex]],Vertices[],MATCH("ID",Vertices[[#Headers],[Vertex]:[Vertex Group]],0),FALSE)</f>
        <v>325</v>
      </c>
    </row>
    <row r="212" spans="1:3" ht="15">
      <c r="A212" s="79" t="s">
        <v>1538</v>
      </c>
      <c r="B212" s="96" t="s">
        <v>2282</v>
      </c>
      <c r="C212" s="78">
        <f>VLOOKUP(GroupVertices[[#This Row],[Vertex]],Vertices[],MATCH("ID",Vertices[[#Headers],[Vertex]:[Vertex Group]],0),FALSE)</f>
        <v>326</v>
      </c>
    </row>
    <row r="213" spans="1:3" ht="15">
      <c r="A213" s="79" t="s">
        <v>1538</v>
      </c>
      <c r="B213" s="96" t="s">
        <v>2283</v>
      </c>
      <c r="C213" s="78">
        <f>VLOOKUP(GroupVertices[[#This Row],[Vertex]],Vertices[],MATCH("ID",Vertices[[#Headers],[Vertex]:[Vertex Group]],0),FALSE)</f>
        <v>328</v>
      </c>
    </row>
    <row r="214" spans="1:3" ht="15">
      <c r="A214" s="79" t="s">
        <v>1538</v>
      </c>
      <c r="B214" s="96" t="s">
        <v>2284</v>
      </c>
      <c r="C214" s="78">
        <f>VLOOKUP(GroupVertices[[#This Row],[Vertex]],Vertices[],MATCH("ID",Vertices[[#Headers],[Vertex]:[Vertex Group]],0),FALSE)</f>
        <v>329</v>
      </c>
    </row>
    <row r="215" spans="1:3" ht="15">
      <c r="A215" s="79" t="s">
        <v>1512</v>
      </c>
      <c r="B215" s="96" t="s">
        <v>215</v>
      </c>
      <c r="C215" s="78">
        <f>VLOOKUP(GroupVertices[[#This Row],[Vertex]],Vertices[],MATCH("ID",Vertices[[#Headers],[Vertex]:[Vertex Group]],0),FALSE)</f>
        <v>3</v>
      </c>
    </row>
    <row r="216" spans="1:3" ht="15">
      <c r="A216" s="79" t="s">
        <v>1512</v>
      </c>
      <c r="B216" s="96" t="s">
        <v>2178</v>
      </c>
      <c r="C216" s="78">
        <f>VLOOKUP(GroupVertices[[#This Row],[Vertex]],Vertices[],MATCH("ID",Vertices[[#Headers],[Vertex]:[Vertex Group]],0),FALSE)</f>
        <v>184</v>
      </c>
    </row>
    <row r="217" spans="1:3" ht="15">
      <c r="A217" s="79" t="s">
        <v>1512</v>
      </c>
      <c r="B217" s="96" t="s">
        <v>2180</v>
      </c>
      <c r="C217" s="78">
        <f>VLOOKUP(GroupVertices[[#This Row],[Vertex]],Vertices[],MATCH("ID",Vertices[[#Headers],[Vertex]:[Vertex Group]],0),FALSE)</f>
        <v>186</v>
      </c>
    </row>
    <row r="218" spans="1:3" ht="15">
      <c r="A218" s="79" t="s">
        <v>1512</v>
      </c>
      <c r="B218" s="96" t="s">
        <v>2181</v>
      </c>
      <c r="C218" s="78">
        <f>VLOOKUP(GroupVertices[[#This Row],[Vertex]],Vertices[],MATCH("ID",Vertices[[#Headers],[Vertex]:[Vertex Group]],0),FALSE)</f>
        <v>187</v>
      </c>
    </row>
    <row r="219" spans="1:3" ht="15">
      <c r="A219" s="79" t="s">
        <v>1512</v>
      </c>
      <c r="B219" s="96" t="s">
        <v>2183</v>
      </c>
      <c r="C219" s="78">
        <f>VLOOKUP(GroupVertices[[#This Row],[Vertex]],Vertices[],MATCH("ID",Vertices[[#Headers],[Vertex]:[Vertex Group]],0),FALSE)</f>
        <v>189</v>
      </c>
    </row>
    <row r="220" spans="1:3" ht="15">
      <c r="A220" s="79" t="s">
        <v>1512</v>
      </c>
      <c r="B220" s="96" t="s">
        <v>2184</v>
      </c>
      <c r="C220" s="78">
        <f>VLOOKUP(GroupVertices[[#This Row],[Vertex]],Vertices[],MATCH("ID",Vertices[[#Headers],[Vertex]:[Vertex Group]],0),FALSE)</f>
        <v>190</v>
      </c>
    </row>
    <row r="221" spans="1:3" ht="15">
      <c r="A221" s="79" t="s">
        <v>1512</v>
      </c>
      <c r="B221" s="96" t="s">
        <v>2185</v>
      </c>
      <c r="C221" s="78">
        <f>VLOOKUP(GroupVertices[[#This Row],[Vertex]],Vertices[],MATCH("ID",Vertices[[#Headers],[Vertex]:[Vertex Group]],0),FALSE)</f>
        <v>191</v>
      </c>
    </row>
    <row r="222" spans="1:3" ht="15">
      <c r="A222" s="79" t="s">
        <v>1512</v>
      </c>
      <c r="B222" s="96" t="s">
        <v>2186</v>
      </c>
      <c r="C222" s="78">
        <f>VLOOKUP(GroupVertices[[#This Row],[Vertex]],Vertices[],MATCH("ID",Vertices[[#Headers],[Vertex]:[Vertex Group]],0),FALSE)</f>
        <v>192</v>
      </c>
    </row>
    <row r="223" spans="1:3" ht="15">
      <c r="A223" s="79" t="s">
        <v>1512</v>
      </c>
      <c r="B223" s="96" t="s">
        <v>2187</v>
      </c>
      <c r="C223" s="78">
        <f>VLOOKUP(GroupVertices[[#This Row],[Vertex]],Vertices[],MATCH("ID",Vertices[[#Headers],[Vertex]:[Vertex Group]],0),FALSE)</f>
        <v>193</v>
      </c>
    </row>
    <row r="224" spans="1:3" ht="15">
      <c r="A224" s="79" t="s">
        <v>1512</v>
      </c>
      <c r="B224" s="96" t="s">
        <v>2188</v>
      </c>
      <c r="C224" s="78">
        <f>VLOOKUP(GroupVertices[[#This Row],[Vertex]],Vertices[],MATCH("ID",Vertices[[#Headers],[Vertex]:[Vertex Group]],0),FALSE)</f>
        <v>194</v>
      </c>
    </row>
    <row r="225" spans="1:3" ht="15">
      <c r="A225" s="79" t="s">
        <v>1512</v>
      </c>
      <c r="B225" s="96" t="s">
        <v>2189</v>
      </c>
      <c r="C225" s="78">
        <f>VLOOKUP(GroupVertices[[#This Row],[Vertex]],Vertices[],MATCH("ID",Vertices[[#Headers],[Vertex]:[Vertex Group]],0),FALSE)</f>
        <v>195</v>
      </c>
    </row>
    <row r="226" spans="1:3" ht="15">
      <c r="A226" s="79" t="s">
        <v>1512</v>
      </c>
      <c r="B226" s="96" t="s">
        <v>389</v>
      </c>
      <c r="C226" s="78">
        <f>VLOOKUP(GroupVertices[[#This Row],[Vertex]],Vertices[],MATCH("ID",Vertices[[#Headers],[Vertex]:[Vertex Group]],0),FALSE)</f>
        <v>196</v>
      </c>
    </row>
    <row r="227" spans="1:3" ht="15">
      <c r="A227" s="79" t="s">
        <v>1512</v>
      </c>
      <c r="B227" s="96" t="s">
        <v>391</v>
      </c>
      <c r="C227" s="78">
        <f>VLOOKUP(GroupVertices[[#This Row],[Vertex]],Vertices[],MATCH("ID",Vertices[[#Headers],[Vertex]:[Vertex Group]],0),FALSE)</f>
        <v>197</v>
      </c>
    </row>
    <row r="228" spans="1:3" ht="15">
      <c r="A228" s="79" t="s">
        <v>1512</v>
      </c>
      <c r="B228" s="96" t="s">
        <v>390</v>
      </c>
      <c r="C228" s="78">
        <f>VLOOKUP(GroupVertices[[#This Row],[Vertex]],Vertices[],MATCH("ID",Vertices[[#Headers],[Vertex]:[Vertex Group]],0),FALSE)</f>
        <v>198</v>
      </c>
    </row>
    <row r="229" spans="1:3" ht="15">
      <c r="A229" s="79" t="s">
        <v>1512</v>
      </c>
      <c r="B229" s="96" t="s">
        <v>2190</v>
      </c>
      <c r="C229" s="78">
        <f>VLOOKUP(GroupVertices[[#This Row],[Vertex]],Vertices[],MATCH("ID",Vertices[[#Headers],[Vertex]:[Vertex Group]],0),FALSE)</f>
        <v>199</v>
      </c>
    </row>
    <row r="230" spans="1:3" ht="15">
      <c r="A230" s="79" t="s">
        <v>1512</v>
      </c>
      <c r="B230" s="96" t="s">
        <v>2191</v>
      </c>
      <c r="C230" s="78">
        <f>VLOOKUP(GroupVertices[[#This Row],[Vertex]],Vertices[],MATCH("ID",Vertices[[#Headers],[Vertex]:[Vertex Group]],0),FALSE)</f>
        <v>200</v>
      </c>
    </row>
    <row r="231" spans="1:3" ht="15">
      <c r="A231" s="79" t="s">
        <v>1512</v>
      </c>
      <c r="B231" s="96" t="s">
        <v>2192</v>
      </c>
      <c r="C231" s="78">
        <f>VLOOKUP(GroupVertices[[#This Row],[Vertex]],Vertices[],MATCH("ID",Vertices[[#Headers],[Vertex]:[Vertex Group]],0),FALSE)</f>
        <v>201</v>
      </c>
    </row>
    <row r="232" spans="1:3" ht="15">
      <c r="A232" s="79" t="s">
        <v>1512</v>
      </c>
      <c r="B232" s="96" t="s">
        <v>2193</v>
      </c>
      <c r="C232" s="78">
        <f>VLOOKUP(GroupVertices[[#This Row],[Vertex]],Vertices[],MATCH("ID",Vertices[[#Headers],[Vertex]:[Vertex Group]],0),FALSE)</f>
        <v>203</v>
      </c>
    </row>
    <row r="233" spans="1:3" ht="15">
      <c r="A233" s="79" t="s">
        <v>1535</v>
      </c>
      <c r="B233" s="96" t="s">
        <v>199</v>
      </c>
      <c r="C233" s="78">
        <f>VLOOKUP(GroupVertices[[#This Row],[Vertex]],Vertices[],MATCH("ID",Vertices[[#Headers],[Vertex]:[Vertex Group]],0),FALSE)</f>
        <v>12</v>
      </c>
    </row>
    <row r="234" spans="1:3" ht="15">
      <c r="A234" s="79" t="s">
        <v>1535</v>
      </c>
      <c r="B234" s="96" t="s">
        <v>2307</v>
      </c>
      <c r="C234" s="78">
        <f>VLOOKUP(GroupVertices[[#This Row],[Vertex]],Vertices[],MATCH("ID",Vertices[[#Headers],[Vertex]:[Vertex Group]],0),FALSE)</f>
        <v>368</v>
      </c>
    </row>
    <row r="235" spans="1:3" ht="15">
      <c r="A235" s="79" t="s">
        <v>1535</v>
      </c>
      <c r="B235" s="96" t="s">
        <v>2308</v>
      </c>
      <c r="C235" s="78">
        <f>VLOOKUP(GroupVertices[[#This Row],[Vertex]],Vertices[],MATCH("ID",Vertices[[#Headers],[Vertex]:[Vertex Group]],0),FALSE)</f>
        <v>369</v>
      </c>
    </row>
    <row r="236" spans="1:3" ht="15">
      <c r="A236" s="79" t="s">
        <v>1535</v>
      </c>
      <c r="B236" s="96" t="s">
        <v>2309</v>
      </c>
      <c r="C236" s="78">
        <f>VLOOKUP(GroupVertices[[#This Row],[Vertex]],Vertices[],MATCH("ID",Vertices[[#Headers],[Vertex]:[Vertex Group]],0),FALSE)</f>
        <v>370</v>
      </c>
    </row>
    <row r="237" spans="1:3" ht="15">
      <c r="A237" s="79" t="s">
        <v>1535</v>
      </c>
      <c r="B237" s="96" t="s">
        <v>2310</v>
      </c>
      <c r="C237" s="78">
        <f>VLOOKUP(GroupVertices[[#This Row],[Vertex]],Vertices[],MATCH("ID",Vertices[[#Headers],[Vertex]:[Vertex Group]],0),FALSE)</f>
        <v>371</v>
      </c>
    </row>
    <row r="238" spans="1:3" ht="15">
      <c r="A238" s="79" t="s">
        <v>1535</v>
      </c>
      <c r="B238" s="96" t="s">
        <v>2311</v>
      </c>
      <c r="C238" s="78">
        <f>VLOOKUP(GroupVertices[[#This Row],[Vertex]],Vertices[],MATCH("ID",Vertices[[#Headers],[Vertex]:[Vertex Group]],0),FALSE)</f>
        <v>372</v>
      </c>
    </row>
    <row r="239" spans="1:3" ht="15">
      <c r="A239" s="79" t="s">
        <v>1535</v>
      </c>
      <c r="B239" s="96" t="s">
        <v>309</v>
      </c>
      <c r="C239" s="78">
        <f>VLOOKUP(GroupVertices[[#This Row],[Vertex]],Vertices[],MATCH("ID",Vertices[[#Headers],[Vertex]:[Vertex Group]],0),FALSE)</f>
        <v>373</v>
      </c>
    </row>
    <row r="240" spans="1:3" ht="15">
      <c r="A240" s="79" t="s">
        <v>1535</v>
      </c>
      <c r="B240" s="96" t="s">
        <v>2312</v>
      </c>
      <c r="C240" s="78">
        <f>VLOOKUP(GroupVertices[[#This Row],[Vertex]],Vertices[],MATCH("ID",Vertices[[#Headers],[Vertex]:[Vertex Group]],0),FALSE)</f>
        <v>374</v>
      </c>
    </row>
    <row r="241" spans="1:3" ht="15">
      <c r="A241" s="79" t="s">
        <v>1535</v>
      </c>
      <c r="B241" s="96" t="s">
        <v>2313</v>
      </c>
      <c r="C241" s="78">
        <f>VLOOKUP(GroupVertices[[#This Row],[Vertex]],Vertices[],MATCH("ID",Vertices[[#Headers],[Vertex]:[Vertex Group]],0),FALSE)</f>
        <v>375</v>
      </c>
    </row>
    <row r="242" spans="1:3" ht="15">
      <c r="A242" s="79" t="s">
        <v>1535</v>
      </c>
      <c r="B242" s="96" t="s">
        <v>312</v>
      </c>
      <c r="C242" s="78">
        <f>VLOOKUP(GroupVertices[[#This Row],[Vertex]],Vertices[],MATCH("ID",Vertices[[#Headers],[Vertex]:[Vertex Group]],0),FALSE)</f>
        <v>376</v>
      </c>
    </row>
    <row r="243" spans="1:3" ht="15">
      <c r="A243" s="79" t="s">
        <v>1535</v>
      </c>
      <c r="B243" s="96" t="s">
        <v>311</v>
      </c>
      <c r="C243" s="78">
        <f>VLOOKUP(GroupVertices[[#This Row],[Vertex]],Vertices[],MATCH("ID",Vertices[[#Headers],[Vertex]:[Vertex Group]],0),FALSE)</f>
        <v>377</v>
      </c>
    </row>
    <row r="244" spans="1:3" ht="15">
      <c r="A244" s="79" t="s">
        <v>1535</v>
      </c>
      <c r="B244" s="96" t="s">
        <v>310</v>
      </c>
      <c r="C244" s="78">
        <f>VLOOKUP(GroupVertices[[#This Row],[Vertex]],Vertices[],MATCH("ID",Vertices[[#Headers],[Vertex]:[Vertex Group]],0),FALSE)</f>
        <v>378</v>
      </c>
    </row>
    <row r="245" spans="1:3" ht="15">
      <c r="A245" s="79" t="s">
        <v>1535</v>
      </c>
      <c r="B245" s="96" t="s">
        <v>315</v>
      </c>
      <c r="C245" s="78">
        <f>VLOOKUP(GroupVertices[[#This Row],[Vertex]],Vertices[],MATCH("ID",Vertices[[#Headers],[Vertex]:[Vertex Group]],0),FALSE)</f>
        <v>379</v>
      </c>
    </row>
    <row r="246" spans="1:3" ht="15">
      <c r="A246" s="79" t="s">
        <v>1535</v>
      </c>
      <c r="B246" s="96" t="s">
        <v>2314</v>
      </c>
      <c r="C246" s="78">
        <f>VLOOKUP(GroupVertices[[#This Row],[Vertex]],Vertices[],MATCH("ID",Vertices[[#Headers],[Vertex]:[Vertex Group]],0),FALSE)</f>
        <v>380</v>
      </c>
    </row>
    <row r="247" spans="1:3" ht="15">
      <c r="A247" s="79" t="s">
        <v>1535</v>
      </c>
      <c r="B247" s="96" t="s">
        <v>313</v>
      </c>
      <c r="C247" s="78">
        <f>VLOOKUP(GroupVertices[[#This Row],[Vertex]],Vertices[],MATCH("ID",Vertices[[#Headers],[Vertex]:[Vertex Group]],0),FALSE)</f>
        <v>381</v>
      </c>
    </row>
    <row r="248" spans="1:3" ht="15">
      <c r="A248" s="79" t="s">
        <v>1535</v>
      </c>
      <c r="B248" s="96" t="s">
        <v>314</v>
      </c>
      <c r="C248" s="78">
        <f>VLOOKUP(GroupVertices[[#This Row],[Vertex]],Vertices[],MATCH("ID",Vertices[[#Headers],[Vertex]:[Vertex Group]],0),FALSE)</f>
        <v>382</v>
      </c>
    </row>
    <row r="249" spans="1:3" ht="15">
      <c r="A249" s="79" t="s">
        <v>1535</v>
      </c>
      <c r="B249" s="96" t="s">
        <v>316</v>
      </c>
      <c r="C249" s="78">
        <f>VLOOKUP(GroupVertices[[#This Row],[Vertex]],Vertices[],MATCH("ID",Vertices[[#Headers],[Vertex]:[Vertex Group]],0),FALSE)</f>
        <v>383</v>
      </c>
    </row>
    <row r="250" spans="1:3" ht="15">
      <c r="A250" s="79" t="s">
        <v>1535</v>
      </c>
      <c r="B250" s="96" t="s">
        <v>317</v>
      </c>
      <c r="C250" s="78">
        <f>VLOOKUP(GroupVertices[[#This Row],[Vertex]],Vertices[],MATCH("ID",Vertices[[#Headers],[Vertex]:[Vertex Group]],0),FALSE)</f>
        <v>384</v>
      </c>
    </row>
    <row r="251" spans="1:3" ht="15">
      <c r="A251" s="79" t="s">
        <v>1566</v>
      </c>
      <c r="B251" s="96" t="s">
        <v>234</v>
      </c>
      <c r="C251" s="78">
        <f>VLOOKUP(GroupVertices[[#This Row],[Vertex]],Vertices[],MATCH("ID",Vertices[[#Headers],[Vertex]:[Vertex Group]],0),FALSE)</f>
        <v>17</v>
      </c>
    </row>
    <row r="252" spans="1:3" ht="15">
      <c r="A252" s="79" t="s">
        <v>1566</v>
      </c>
      <c r="B252" s="96" t="s">
        <v>513</v>
      </c>
      <c r="C252" s="78">
        <f>VLOOKUP(GroupVertices[[#This Row],[Vertex]],Vertices[],MATCH("ID",Vertices[[#Headers],[Vertex]:[Vertex Group]],0),FALSE)</f>
        <v>509</v>
      </c>
    </row>
    <row r="253" spans="1:3" ht="15">
      <c r="A253" s="79" t="s">
        <v>1566</v>
      </c>
      <c r="B253" s="96" t="s">
        <v>512</v>
      </c>
      <c r="C253" s="78">
        <f>VLOOKUP(GroupVertices[[#This Row],[Vertex]],Vertices[],MATCH("ID",Vertices[[#Headers],[Vertex]:[Vertex Group]],0),FALSE)</f>
        <v>510</v>
      </c>
    </row>
    <row r="254" spans="1:3" ht="15">
      <c r="A254" s="79" t="s">
        <v>1566</v>
      </c>
      <c r="B254" s="96" t="s">
        <v>514</v>
      </c>
      <c r="C254" s="78">
        <f>VLOOKUP(GroupVertices[[#This Row],[Vertex]],Vertices[],MATCH("ID",Vertices[[#Headers],[Vertex]:[Vertex Group]],0),FALSE)</f>
        <v>511</v>
      </c>
    </row>
    <row r="255" spans="1:3" ht="15">
      <c r="A255" s="79" t="s">
        <v>1566</v>
      </c>
      <c r="B255" s="96" t="s">
        <v>515</v>
      </c>
      <c r="C255" s="78">
        <f>VLOOKUP(GroupVertices[[#This Row],[Vertex]],Vertices[],MATCH("ID",Vertices[[#Headers],[Vertex]:[Vertex Group]],0),FALSE)</f>
        <v>512</v>
      </c>
    </row>
    <row r="256" spans="1:3" ht="15">
      <c r="A256" s="79" t="s">
        <v>1566</v>
      </c>
      <c r="B256" s="96" t="s">
        <v>516</v>
      </c>
      <c r="C256" s="78">
        <f>VLOOKUP(GroupVertices[[#This Row],[Vertex]],Vertices[],MATCH("ID",Vertices[[#Headers],[Vertex]:[Vertex Group]],0),FALSE)</f>
        <v>513</v>
      </c>
    </row>
    <row r="257" spans="1:3" ht="15">
      <c r="A257" s="79" t="s">
        <v>1566</v>
      </c>
      <c r="B257" s="96" t="s">
        <v>517</v>
      </c>
      <c r="C257" s="78">
        <f>VLOOKUP(GroupVertices[[#This Row],[Vertex]],Vertices[],MATCH("ID",Vertices[[#Headers],[Vertex]:[Vertex Group]],0),FALSE)</f>
        <v>514</v>
      </c>
    </row>
    <row r="258" spans="1:3" ht="15">
      <c r="A258" s="79" t="s">
        <v>1566</v>
      </c>
      <c r="B258" s="96" t="s">
        <v>518</v>
      </c>
      <c r="C258" s="78">
        <f>VLOOKUP(GroupVertices[[#This Row],[Vertex]],Vertices[],MATCH("ID",Vertices[[#Headers],[Vertex]:[Vertex Group]],0),FALSE)</f>
        <v>515</v>
      </c>
    </row>
    <row r="259" spans="1:3" ht="15">
      <c r="A259" s="79" t="s">
        <v>1566</v>
      </c>
      <c r="B259" s="96" t="s">
        <v>521</v>
      </c>
      <c r="C259" s="78">
        <f>VLOOKUP(GroupVertices[[#This Row],[Vertex]],Vertices[],MATCH("ID",Vertices[[#Headers],[Vertex]:[Vertex Group]],0),FALSE)</f>
        <v>516</v>
      </c>
    </row>
    <row r="260" spans="1:3" ht="15">
      <c r="A260" s="79" t="s">
        <v>1566</v>
      </c>
      <c r="B260" s="96" t="s">
        <v>520</v>
      </c>
      <c r="C260" s="78">
        <f>VLOOKUP(GroupVertices[[#This Row],[Vertex]],Vertices[],MATCH("ID",Vertices[[#Headers],[Vertex]:[Vertex Group]],0),FALSE)</f>
        <v>517</v>
      </c>
    </row>
    <row r="261" spans="1:3" ht="15">
      <c r="A261" s="79" t="s">
        <v>1566</v>
      </c>
      <c r="B261" s="96" t="s">
        <v>523</v>
      </c>
      <c r="C261" s="78">
        <f>VLOOKUP(GroupVertices[[#This Row],[Vertex]],Vertices[],MATCH("ID",Vertices[[#Headers],[Vertex]:[Vertex Group]],0),FALSE)</f>
        <v>518</v>
      </c>
    </row>
    <row r="262" spans="1:3" ht="15">
      <c r="A262" s="79" t="s">
        <v>1566</v>
      </c>
      <c r="B262" s="96" t="s">
        <v>2358</v>
      </c>
      <c r="C262" s="78">
        <f>VLOOKUP(GroupVertices[[#This Row],[Vertex]],Vertices[],MATCH("ID",Vertices[[#Headers],[Vertex]:[Vertex Group]],0),FALSE)</f>
        <v>519</v>
      </c>
    </row>
    <row r="263" spans="1:3" ht="15">
      <c r="A263" s="79" t="s">
        <v>1566</v>
      </c>
      <c r="B263" s="96" t="s">
        <v>519</v>
      </c>
      <c r="C263" s="78">
        <f>VLOOKUP(GroupVertices[[#This Row],[Vertex]],Vertices[],MATCH("ID",Vertices[[#Headers],[Vertex]:[Vertex Group]],0),FALSE)</f>
        <v>520</v>
      </c>
    </row>
    <row r="264" spans="1:3" ht="15">
      <c r="A264" s="79" t="s">
        <v>1566</v>
      </c>
      <c r="B264" s="96" t="s">
        <v>501</v>
      </c>
      <c r="C264" s="78">
        <f>VLOOKUP(GroupVertices[[#This Row],[Vertex]],Vertices[],MATCH("ID",Vertices[[#Headers],[Vertex]:[Vertex Group]],0),FALSE)</f>
        <v>522</v>
      </c>
    </row>
    <row r="265" spans="1:3" ht="15">
      <c r="A265" s="79" t="s">
        <v>1566</v>
      </c>
      <c r="B265" s="96" t="s">
        <v>524</v>
      </c>
      <c r="C265" s="78">
        <f>VLOOKUP(GroupVertices[[#This Row],[Vertex]],Vertices[],MATCH("ID",Vertices[[#Headers],[Vertex]:[Vertex Group]],0),FALSE)</f>
        <v>523</v>
      </c>
    </row>
    <row r="266" spans="1:3" ht="15">
      <c r="A266" s="79" t="s">
        <v>1566</v>
      </c>
      <c r="B266" s="96" t="s">
        <v>525</v>
      </c>
      <c r="C266" s="78">
        <f>VLOOKUP(GroupVertices[[#This Row],[Vertex]],Vertices[],MATCH("ID",Vertices[[#Headers],[Vertex]:[Vertex Group]],0),FALSE)</f>
        <v>524</v>
      </c>
    </row>
    <row r="267" spans="1:3" ht="15">
      <c r="A267" s="79" t="s">
        <v>1566</v>
      </c>
      <c r="B267" s="96" t="s">
        <v>526</v>
      </c>
      <c r="C267" s="78">
        <f>VLOOKUP(GroupVertices[[#This Row],[Vertex]],Vertices[],MATCH("ID",Vertices[[#Headers],[Vertex]:[Vertex Group]],0),FALSE)</f>
        <v>525</v>
      </c>
    </row>
    <row r="268" spans="1:3" ht="15">
      <c r="A268" s="79" t="s">
        <v>1566</v>
      </c>
      <c r="B268" s="96" t="s">
        <v>528</v>
      </c>
      <c r="C268" s="78">
        <f>VLOOKUP(GroupVertices[[#This Row],[Vertex]],Vertices[],MATCH("ID",Vertices[[#Headers],[Vertex]:[Vertex Group]],0),FALSE)</f>
        <v>527</v>
      </c>
    </row>
    <row r="269" spans="1:3" ht="15">
      <c r="A269" s="79" t="s">
        <v>1605</v>
      </c>
      <c r="B269" s="96" t="s">
        <v>224</v>
      </c>
      <c r="C269" s="78">
        <f>VLOOKUP(GroupVertices[[#This Row],[Vertex]],Vertices[],MATCH("ID",Vertices[[#Headers],[Vertex]:[Vertex Group]],0),FALSE)</f>
        <v>18</v>
      </c>
    </row>
    <row r="270" spans="1:3" ht="15">
      <c r="A270" s="79" t="s">
        <v>1605</v>
      </c>
      <c r="B270" s="96" t="s">
        <v>2234</v>
      </c>
      <c r="C270" s="78">
        <f>VLOOKUP(GroupVertices[[#This Row],[Vertex]],Vertices[],MATCH("ID",Vertices[[#Headers],[Vertex]:[Vertex Group]],0),FALSE)</f>
        <v>271</v>
      </c>
    </row>
    <row r="271" spans="1:3" ht="15">
      <c r="A271" s="79" t="s">
        <v>1605</v>
      </c>
      <c r="B271" s="96" t="s">
        <v>2235</v>
      </c>
      <c r="C271" s="78">
        <f>VLOOKUP(GroupVertices[[#This Row],[Vertex]],Vertices[],MATCH("ID",Vertices[[#Headers],[Vertex]:[Vertex Group]],0),FALSE)</f>
        <v>272</v>
      </c>
    </row>
    <row r="272" spans="1:3" ht="15">
      <c r="A272" s="79" t="s">
        <v>1605</v>
      </c>
      <c r="B272" s="96" t="s">
        <v>2237</v>
      </c>
      <c r="C272" s="78">
        <f>VLOOKUP(GroupVertices[[#This Row],[Vertex]],Vertices[],MATCH("ID",Vertices[[#Headers],[Vertex]:[Vertex Group]],0),FALSE)</f>
        <v>274</v>
      </c>
    </row>
    <row r="273" spans="1:3" ht="15">
      <c r="A273" s="79" t="s">
        <v>1605</v>
      </c>
      <c r="B273" s="96" t="s">
        <v>2238</v>
      </c>
      <c r="C273" s="78">
        <f>VLOOKUP(GroupVertices[[#This Row],[Vertex]],Vertices[],MATCH("ID",Vertices[[#Headers],[Vertex]:[Vertex Group]],0),FALSE)</f>
        <v>275</v>
      </c>
    </row>
    <row r="274" spans="1:3" ht="15">
      <c r="A274" s="79" t="s">
        <v>1605</v>
      </c>
      <c r="B274" s="96" t="s">
        <v>2239</v>
      </c>
      <c r="C274" s="78">
        <f>VLOOKUP(GroupVertices[[#This Row],[Vertex]],Vertices[],MATCH("ID",Vertices[[#Headers],[Vertex]:[Vertex Group]],0),FALSE)</f>
        <v>276</v>
      </c>
    </row>
    <row r="275" spans="1:3" ht="15">
      <c r="A275" s="79" t="s">
        <v>1605</v>
      </c>
      <c r="B275" s="96" t="s">
        <v>2240</v>
      </c>
      <c r="C275" s="78">
        <f>VLOOKUP(GroupVertices[[#This Row],[Vertex]],Vertices[],MATCH("ID",Vertices[[#Headers],[Vertex]:[Vertex Group]],0),FALSE)</f>
        <v>277</v>
      </c>
    </row>
    <row r="276" spans="1:3" ht="15">
      <c r="A276" s="79" t="s">
        <v>1605</v>
      </c>
      <c r="B276" s="96" t="s">
        <v>2241</v>
      </c>
      <c r="C276" s="78">
        <f>VLOOKUP(GroupVertices[[#This Row],[Vertex]],Vertices[],MATCH("ID",Vertices[[#Headers],[Vertex]:[Vertex Group]],0),FALSE)</f>
        <v>278</v>
      </c>
    </row>
    <row r="277" spans="1:3" ht="15">
      <c r="A277" s="79" t="s">
        <v>1605</v>
      </c>
      <c r="B277" s="96" t="s">
        <v>2242</v>
      </c>
      <c r="C277" s="78">
        <f>VLOOKUP(GroupVertices[[#This Row],[Vertex]],Vertices[],MATCH("ID",Vertices[[#Headers],[Vertex]:[Vertex Group]],0),FALSE)</f>
        <v>279</v>
      </c>
    </row>
    <row r="278" spans="1:3" ht="15">
      <c r="A278" s="79" t="s">
        <v>1605</v>
      </c>
      <c r="B278" s="96" t="s">
        <v>2243</v>
      </c>
      <c r="C278" s="78">
        <f>VLOOKUP(GroupVertices[[#This Row],[Vertex]],Vertices[],MATCH("ID",Vertices[[#Headers],[Vertex]:[Vertex Group]],0),FALSE)</f>
        <v>280</v>
      </c>
    </row>
    <row r="279" spans="1:3" ht="15">
      <c r="A279" s="79" t="s">
        <v>1605</v>
      </c>
      <c r="B279" s="96" t="s">
        <v>416</v>
      </c>
      <c r="C279" s="78">
        <f>VLOOKUP(GroupVertices[[#This Row],[Vertex]],Vertices[],MATCH("ID",Vertices[[#Headers],[Vertex]:[Vertex Group]],0),FALSE)</f>
        <v>281</v>
      </c>
    </row>
    <row r="280" spans="1:3" ht="15">
      <c r="A280" s="79" t="s">
        <v>1605</v>
      </c>
      <c r="B280" s="96" t="s">
        <v>417</v>
      </c>
      <c r="C280" s="78">
        <f>VLOOKUP(GroupVertices[[#This Row],[Vertex]],Vertices[],MATCH("ID",Vertices[[#Headers],[Vertex]:[Vertex Group]],0),FALSE)</f>
        <v>282</v>
      </c>
    </row>
    <row r="281" spans="1:3" ht="15">
      <c r="A281" s="79" t="s">
        <v>1605</v>
      </c>
      <c r="B281" s="96" t="s">
        <v>2244</v>
      </c>
      <c r="C281" s="78">
        <f>VLOOKUP(GroupVertices[[#This Row],[Vertex]],Vertices[],MATCH("ID",Vertices[[#Headers],[Vertex]:[Vertex Group]],0),FALSE)</f>
        <v>283</v>
      </c>
    </row>
    <row r="282" spans="1:3" ht="15">
      <c r="A282" s="79" t="s">
        <v>1605</v>
      </c>
      <c r="B282" s="96" t="s">
        <v>2245</v>
      </c>
      <c r="C282" s="78">
        <f>VLOOKUP(GroupVertices[[#This Row],[Vertex]],Vertices[],MATCH("ID",Vertices[[#Headers],[Vertex]:[Vertex Group]],0),FALSE)</f>
        <v>284</v>
      </c>
    </row>
    <row r="283" spans="1:3" ht="15">
      <c r="A283" s="79" t="s">
        <v>1605</v>
      </c>
      <c r="B283" s="96" t="s">
        <v>415</v>
      </c>
      <c r="C283" s="78">
        <f>VLOOKUP(GroupVertices[[#This Row],[Vertex]],Vertices[],MATCH("ID",Vertices[[#Headers],[Vertex]:[Vertex Group]],0),FALSE)</f>
        <v>285</v>
      </c>
    </row>
    <row r="284" spans="1:3" ht="15">
      <c r="A284" s="79" t="s">
        <v>1605</v>
      </c>
      <c r="B284" s="96" t="s">
        <v>418</v>
      </c>
      <c r="C284" s="78">
        <f>VLOOKUP(GroupVertices[[#This Row],[Vertex]],Vertices[],MATCH("ID",Vertices[[#Headers],[Vertex]:[Vertex Group]],0),FALSE)</f>
        <v>286</v>
      </c>
    </row>
    <row r="285" spans="1:3" ht="15">
      <c r="A285" s="79" t="s">
        <v>1644</v>
      </c>
      <c r="B285" s="96" t="s">
        <v>233</v>
      </c>
      <c r="C285" s="78">
        <f>VLOOKUP(GroupVertices[[#This Row],[Vertex]],Vertices[],MATCH("ID",Vertices[[#Headers],[Vertex]:[Vertex Group]],0),FALSE)</f>
        <v>15</v>
      </c>
    </row>
    <row r="286" spans="1:3" ht="15">
      <c r="A286" s="79" t="s">
        <v>1644</v>
      </c>
      <c r="B286" s="96" t="s">
        <v>476</v>
      </c>
      <c r="C286" s="78">
        <f>VLOOKUP(GroupVertices[[#This Row],[Vertex]],Vertices[],MATCH("ID",Vertices[[#Headers],[Vertex]:[Vertex Group]],0),FALSE)</f>
        <v>454</v>
      </c>
    </row>
    <row r="287" spans="1:3" ht="15">
      <c r="A287" s="79" t="s">
        <v>1644</v>
      </c>
      <c r="B287" s="96" t="s">
        <v>2333</v>
      </c>
      <c r="C287" s="78">
        <f>VLOOKUP(GroupVertices[[#This Row],[Vertex]],Vertices[],MATCH("ID",Vertices[[#Headers],[Vertex]:[Vertex Group]],0),FALSE)</f>
        <v>455</v>
      </c>
    </row>
    <row r="288" spans="1:3" ht="15">
      <c r="A288" s="79" t="s">
        <v>1644</v>
      </c>
      <c r="B288" s="96" t="s">
        <v>480</v>
      </c>
      <c r="C288" s="78">
        <f>VLOOKUP(GroupVertices[[#This Row],[Vertex]],Vertices[],MATCH("ID",Vertices[[#Headers],[Vertex]:[Vertex Group]],0),FALSE)</f>
        <v>456</v>
      </c>
    </row>
    <row r="289" spans="1:3" ht="15">
      <c r="A289" s="79" t="s">
        <v>1644</v>
      </c>
      <c r="B289" s="96" t="s">
        <v>477</v>
      </c>
      <c r="C289" s="78">
        <f>VLOOKUP(GroupVertices[[#This Row],[Vertex]],Vertices[],MATCH("ID",Vertices[[#Headers],[Vertex]:[Vertex Group]],0),FALSE)</f>
        <v>457</v>
      </c>
    </row>
    <row r="290" spans="1:3" ht="15">
      <c r="A290" s="79" t="s">
        <v>1644</v>
      </c>
      <c r="B290" s="96" t="s">
        <v>475</v>
      </c>
      <c r="C290" s="78">
        <f>VLOOKUP(GroupVertices[[#This Row],[Vertex]],Vertices[],MATCH("ID",Vertices[[#Headers],[Vertex]:[Vertex Group]],0),FALSE)</f>
        <v>458</v>
      </c>
    </row>
    <row r="291" spans="1:3" ht="15">
      <c r="A291" s="79" t="s">
        <v>1644</v>
      </c>
      <c r="B291" s="96" t="s">
        <v>496</v>
      </c>
      <c r="C291" s="78">
        <f>VLOOKUP(GroupVertices[[#This Row],[Vertex]],Vertices[],MATCH("ID",Vertices[[#Headers],[Vertex]:[Vertex Group]],0),FALSE)</f>
        <v>459</v>
      </c>
    </row>
    <row r="292" spans="1:3" ht="15">
      <c r="A292" s="79" t="s">
        <v>1644</v>
      </c>
      <c r="B292" s="96" t="s">
        <v>497</v>
      </c>
      <c r="C292" s="78">
        <f>VLOOKUP(GroupVertices[[#This Row],[Vertex]],Vertices[],MATCH("ID",Vertices[[#Headers],[Vertex]:[Vertex Group]],0),FALSE)</f>
        <v>460</v>
      </c>
    </row>
    <row r="293" spans="1:3" ht="15">
      <c r="A293" s="79" t="s">
        <v>1644</v>
      </c>
      <c r="B293" s="96" t="s">
        <v>479</v>
      </c>
      <c r="C293" s="78">
        <f>VLOOKUP(GroupVertices[[#This Row],[Vertex]],Vertices[],MATCH("ID",Vertices[[#Headers],[Vertex]:[Vertex Group]],0),FALSE)</f>
        <v>461</v>
      </c>
    </row>
    <row r="294" spans="1:3" ht="15">
      <c r="A294" s="79" t="s">
        <v>1644</v>
      </c>
      <c r="B294" s="96" t="s">
        <v>478</v>
      </c>
      <c r="C294" s="78">
        <f>VLOOKUP(GroupVertices[[#This Row],[Vertex]],Vertices[],MATCH("ID",Vertices[[#Headers],[Vertex]:[Vertex Group]],0),FALSE)</f>
        <v>463</v>
      </c>
    </row>
    <row r="295" spans="1:3" ht="15">
      <c r="A295" s="79" t="s">
        <v>1644</v>
      </c>
      <c r="B295" s="96" t="s">
        <v>481</v>
      </c>
      <c r="C295" s="78">
        <f>VLOOKUP(GroupVertices[[#This Row],[Vertex]],Vertices[],MATCH("ID",Vertices[[#Headers],[Vertex]:[Vertex Group]],0),FALSE)</f>
        <v>464</v>
      </c>
    </row>
    <row r="296" spans="1:3" ht="15">
      <c r="A296" s="79" t="s">
        <v>1644</v>
      </c>
      <c r="B296" s="96" t="s">
        <v>2334</v>
      </c>
      <c r="C296" s="78">
        <f>VLOOKUP(GroupVertices[[#This Row],[Vertex]],Vertices[],MATCH("ID",Vertices[[#Headers],[Vertex]:[Vertex Group]],0),FALSE)</f>
        <v>465</v>
      </c>
    </row>
    <row r="297" spans="1:3" ht="15">
      <c r="A297" s="79" t="s">
        <v>1644</v>
      </c>
      <c r="B297" s="96" t="s">
        <v>482</v>
      </c>
      <c r="C297" s="78">
        <f>VLOOKUP(GroupVertices[[#This Row],[Vertex]],Vertices[],MATCH("ID",Vertices[[#Headers],[Vertex]:[Vertex Group]],0),FALSE)</f>
        <v>466</v>
      </c>
    </row>
    <row r="298" spans="1:3" ht="15">
      <c r="A298" s="79" t="s">
        <v>1644</v>
      </c>
      <c r="B298" s="96" t="s">
        <v>2335</v>
      </c>
      <c r="C298" s="78">
        <f>VLOOKUP(GroupVertices[[#This Row],[Vertex]],Vertices[],MATCH("ID",Vertices[[#Headers],[Vertex]:[Vertex Group]],0),FALSE)</f>
        <v>467</v>
      </c>
    </row>
    <row r="299" spans="1:3" ht="15">
      <c r="A299" s="79" t="s">
        <v>1644</v>
      </c>
      <c r="B299" s="96" t="s">
        <v>483</v>
      </c>
      <c r="C299" s="78">
        <f>VLOOKUP(GroupVertices[[#This Row],[Vertex]],Vertices[],MATCH("ID",Vertices[[#Headers],[Vertex]:[Vertex Group]],0),FALSE)</f>
        <v>468</v>
      </c>
    </row>
    <row r="300" spans="1:3" ht="15">
      <c r="A300" s="79" t="s">
        <v>1644</v>
      </c>
      <c r="B300" s="96" t="s">
        <v>499</v>
      </c>
      <c r="C300" s="78">
        <f>VLOOKUP(GroupVertices[[#This Row],[Vertex]],Vertices[],MATCH("ID",Vertices[[#Headers],[Vertex]:[Vertex Group]],0),FALSE)</f>
        <v>469</v>
      </c>
    </row>
    <row r="301" spans="1:3" ht="15">
      <c r="A301" s="79" t="s">
        <v>1506</v>
      </c>
      <c r="B301" s="96" t="s">
        <v>235</v>
      </c>
      <c r="C301" s="78">
        <f>VLOOKUP(GroupVertices[[#This Row],[Vertex]],Vertices[],MATCH("ID",Vertices[[#Headers],[Vertex]:[Vertex Group]],0),FALSE)</f>
        <v>11</v>
      </c>
    </row>
    <row r="302" spans="1:3" ht="15">
      <c r="A302" s="79" t="s">
        <v>1506</v>
      </c>
      <c r="B302" s="96" t="s">
        <v>2380</v>
      </c>
      <c r="C302" s="78">
        <f>VLOOKUP(GroupVertices[[#This Row],[Vertex]],Vertices[],MATCH("ID",Vertices[[#Headers],[Vertex]:[Vertex Group]],0),FALSE)</f>
        <v>549</v>
      </c>
    </row>
    <row r="303" spans="1:3" ht="15">
      <c r="A303" s="79" t="s">
        <v>1506</v>
      </c>
      <c r="B303" s="96" t="s">
        <v>2381</v>
      </c>
      <c r="C303" s="78">
        <f>VLOOKUP(GroupVertices[[#This Row],[Vertex]],Vertices[],MATCH("ID",Vertices[[#Headers],[Vertex]:[Vertex Group]],0),FALSE)</f>
        <v>550</v>
      </c>
    </row>
    <row r="304" spans="1:3" ht="15">
      <c r="A304" s="79" t="s">
        <v>1506</v>
      </c>
      <c r="B304" s="96" t="s">
        <v>2382</v>
      </c>
      <c r="C304" s="78">
        <f>VLOOKUP(GroupVertices[[#This Row],[Vertex]],Vertices[],MATCH("ID",Vertices[[#Headers],[Vertex]:[Vertex Group]],0),FALSE)</f>
        <v>551</v>
      </c>
    </row>
    <row r="305" spans="1:3" ht="15">
      <c r="A305" s="79" t="s">
        <v>1506</v>
      </c>
      <c r="B305" s="96" t="s">
        <v>2383</v>
      </c>
      <c r="C305" s="78">
        <f>VLOOKUP(GroupVertices[[#This Row],[Vertex]],Vertices[],MATCH("ID",Vertices[[#Headers],[Vertex]:[Vertex Group]],0),FALSE)</f>
        <v>552</v>
      </c>
    </row>
    <row r="306" spans="1:3" ht="15">
      <c r="A306" s="79" t="s">
        <v>1506</v>
      </c>
      <c r="B306" s="96" t="s">
        <v>2384</v>
      </c>
      <c r="C306" s="78">
        <f>VLOOKUP(GroupVertices[[#This Row],[Vertex]],Vertices[],MATCH("ID",Vertices[[#Headers],[Vertex]:[Vertex Group]],0),FALSE)</f>
        <v>553</v>
      </c>
    </row>
    <row r="307" spans="1:3" ht="15">
      <c r="A307" s="79" t="s">
        <v>1506</v>
      </c>
      <c r="B307" s="96" t="s">
        <v>2385</v>
      </c>
      <c r="C307" s="78">
        <f>VLOOKUP(GroupVertices[[#This Row],[Vertex]],Vertices[],MATCH("ID",Vertices[[#Headers],[Vertex]:[Vertex Group]],0),FALSE)</f>
        <v>554</v>
      </c>
    </row>
    <row r="308" spans="1:3" ht="15">
      <c r="A308" s="79" t="s">
        <v>1506</v>
      </c>
      <c r="B308" s="96" t="s">
        <v>2386</v>
      </c>
      <c r="C308" s="78">
        <f>VLOOKUP(GroupVertices[[#This Row],[Vertex]],Vertices[],MATCH("ID",Vertices[[#Headers],[Vertex]:[Vertex Group]],0),FALSE)</f>
        <v>555</v>
      </c>
    </row>
    <row r="309" spans="1:3" ht="15">
      <c r="A309" s="79" t="s">
        <v>1506</v>
      </c>
      <c r="B309" s="96" t="s">
        <v>2387</v>
      </c>
      <c r="C309" s="78">
        <f>VLOOKUP(GroupVertices[[#This Row],[Vertex]],Vertices[],MATCH("ID",Vertices[[#Headers],[Vertex]:[Vertex Group]],0),FALSE)</f>
        <v>556</v>
      </c>
    </row>
    <row r="310" spans="1:3" ht="15">
      <c r="A310" s="79" t="s">
        <v>1506</v>
      </c>
      <c r="B310" s="96" t="s">
        <v>2388</v>
      </c>
      <c r="C310" s="78">
        <f>VLOOKUP(GroupVertices[[#This Row],[Vertex]],Vertices[],MATCH("ID",Vertices[[#Headers],[Vertex]:[Vertex Group]],0),FALSE)</f>
        <v>557</v>
      </c>
    </row>
    <row r="311" spans="1:3" ht="15">
      <c r="A311" s="79" t="s">
        <v>1506</v>
      </c>
      <c r="B311" s="96" t="s">
        <v>2389</v>
      </c>
      <c r="C311" s="78">
        <f>VLOOKUP(GroupVertices[[#This Row],[Vertex]],Vertices[],MATCH("ID",Vertices[[#Headers],[Vertex]:[Vertex Group]],0),FALSE)</f>
        <v>558</v>
      </c>
    </row>
    <row r="312" spans="1:3" ht="15">
      <c r="A312" s="79" t="s">
        <v>1506</v>
      </c>
      <c r="B312" s="96" t="s">
        <v>2390</v>
      </c>
      <c r="C312" s="78">
        <f>VLOOKUP(GroupVertices[[#This Row],[Vertex]],Vertices[],MATCH("ID",Vertices[[#Headers],[Vertex]:[Vertex Group]],0),FALSE)</f>
        <v>559</v>
      </c>
    </row>
    <row r="313" spans="1:3" ht="15">
      <c r="A313" s="79" t="s">
        <v>1506</v>
      </c>
      <c r="B313" s="96" t="s">
        <v>2391</v>
      </c>
      <c r="C313" s="78">
        <f>VLOOKUP(GroupVertices[[#This Row],[Vertex]],Vertices[],MATCH("ID",Vertices[[#Headers],[Vertex]:[Vertex Group]],0),FALSE)</f>
        <v>560</v>
      </c>
    </row>
    <row r="314" spans="1:3" ht="15">
      <c r="A314" s="79" t="s">
        <v>1506</v>
      </c>
      <c r="B314" s="96" t="s">
        <v>2392</v>
      </c>
      <c r="C314" s="78">
        <f>VLOOKUP(GroupVertices[[#This Row],[Vertex]],Vertices[],MATCH("ID",Vertices[[#Headers],[Vertex]:[Vertex Group]],0),FALSE)</f>
        <v>561</v>
      </c>
    </row>
    <row r="315" spans="1:3" ht="15">
      <c r="A315" s="79" t="s">
        <v>1668</v>
      </c>
      <c r="B315" s="96" t="s">
        <v>236</v>
      </c>
      <c r="C315" s="78">
        <f>VLOOKUP(GroupVertices[[#This Row],[Vertex]],Vertices[],MATCH("ID",Vertices[[#Headers],[Vertex]:[Vertex Group]],0),FALSE)</f>
        <v>19</v>
      </c>
    </row>
    <row r="316" spans="1:3" ht="15">
      <c r="A316" s="79" t="s">
        <v>1668</v>
      </c>
      <c r="B316" s="96" t="s">
        <v>533</v>
      </c>
      <c r="C316" s="78">
        <f>VLOOKUP(GroupVertices[[#This Row],[Vertex]],Vertices[],MATCH("ID",Vertices[[#Headers],[Vertex]:[Vertex Group]],0),FALSE)</f>
        <v>575</v>
      </c>
    </row>
    <row r="317" spans="1:3" ht="15">
      <c r="A317" s="79" t="s">
        <v>1668</v>
      </c>
      <c r="B317" s="96" t="s">
        <v>2403</v>
      </c>
      <c r="C317" s="78">
        <f>VLOOKUP(GroupVertices[[#This Row],[Vertex]],Vertices[],MATCH("ID",Vertices[[#Headers],[Vertex]:[Vertex Group]],0),FALSE)</f>
        <v>576</v>
      </c>
    </row>
    <row r="318" spans="1:3" ht="15">
      <c r="A318" s="79" t="s">
        <v>1668</v>
      </c>
      <c r="B318" s="96" t="s">
        <v>538</v>
      </c>
      <c r="C318" s="78">
        <f>VLOOKUP(GroupVertices[[#This Row],[Vertex]],Vertices[],MATCH("ID",Vertices[[#Headers],[Vertex]:[Vertex Group]],0),FALSE)</f>
        <v>577</v>
      </c>
    </row>
    <row r="319" spans="1:3" ht="15">
      <c r="A319" s="79" t="s">
        <v>1668</v>
      </c>
      <c r="B319" s="96" t="s">
        <v>539</v>
      </c>
      <c r="C319" s="78">
        <f>VLOOKUP(GroupVertices[[#This Row],[Vertex]],Vertices[],MATCH("ID",Vertices[[#Headers],[Vertex]:[Vertex Group]],0),FALSE)</f>
        <v>578</v>
      </c>
    </row>
    <row r="320" spans="1:3" ht="15">
      <c r="A320" s="79" t="s">
        <v>1668</v>
      </c>
      <c r="B320" s="96" t="s">
        <v>535</v>
      </c>
      <c r="C320" s="78">
        <f>VLOOKUP(GroupVertices[[#This Row],[Vertex]],Vertices[],MATCH("ID",Vertices[[#Headers],[Vertex]:[Vertex Group]],0),FALSE)</f>
        <v>579</v>
      </c>
    </row>
    <row r="321" spans="1:3" ht="15">
      <c r="A321" s="79" t="s">
        <v>1668</v>
      </c>
      <c r="B321" s="96" t="s">
        <v>536</v>
      </c>
      <c r="C321" s="78">
        <f>VLOOKUP(GroupVertices[[#This Row],[Vertex]],Vertices[],MATCH("ID",Vertices[[#Headers],[Vertex]:[Vertex Group]],0),FALSE)</f>
        <v>580</v>
      </c>
    </row>
    <row r="322" spans="1:3" ht="15">
      <c r="A322" s="79" t="s">
        <v>1668</v>
      </c>
      <c r="B322" s="96" t="s">
        <v>534</v>
      </c>
      <c r="C322" s="78">
        <f>VLOOKUP(GroupVertices[[#This Row],[Vertex]],Vertices[],MATCH("ID",Vertices[[#Headers],[Vertex]:[Vertex Group]],0),FALSE)</f>
        <v>581</v>
      </c>
    </row>
    <row r="323" spans="1:3" ht="15">
      <c r="A323" s="79" t="s">
        <v>1668</v>
      </c>
      <c r="B323" s="96" t="s">
        <v>540</v>
      </c>
      <c r="C323" s="78">
        <f>VLOOKUP(GroupVertices[[#This Row],[Vertex]],Vertices[],MATCH("ID",Vertices[[#Headers],[Vertex]:[Vertex Group]],0),FALSE)</f>
        <v>582</v>
      </c>
    </row>
    <row r="324" spans="1:3" ht="15">
      <c r="A324" s="79" t="s">
        <v>1668</v>
      </c>
      <c r="B324" s="96" t="s">
        <v>542</v>
      </c>
      <c r="C324" s="78">
        <f>VLOOKUP(GroupVertices[[#This Row],[Vertex]],Vertices[],MATCH("ID",Vertices[[#Headers],[Vertex]:[Vertex Group]],0),FALSE)</f>
        <v>583</v>
      </c>
    </row>
    <row r="325" spans="1:3" ht="15">
      <c r="A325" s="79" t="s">
        <v>1668</v>
      </c>
      <c r="B325" s="96" t="s">
        <v>2404</v>
      </c>
      <c r="C325" s="78">
        <f>VLOOKUP(GroupVertices[[#This Row],[Vertex]],Vertices[],MATCH("ID",Vertices[[#Headers],[Vertex]:[Vertex Group]],0),FALSE)</f>
        <v>584</v>
      </c>
    </row>
    <row r="326" spans="1:3" ht="15">
      <c r="A326" s="79" t="s">
        <v>1668</v>
      </c>
      <c r="B326" s="96" t="s">
        <v>537</v>
      </c>
      <c r="C326" s="78">
        <f>VLOOKUP(GroupVertices[[#This Row],[Vertex]],Vertices[],MATCH("ID",Vertices[[#Headers],[Vertex]:[Vertex Group]],0),FALSE)</f>
        <v>585</v>
      </c>
    </row>
    <row r="327" spans="1:3" ht="15">
      <c r="A327" s="79" t="s">
        <v>1668</v>
      </c>
      <c r="B327" s="96" t="s">
        <v>543</v>
      </c>
      <c r="C327" s="78">
        <f>VLOOKUP(GroupVertices[[#This Row],[Vertex]],Vertices[],MATCH("ID",Vertices[[#Headers],[Vertex]:[Vertex Group]],0),FALSE)</f>
        <v>586</v>
      </c>
    </row>
    <row r="328" spans="1:3" ht="15">
      <c r="A328" s="79" t="s">
        <v>1545</v>
      </c>
      <c r="B328" s="96" t="s">
        <v>196</v>
      </c>
      <c r="C328" s="78">
        <f>VLOOKUP(GroupVertices[[#This Row],[Vertex]],Vertices[],MATCH("ID",Vertices[[#Headers],[Vertex]:[Vertex Group]],0),FALSE)</f>
        <v>26</v>
      </c>
    </row>
    <row r="329" spans="1:3" ht="15">
      <c r="A329" s="79" t="s">
        <v>1545</v>
      </c>
      <c r="B329" s="96" t="s">
        <v>290</v>
      </c>
      <c r="C329" s="78">
        <f>VLOOKUP(GroupVertices[[#This Row],[Vertex]],Vertices[],MATCH("ID",Vertices[[#Headers],[Vertex]:[Vertex Group]],0),FALSE)</f>
        <v>151</v>
      </c>
    </row>
    <row r="330" spans="1:3" ht="15">
      <c r="A330" s="79" t="s">
        <v>1545</v>
      </c>
      <c r="B330" s="96" t="s">
        <v>2158</v>
      </c>
      <c r="C330" s="78">
        <f>VLOOKUP(GroupVertices[[#This Row],[Vertex]],Vertices[],MATCH("ID",Vertices[[#Headers],[Vertex]:[Vertex Group]],0),FALSE)</f>
        <v>152</v>
      </c>
    </row>
    <row r="331" spans="1:3" ht="15">
      <c r="A331" s="79" t="s">
        <v>1545</v>
      </c>
      <c r="B331" s="96" t="s">
        <v>291</v>
      </c>
      <c r="C331" s="78">
        <f>VLOOKUP(GroupVertices[[#This Row],[Vertex]],Vertices[],MATCH("ID",Vertices[[#Headers],[Vertex]:[Vertex Group]],0),FALSE)</f>
        <v>153</v>
      </c>
    </row>
    <row r="332" spans="1:3" ht="15">
      <c r="A332" s="79" t="s">
        <v>1545</v>
      </c>
      <c r="B332" s="96" t="s">
        <v>292</v>
      </c>
      <c r="C332" s="78">
        <f>VLOOKUP(GroupVertices[[#This Row],[Vertex]],Vertices[],MATCH("ID",Vertices[[#Headers],[Vertex]:[Vertex Group]],0),FALSE)</f>
        <v>154</v>
      </c>
    </row>
    <row r="333" spans="1:3" ht="15">
      <c r="A333" s="79" t="s">
        <v>1545</v>
      </c>
      <c r="B333" s="96" t="s">
        <v>293</v>
      </c>
      <c r="C333" s="78">
        <f>VLOOKUP(GroupVertices[[#This Row],[Vertex]],Vertices[],MATCH("ID",Vertices[[#Headers],[Vertex]:[Vertex Group]],0),FALSE)</f>
        <v>155</v>
      </c>
    </row>
    <row r="334" spans="1:3" ht="15">
      <c r="A334" s="79" t="s">
        <v>1545</v>
      </c>
      <c r="B334" s="96" t="s">
        <v>306</v>
      </c>
      <c r="C334" s="78">
        <f>VLOOKUP(GroupVertices[[#This Row],[Vertex]],Vertices[],MATCH("ID",Vertices[[#Headers],[Vertex]:[Vertex Group]],0),FALSE)</f>
        <v>156</v>
      </c>
    </row>
    <row r="335" spans="1:3" ht="15">
      <c r="A335" s="79" t="s">
        <v>1545</v>
      </c>
      <c r="B335" s="96" t="s">
        <v>294</v>
      </c>
      <c r="C335" s="78">
        <f>VLOOKUP(GroupVertices[[#This Row],[Vertex]],Vertices[],MATCH("ID",Vertices[[#Headers],[Vertex]:[Vertex Group]],0),FALSE)</f>
        <v>157</v>
      </c>
    </row>
    <row r="336" spans="1:3" ht="15">
      <c r="A336" s="79" t="s">
        <v>1503</v>
      </c>
      <c r="B336" s="96" t="s">
        <v>319</v>
      </c>
      <c r="C336" s="78">
        <f>VLOOKUP(GroupVertices[[#This Row],[Vertex]],Vertices[],MATCH("ID",Vertices[[#Headers],[Vertex]:[Vertex Group]],0),FALSE)</f>
        <v>232</v>
      </c>
    </row>
    <row r="337" spans="1:3" ht="15">
      <c r="A337" s="79" t="s">
        <v>1503</v>
      </c>
      <c r="B337" s="96" t="s">
        <v>421</v>
      </c>
      <c r="C337" s="78">
        <f>VLOOKUP(GroupVertices[[#This Row],[Vertex]],Vertices[],MATCH("ID",Vertices[[#Headers],[Vertex]:[Vertex Group]],0),FALSE)</f>
        <v>234</v>
      </c>
    </row>
    <row r="338" spans="1:3" ht="15">
      <c r="A338" s="79" t="s">
        <v>1503</v>
      </c>
      <c r="B338" s="96" t="s">
        <v>420</v>
      </c>
      <c r="C338" s="78">
        <f>VLOOKUP(GroupVertices[[#This Row],[Vertex]],Vertices[],MATCH("ID",Vertices[[#Headers],[Vertex]:[Vertex Group]],0),FALSE)</f>
        <v>237</v>
      </c>
    </row>
    <row r="339" spans="1:3" ht="15">
      <c r="A339" s="79" t="s">
        <v>1503</v>
      </c>
      <c r="B339" s="96" t="s">
        <v>320</v>
      </c>
      <c r="C339" s="78">
        <f>VLOOKUP(GroupVertices[[#This Row],[Vertex]],Vertices[],MATCH("ID",Vertices[[#Headers],[Vertex]:[Vertex Group]],0),FALSE)</f>
        <v>240</v>
      </c>
    </row>
    <row r="340" spans="1:3" ht="15">
      <c r="A340" s="79" t="s">
        <v>1503</v>
      </c>
      <c r="B340" s="96" t="s">
        <v>562</v>
      </c>
      <c r="C340" s="78">
        <f>VLOOKUP(GroupVertices[[#This Row],[Vertex]],Vertices[],MATCH("ID",Vertices[[#Headers],[Vertex]:[Vertex Group]],0),FALSE)</f>
        <v>254</v>
      </c>
    </row>
    <row r="341" spans="1:3" ht="15">
      <c r="A341" s="79" t="s">
        <v>1503</v>
      </c>
      <c r="B341" s="96" t="s">
        <v>423</v>
      </c>
      <c r="C341" s="78">
        <f>VLOOKUP(GroupVertices[[#This Row],[Vertex]],Vertices[],MATCH("ID",Vertices[[#Headers],[Vertex]:[Vertex Group]],0),FALSE)</f>
        <v>255</v>
      </c>
    </row>
    <row r="342" spans="1:3" ht="15">
      <c r="A342" s="79" t="s">
        <v>1503</v>
      </c>
      <c r="B342" s="96" t="s">
        <v>264</v>
      </c>
      <c r="C342" s="78">
        <f>VLOOKUP(GroupVertices[[#This Row],[Vertex]],Vertices[],MATCH("ID",Vertices[[#Headers],[Vertex]:[Vertex Group]],0),FALSE)</f>
        <v>562</v>
      </c>
    </row>
    <row r="343" spans="1:3" ht="15">
      <c r="A343" s="79" t="s">
        <v>1503</v>
      </c>
      <c r="B343" s="96" t="s">
        <v>532</v>
      </c>
      <c r="C343" s="78">
        <f>VLOOKUP(GroupVertices[[#This Row],[Vertex]],Vertices[],MATCH("ID",Vertices[[#Headers],[Vertex]:[Vertex Group]],0),FALSE)</f>
        <v>563</v>
      </c>
    </row>
    <row r="344" spans="1:3" ht="15">
      <c r="A344" s="79" t="s">
        <v>1565</v>
      </c>
      <c r="B344" s="96" t="s">
        <v>204</v>
      </c>
      <c r="C344" s="78">
        <f>VLOOKUP(GroupVertices[[#This Row],[Vertex]],Vertices[],MATCH("ID",Vertices[[#Headers],[Vertex]:[Vertex Group]],0),FALSE)</f>
        <v>35</v>
      </c>
    </row>
    <row r="345" spans="1:3" ht="15">
      <c r="A345" s="79" t="s">
        <v>1565</v>
      </c>
      <c r="B345" s="96" t="s">
        <v>2149</v>
      </c>
      <c r="C345" s="78">
        <f>VLOOKUP(GroupVertices[[#This Row],[Vertex]],Vertices[],MATCH("ID",Vertices[[#Headers],[Vertex]:[Vertex Group]],0),FALSE)</f>
        <v>103</v>
      </c>
    </row>
    <row r="346" spans="1:3" ht="15">
      <c r="A346" s="79" t="s">
        <v>1565</v>
      </c>
      <c r="B346" s="96" t="s">
        <v>2150</v>
      </c>
      <c r="C346" s="78">
        <f>VLOOKUP(GroupVertices[[#This Row],[Vertex]],Vertices[],MATCH("ID",Vertices[[#Headers],[Vertex]:[Vertex Group]],0),FALSE)</f>
        <v>104</v>
      </c>
    </row>
    <row r="347" spans="1:3" ht="15">
      <c r="A347" s="79" t="s">
        <v>1565</v>
      </c>
      <c r="B347" s="96" t="s">
        <v>2151</v>
      </c>
      <c r="C347" s="78">
        <f>VLOOKUP(GroupVertices[[#This Row],[Vertex]],Vertices[],MATCH("ID",Vertices[[#Headers],[Vertex]:[Vertex Group]],0),FALSE)</f>
        <v>105</v>
      </c>
    </row>
    <row r="348" spans="1:3" ht="15">
      <c r="A348" s="79" t="s">
        <v>1565</v>
      </c>
      <c r="B348" s="96" t="s">
        <v>325</v>
      </c>
      <c r="C348" s="78">
        <f>VLOOKUP(GroupVertices[[#This Row],[Vertex]],Vertices[],MATCH("ID",Vertices[[#Headers],[Vertex]:[Vertex Group]],0),FALSE)</f>
        <v>106</v>
      </c>
    </row>
    <row r="349" spans="1:3" ht="15">
      <c r="A349" s="79" t="s">
        <v>1565</v>
      </c>
      <c r="B349" s="96" t="s">
        <v>323</v>
      </c>
      <c r="C349" s="78">
        <f>VLOOKUP(GroupVertices[[#This Row],[Vertex]],Vertices[],MATCH("ID",Vertices[[#Headers],[Vertex]:[Vertex Group]],0),FALSE)</f>
        <v>107</v>
      </c>
    </row>
    <row r="350" spans="1:3" ht="15">
      <c r="A350" s="79" t="s">
        <v>1565</v>
      </c>
      <c r="B350" s="96" t="s">
        <v>324</v>
      </c>
      <c r="C350" s="78">
        <f>VLOOKUP(GroupVertices[[#This Row],[Vertex]],Vertices[],MATCH("ID",Vertices[[#Headers],[Vertex]:[Vertex Group]],0),FALSE)</f>
        <v>108</v>
      </c>
    </row>
    <row r="351" spans="1:3" ht="15">
      <c r="A351" s="79" t="s">
        <v>1528</v>
      </c>
      <c r="B351" s="96" t="s">
        <v>577</v>
      </c>
      <c r="C351" s="78">
        <f>VLOOKUP(GroupVertices[[#This Row],[Vertex]],Vertices[],MATCH("ID",Vertices[[#Headers],[Vertex]:[Vertex Group]],0),FALSE)</f>
        <v>607</v>
      </c>
    </row>
    <row r="352" spans="1:3" ht="15">
      <c r="A352" s="79" t="s">
        <v>1528</v>
      </c>
      <c r="B352" s="96" t="s">
        <v>242</v>
      </c>
      <c r="C352" s="78">
        <f>VLOOKUP(GroupVertices[[#This Row],[Vertex]],Vertices[],MATCH("ID",Vertices[[#Headers],[Vertex]:[Vertex Group]],0),FALSE)</f>
        <v>29</v>
      </c>
    </row>
    <row r="353" spans="1:3" ht="15">
      <c r="A353" s="79" t="s">
        <v>1528</v>
      </c>
      <c r="B353" s="96" t="s">
        <v>576</v>
      </c>
      <c r="C353" s="78">
        <f>VLOOKUP(GroupVertices[[#This Row],[Vertex]],Vertices[],MATCH("ID",Vertices[[#Headers],[Vertex]:[Vertex Group]],0),FALSE)</f>
        <v>669</v>
      </c>
    </row>
    <row r="354" spans="1:3" ht="15">
      <c r="A354" s="79" t="s">
        <v>1528</v>
      </c>
      <c r="B354" s="96" t="s">
        <v>578</v>
      </c>
      <c r="C354" s="78">
        <f>VLOOKUP(GroupVertices[[#This Row],[Vertex]],Vertices[],MATCH("ID",Vertices[[#Headers],[Vertex]:[Vertex Group]],0),FALSE)</f>
        <v>670</v>
      </c>
    </row>
    <row r="355" spans="1:3" ht="15">
      <c r="A355" s="79" t="s">
        <v>1528</v>
      </c>
      <c r="B355" s="96" t="s">
        <v>273</v>
      </c>
      <c r="C355" s="78">
        <f>VLOOKUP(GroupVertices[[#This Row],[Vertex]],Vertices[],MATCH("ID",Vertices[[#Headers],[Vertex]:[Vertex Group]],0),FALSE)</f>
        <v>671</v>
      </c>
    </row>
    <row r="356" spans="1:3" ht="15">
      <c r="A356" s="79" t="s">
        <v>1528</v>
      </c>
      <c r="B356" s="96" t="s">
        <v>579</v>
      </c>
      <c r="C356" s="78">
        <f>VLOOKUP(GroupVertices[[#This Row],[Vertex]],Vertices[],MATCH("ID",Vertices[[#Headers],[Vertex]:[Vertex Group]],0),FALSE)</f>
        <v>672</v>
      </c>
    </row>
    <row r="357" spans="1:3" ht="15">
      <c r="A357" s="79" t="s">
        <v>1564</v>
      </c>
      <c r="B357" s="96" t="s">
        <v>237</v>
      </c>
      <c r="C357" s="78">
        <f>VLOOKUP(GroupVertices[[#This Row],[Vertex]],Vertices[],MATCH("ID",Vertices[[#Headers],[Vertex]:[Vertex Group]],0),FALSE)</f>
        <v>40</v>
      </c>
    </row>
    <row r="358" spans="1:3" ht="15">
      <c r="A358" s="79" t="s">
        <v>1564</v>
      </c>
      <c r="B358" s="96" t="s">
        <v>2409</v>
      </c>
      <c r="C358" s="78">
        <f>VLOOKUP(GroupVertices[[#This Row],[Vertex]],Vertices[],MATCH("ID",Vertices[[#Headers],[Vertex]:[Vertex Group]],0),FALSE)</f>
        <v>592</v>
      </c>
    </row>
    <row r="359" spans="1:3" ht="15">
      <c r="A359" s="79" t="s">
        <v>1564</v>
      </c>
      <c r="B359" s="96" t="s">
        <v>545</v>
      </c>
      <c r="C359" s="78">
        <f>VLOOKUP(GroupVertices[[#This Row],[Vertex]],Vertices[],MATCH("ID",Vertices[[#Headers],[Vertex]:[Vertex Group]],0),FALSE)</f>
        <v>593</v>
      </c>
    </row>
    <row r="360" spans="1:3" ht="15">
      <c r="A360" s="79" t="s">
        <v>1564</v>
      </c>
      <c r="B360" s="96" t="s">
        <v>544</v>
      </c>
      <c r="C360" s="78">
        <f>VLOOKUP(GroupVertices[[#This Row],[Vertex]],Vertices[],MATCH("ID",Vertices[[#Headers],[Vertex]:[Vertex Group]],0),FALSE)</f>
        <v>594</v>
      </c>
    </row>
    <row r="361" spans="1:3" ht="15">
      <c r="A361" s="79" t="s">
        <v>1564</v>
      </c>
      <c r="B361" s="96" t="s">
        <v>546</v>
      </c>
      <c r="C361" s="78">
        <f>VLOOKUP(GroupVertices[[#This Row],[Vertex]],Vertices[],MATCH("ID",Vertices[[#Headers],[Vertex]:[Vertex Group]],0),FALSE)</f>
        <v>595</v>
      </c>
    </row>
    <row r="362" spans="1:3" ht="15">
      <c r="A362" s="79" t="s">
        <v>1520</v>
      </c>
      <c r="B362" s="96" t="s">
        <v>238</v>
      </c>
      <c r="C362" s="78">
        <f>VLOOKUP(GroupVertices[[#This Row],[Vertex]],Vertices[],MATCH("ID",Vertices[[#Headers],[Vertex]:[Vertex Group]],0),FALSE)</f>
        <v>20</v>
      </c>
    </row>
    <row r="363" spans="1:3" ht="15">
      <c r="A363" s="79" t="s">
        <v>1520</v>
      </c>
      <c r="B363" s="96" t="s">
        <v>549</v>
      </c>
      <c r="C363" s="78">
        <f>VLOOKUP(GroupVertices[[#This Row],[Vertex]],Vertices[],MATCH("ID",Vertices[[#Headers],[Vertex]:[Vertex Group]],0),FALSE)</f>
        <v>608</v>
      </c>
    </row>
    <row r="364" spans="1:3" ht="15">
      <c r="A364" s="79" t="s">
        <v>1520</v>
      </c>
      <c r="B364" s="96" t="s">
        <v>547</v>
      </c>
      <c r="C364" s="78">
        <f>VLOOKUP(GroupVertices[[#This Row],[Vertex]],Vertices[],MATCH("ID",Vertices[[#Headers],[Vertex]:[Vertex Group]],0),FALSE)</f>
        <v>609</v>
      </c>
    </row>
    <row r="365" spans="1:3" ht="15">
      <c r="A365" s="79" t="s">
        <v>1520</v>
      </c>
      <c r="B365" s="96" t="s">
        <v>551</v>
      </c>
      <c r="C365" s="78">
        <f>VLOOKUP(GroupVertices[[#This Row],[Vertex]],Vertices[],MATCH("ID",Vertices[[#Headers],[Vertex]:[Vertex Group]],0),FALSE)</f>
        <v>611</v>
      </c>
    </row>
    <row r="366" spans="1:3" ht="15">
      <c r="A366" s="79" t="s">
        <v>1520</v>
      </c>
      <c r="B366" s="96" t="s">
        <v>550</v>
      </c>
      <c r="C366" s="78">
        <f>VLOOKUP(GroupVertices[[#This Row],[Vertex]],Vertices[],MATCH("ID",Vertices[[#Headers],[Vertex]:[Vertex Group]],0),FALSE)</f>
        <v>612</v>
      </c>
    </row>
    <row r="367" spans="1:3" ht="15">
      <c r="A367" s="79" t="s">
        <v>1523</v>
      </c>
      <c r="B367" s="96" t="s">
        <v>246</v>
      </c>
      <c r="C367" s="78">
        <f>VLOOKUP(GroupVertices[[#This Row],[Vertex]],Vertices[],MATCH("ID",Vertices[[#Headers],[Vertex]:[Vertex Group]],0),FALSE)</f>
        <v>31</v>
      </c>
    </row>
    <row r="368" spans="1:3" ht="15">
      <c r="A368" s="79" t="s">
        <v>1523</v>
      </c>
      <c r="B368" s="96" t="s">
        <v>2557</v>
      </c>
      <c r="C368" s="78">
        <f>VLOOKUP(GroupVertices[[#This Row],[Vertex]],Vertices[],MATCH("ID",Vertices[[#Headers],[Vertex]:[Vertex Group]],0),FALSE)</f>
        <v>813</v>
      </c>
    </row>
    <row r="369" spans="1:3" ht="15">
      <c r="A369" s="79" t="s">
        <v>1523</v>
      </c>
      <c r="B369" s="96" t="s">
        <v>604</v>
      </c>
      <c r="C369" s="78">
        <f>VLOOKUP(GroupVertices[[#This Row],[Vertex]],Vertices[],MATCH("ID",Vertices[[#Headers],[Vertex]:[Vertex Group]],0),FALSE)</f>
        <v>814</v>
      </c>
    </row>
    <row r="370" spans="1:3" ht="15">
      <c r="A370" s="79" t="s">
        <v>1523</v>
      </c>
      <c r="B370" s="96" t="s">
        <v>606</v>
      </c>
      <c r="C370" s="78">
        <f>VLOOKUP(GroupVertices[[#This Row],[Vertex]],Vertices[],MATCH("ID",Vertices[[#Headers],[Vertex]:[Vertex Group]],0),FALSE)</f>
        <v>815</v>
      </c>
    </row>
    <row r="371" spans="1:3" ht="15">
      <c r="A371" s="79" t="s">
        <v>1523</v>
      </c>
      <c r="B371" s="96" t="s">
        <v>605</v>
      </c>
      <c r="C371" s="78">
        <f>VLOOKUP(GroupVertices[[#This Row],[Vertex]],Vertices[],MATCH("ID",Vertices[[#Headers],[Vertex]:[Vertex Group]],0),FALSE)</f>
        <v>816</v>
      </c>
    </row>
    <row r="372" spans="1:3" ht="15">
      <c r="A372" s="79" t="s">
        <v>1583</v>
      </c>
      <c r="B372" s="96" t="s">
        <v>213</v>
      </c>
      <c r="C372" s="78">
        <f>VLOOKUP(GroupVertices[[#This Row],[Vertex]],Vertices[],MATCH("ID",Vertices[[#Headers],[Vertex]:[Vertex Group]],0),FALSE)</f>
        <v>21</v>
      </c>
    </row>
    <row r="373" spans="1:3" ht="15">
      <c r="A373" s="79" t="s">
        <v>1583</v>
      </c>
      <c r="B373" s="96" t="s">
        <v>384</v>
      </c>
      <c r="C373" s="78">
        <f>VLOOKUP(GroupVertices[[#This Row],[Vertex]],Vertices[],MATCH("ID",Vertices[[#Headers],[Vertex]:[Vertex Group]],0),FALSE)</f>
        <v>70</v>
      </c>
    </row>
    <row r="374" spans="1:3" ht="15">
      <c r="A374" s="79" t="s">
        <v>1583</v>
      </c>
      <c r="B374" s="96" t="s">
        <v>378</v>
      </c>
      <c r="C374" s="78">
        <f>VLOOKUP(GroupVertices[[#This Row],[Vertex]],Vertices[],MATCH("ID",Vertices[[#Headers],[Vertex]:[Vertex Group]],0),FALSE)</f>
        <v>71</v>
      </c>
    </row>
    <row r="375" spans="1:3" ht="15">
      <c r="A375" s="79" t="s">
        <v>1583</v>
      </c>
      <c r="B375" s="96" t="s">
        <v>383</v>
      </c>
      <c r="C375" s="78">
        <f>VLOOKUP(GroupVertices[[#This Row],[Vertex]],Vertices[],MATCH("ID",Vertices[[#Headers],[Vertex]:[Vertex Group]],0),FALSE)</f>
        <v>72</v>
      </c>
    </row>
    <row r="376" spans="1:3" ht="15">
      <c r="A376" s="79" t="s">
        <v>1583</v>
      </c>
      <c r="B376" s="96" t="s">
        <v>379</v>
      </c>
      <c r="C376" s="78">
        <f>VLOOKUP(GroupVertices[[#This Row],[Vertex]],Vertices[],MATCH("ID",Vertices[[#Headers],[Vertex]:[Vertex Group]],0),FALSE)</f>
        <v>73</v>
      </c>
    </row>
    <row r="377" spans="1:3" ht="15">
      <c r="A377" s="79" t="s">
        <v>1527</v>
      </c>
      <c r="B377" s="96" t="s">
        <v>595</v>
      </c>
      <c r="C377" s="78">
        <f>VLOOKUP(GroupVertices[[#This Row],[Vertex]],Vertices[],MATCH("ID",Vertices[[#Headers],[Vertex]:[Vertex Group]],0),FALSE)</f>
        <v>866</v>
      </c>
    </row>
    <row r="378" spans="1:3" ht="15">
      <c r="A378" s="79" t="s">
        <v>1527</v>
      </c>
      <c r="B378" s="96" t="s">
        <v>556</v>
      </c>
      <c r="C378" s="78">
        <f>VLOOKUP(GroupVertices[[#This Row],[Vertex]],Vertices[],MATCH("ID",Vertices[[#Headers],[Vertex]:[Vertex Group]],0),FALSE)</f>
        <v>888</v>
      </c>
    </row>
    <row r="379" spans="1:3" ht="15">
      <c r="A379" s="79" t="s">
        <v>1527</v>
      </c>
      <c r="B379" s="96" t="s">
        <v>2357</v>
      </c>
      <c r="C379" s="78">
        <f>VLOOKUP(GroupVertices[[#This Row],[Vertex]],Vertices[],MATCH("ID",Vertices[[#Headers],[Vertex]:[Vertex Group]],0),FALSE)</f>
        <v>491</v>
      </c>
    </row>
    <row r="380" spans="1:3" ht="15">
      <c r="A380" s="79" t="s">
        <v>1527</v>
      </c>
      <c r="B380" s="96" t="s">
        <v>374</v>
      </c>
      <c r="C380" s="78">
        <f>VLOOKUP(GroupVertices[[#This Row],[Vertex]],Vertices[],MATCH("ID",Vertices[[#Headers],[Vertex]:[Vertex Group]],0),FALSE)</f>
        <v>493</v>
      </c>
    </row>
    <row r="381" spans="1:3" ht="15">
      <c r="A381" s="79" t="s">
        <v>1530</v>
      </c>
      <c r="B381" s="96" t="s">
        <v>276</v>
      </c>
      <c r="C381" s="78">
        <f>VLOOKUP(GroupVertices[[#This Row],[Vertex]],Vertices[],MATCH("ID",Vertices[[#Headers],[Vertex]:[Vertex Group]],0),FALSE)</f>
        <v>878</v>
      </c>
    </row>
    <row r="382" spans="1:3" ht="15">
      <c r="A382" s="79" t="s">
        <v>1530</v>
      </c>
      <c r="B382" s="96" t="s">
        <v>283</v>
      </c>
      <c r="C382" s="78">
        <f>VLOOKUP(GroupVertices[[#This Row],[Vertex]],Vertices[],MATCH("ID",Vertices[[#Headers],[Vertex]:[Vertex Group]],0),FALSE)</f>
        <v>890</v>
      </c>
    </row>
    <row r="383" spans="1:3" ht="15">
      <c r="A383" s="79" t="s">
        <v>1530</v>
      </c>
      <c r="B383" s="96" t="s">
        <v>350</v>
      </c>
      <c r="C383" s="78">
        <f>VLOOKUP(GroupVertices[[#This Row],[Vertex]],Vertices[],MATCH("ID",Vertices[[#Headers],[Vertex]:[Vertex Group]],0),FALSE)</f>
        <v>314</v>
      </c>
    </row>
    <row r="384" spans="1:3" ht="15">
      <c r="A384" s="79" t="s">
        <v>1530</v>
      </c>
      <c r="B384" s="96" t="s">
        <v>572</v>
      </c>
      <c r="C384" s="78">
        <f>VLOOKUP(GroupVertices[[#This Row],[Vertex]],Vertices[],MATCH("ID",Vertices[[#Headers],[Vertex]:[Vertex Group]],0),FALSE)</f>
        <v>327</v>
      </c>
    </row>
    <row r="385" spans="1:3" ht="15">
      <c r="A385" s="79" t="s">
        <v>1525</v>
      </c>
      <c r="B385" s="96" t="s">
        <v>274</v>
      </c>
      <c r="C385" s="78">
        <f>VLOOKUP(GroupVertices[[#This Row],[Vertex]],Vertices[],MATCH("ID",Vertices[[#Headers],[Vertex]:[Vertex Group]],0),FALSE)</f>
        <v>692</v>
      </c>
    </row>
    <row r="386" spans="1:3" ht="15">
      <c r="A386" s="79" t="s">
        <v>1525</v>
      </c>
      <c r="B386" s="96" t="s">
        <v>307</v>
      </c>
      <c r="C386" s="78">
        <f>VLOOKUP(GroupVertices[[#This Row],[Vertex]],Vertices[],MATCH("ID",Vertices[[#Headers],[Vertex]:[Vertex Group]],0),FALSE)</f>
        <v>696</v>
      </c>
    </row>
    <row r="387" spans="1:3" ht="15">
      <c r="A387" s="79" t="s">
        <v>1525</v>
      </c>
      <c r="B387" s="96" t="s">
        <v>563</v>
      </c>
      <c r="C387" s="78">
        <f>VLOOKUP(GroupVertices[[#This Row],[Vertex]],Vertices[],MATCH("ID",Vertices[[#Headers],[Vertex]:[Vertex Group]],0),FALSE)</f>
        <v>700</v>
      </c>
    </row>
    <row r="388" spans="1:3" ht="15">
      <c r="A388" s="79" t="s">
        <v>1525</v>
      </c>
      <c r="B388" s="96" t="s">
        <v>272</v>
      </c>
      <c r="C388" s="78">
        <f>VLOOKUP(GroupVertices[[#This Row],[Vertex]],Vertices[],MATCH("ID",Vertices[[#Headers],[Vertex]:[Vertex Group]],0),FALSE)</f>
        <v>715</v>
      </c>
    </row>
    <row r="389" spans="1:3" ht="15">
      <c r="A389" s="79" t="s">
        <v>1561</v>
      </c>
      <c r="B389" s="96" t="s">
        <v>2212</v>
      </c>
      <c r="C389" s="78">
        <f>VLOOKUP(GroupVertices[[#This Row],[Vertex]],Vertices[],MATCH("ID",Vertices[[#Headers],[Vertex]:[Vertex Group]],0),FALSE)</f>
        <v>229</v>
      </c>
    </row>
    <row r="390" spans="1:3" ht="15">
      <c r="A390" s="79" t="s">
        <v>1561</v>
      </c>
      <c r="B390" s="96" t="s">
        <v>2217</v>
      </c>
      <c r="C390" s="78">
        <f>VLOOKUP(GroupVertices[[#This Row],[Vertex]],Vertices[],MATCH("ID",Vertices[[#Headers],[Vertex]:[Vertex Group]],0),FALSE)</f>
        <v>244</v>
      </c>
    </row>
    <row r="391" spans="1:3" ht="15">
      <c r="A391" s="79" t="s">
        <v>1561</v>
      </c>
      <c r="B391" s="96" t="s">
        <v>2218</v>
      </c>
      <c r="C391" s="78">
        <f>VLOOKUP(GroupVertices[[#This Row],[Vertex]],Vertices[],MATCH("ID",Vertices[[#Headers],[Vertex]:[Vertex Group]],0),FALSE)</f>
        <v>246</v>
      </c>
    </row>
    <row r="392" spans="1:3" ht="15">
      <c r="A392" s="79" t="s">
        <v>1561</v>
      </c>
      <c r="B392" s="96" t="s">
        <v>2220</v>
      </c>
      <c r="C392" s="78">
        <f>VLOOKUP(GroupVertices[[#This Row],[Vertex]],Vertices[],MATCH("ID",Vertices[[#Headers],[Vertex]:[Vertex Group]],0),FALSE)</f>
        <v>250</v>
      </c>
    </row>
    <row r="393" spans="1:3" ht="15">
      <c r="A393" s="79" t="s">
        <v>1610</v>
      </c>
      <c r="B393" s="96" t="s">
        <v>227</v>
      </c>
      <c r="C393" s="78">
        <f>VLOOKUP(GroupVertices[[#This Row],[Vertex]],Vertices[],MATCH("ID",Vertices[[#Headers],[Vertex]:[Vertex Group]],0),FALSE)</f>
        <v>41</v>
      </c>
    </row>
    <row r="394" spans="1:3" ht="15">
      <c r="A394" s="79" t="s">
        <v>1610</v>
      </c>
      <c r="B394" s="96" t="s">
        <v>434</v>
      </c>
      <c r="C394" s="78">
        <f>VLOOKUP(GroupVertices[[#This Row],[Vertex]],Vertices[],MATCH("ID",Vertices[[#Headers],[Vertex]:[Vertex Group]],0),FALSE)</f>
        <v>398</v>
      </c>
    </row>
    <row r="395" spans="1:3" ht="15">
      <c r="A395" s="79" t="s">
        <v>1610</v>
      </c>
      <c r="B395" s="96" t="s">
        <v>435</v>
      </c>
      <c r="C395" s="78">
        <f>VLOOKUP(GroupVertices[[#This Row],[Vertex]],Vertices[],MATCH("ID",Vertices[[#Headers],[Vertex]:[Vertex Group]],0),FALSE)</f>
        <v>399</v>
      </c>
    </row>
    <row r="396" spans="1:3" ht="15">
      <c r="A396" s="79" t="s">
        <v>1610</v>
      </c>
      <c r="B396" s="96" t="s">
        <v>446</v>
      </c>
      <c r="C396" s="78">
        <f>VLOOKUP(GroupVertices[[#This Row],[Vertex]],Vertices[],MATCH("ID",Vertices[[#Headers],[Vertex]:[Vertex Group]],0),FALSE)</f>
        <v>400</v>
      </c>
    </row>
    <row r="397" spans="1:3" ht="15">
      <c r="A397" s="79" t="s">
        <v>1516</v>
      </c>
      <c r="B397" s="96" t="s">
        <v>216</v>
      </c>
      <c r="C397" s="78">
        <f>VLOOKUP(GroupVertices[[#This Row],[Vertex]],Vertices[],MATCH("ID",Vertices[[#Headers],[Vertex]:[Vertex Group]],0),FALSE)</f>
        <v>33</v>
      </c>
    </row>
    <row r="398" spans="1:3" ht="15">
      <c r="A398" s="79" t="s">
        <v>1516</v>
      </c>
      <c r="B398" s="96" t="s">
        <v>392</v>
      </c>
      <c r="C398" s="78">
        <f>VLOOKUP(GroupVertices[[#This Row],[Vertex]],Vertices[],MATCH("ID",Vertices[[#Headers],[Vertex]:[Vertex Group]],0),FALSE)</f>
        <v>162</v>
      </c>
    </row>
    <row r="399" spans="1:3" ht="15">
      <c r="A399" s="79" t="s">
        <v>1516</v>
      </c>
      <c r="B399" s="96" t="s">
        <v>396</v>
      </c>
      <c r="C399" s="78">
        <f>VLOOKUP(GroupVertices[[#This Row],[Vertex]],Vertices[],MATCH("ID",Vertices[[#Headers],[Vertex]:[Vertex Group]],0),FALSE)</f>
        <v>165</v>
      </c>
    </row>
    <row r="400" spans="1:3" ht="15">
      <c r="A400" s="79" t="s">
        <v>4460</v>
      </c>
      <c r="B400" s="96" t="s">
        <v>2145</v>
      </c>
      <c r="C400" s="78">
        <f>VLOOKUP(GroupVertices[[#This Row],[Vertex]],Vertices[],MATCH("ID",Vertices[[#Headers],[Vertex]:[Vertex Group]],0),FALSE)</f>
        <v>99</v>
      </c>
    </row>
    <row r="401" spans="1:3" ht="15">
      <c r="A401" s="79" t="s">
        <v>4460</v>
      </c>
      <c r="B401" s="96" t="s">
        <v>2303</v>
      </c>
      <c r="C401" s="78">
        <f>VLOOKUP(GroupVertices[[#This Row],[Vertex]],Vertices[],MATCH("ID",Vertices[[#Headers],[Vertex]:[Vertex Group]],0),FALSE)</f>
        <v>364</v>
      </c>
    </row>
    <row r="402" spans="1:3" ht="15">
      <c r="A402" s="79" t="s">
        <v>4460</v>
      </c>
      <c r="B402" s="96" t="s">
        <v>2553</v>
      </c>
      <c r="C402" s="78">
        <f>VLOOKUP(GroupVertices[[#This Row],[Vertex]],Vertices[],MATCH("ID",Vertices[[#Headers],[Vertex]:[Vertex Group]],0),FALSE)</f>
        <v>809</v>
      </c>
    </row>
    <row r="403" spans="1:3" ht="15">
      <c r="A403" s="79" t="s">
        <v>1670</v>
      </c>
      <c r="B403" s="96" t="s">
        <v>553</v>
      </c>
      <c r="C403" s="78">
        <f>VLOOKUP(GroupVertices[[#This Row],[Vertex]],Vertices[],MATCH("ID",Vertices[[#Headers],[Vertex]:[Vertex Group]],0),FALSE)</f>
        <v>618</v>
      </c>
    </row>
    <row r="404" spans="1:3" ht="15">
      <c r="A404" s="79" t="s">
        <v>1670</v>
      </c>
      <c r="B404" s="96" t="s">
        <v>2419</v>
      </c>
      <c r="C404" s="78">
        <f>VLOOKUP(GroupVertices[[#This Row],[Vertex]],Vertices[],MATCH("ID",Vertices[[#Headers],[Vertex]:[Vertex Group]],0),FALSE)</f>
        <v>605</v>
      </c>
    </row>
    <row r="405" spans="1:3" ht="15">
      <c r="A405" s="79" t="s">
        <v>1670</v>
      </c>
      <c r="B405" s="96" t="s">
        <v>575</v>
      </c>
      <c r="C405" s="78">
        <f>VLOOKUP(GroupVertices[[#This Row],[Vertex]],Vertices[],MATCH("ID",Vertices[[#Headers],[Vertex]:[Vertex Group]],0),FALSE)</f>
        <v>668</v>
      </c>
    </row>
    <row r="406" spans="1:3" ht="15">
      <c r="A406" s="79" t="s">
        <v>3894</v>
      </c>
      <c r="B406" s="96" t="s">
        <v>2464</v>
      </c>
      <c r="C406" s="78">
        <f>VLOOKUP(GroupVertices[[#This Row],[Vertex]],Vertices[],MATCH("ID",Vertices[[#Headers],[Vertex]:[Vertex Group]],0),FALSE)</f>
        <v>678</v>
      </c>
    </row>
    <row r="407" spans="1:3" ht="15">
      <c r="A407" s="79" t="s">
        <v>3894</v>
      </c>
      <c r="B407" s="96" t="s">
        <v>2465</v>
      </c>
      <c r="C407" s="78">
        <f>VLOOKUP(GroupVertices[[#This Row],[Vertex]],Vertices[],MATCH("ID",Vertices[[#Headers],[Vertex]:[Vertex Group]],0),FALSE)</f>
        <v>679</v>
      </c>
    </row>
    <row r="408" spans="1:3" ht="15">
      <c r="A408" s="79" t="s">
        <v>3894</v>
      </c>
      <c r="B408" s="96" t="s">
        <v>2467</v>
      </c>
      <c r="C408" s="78">
        <f>VLOOKUP(GroupVertices[[#This Row],[Vertex]],Vertices[],MATCH("ID",Vertices[[#Headers],[Vertex]:[Vertex Group]],0),FALSE)</f>
        <v>681</v>
      </c>
    </row>
    <row r="409" spans="1:3" ht="15">
      <c r="A409" s="79" t="s">
        <v>1518</v>
      </c>
      <c r="B409" s="96" t="s">
        <v>231</v>
      </c>
      <c r="C409" s="78">
        <f>VLOOKUP(GroupVertices[[#This Row],[Vertex]],Vertices[],MATCH("ID",Vertices[[#Headers],[Vertex]:[Vertex Group]],0),FALSE)</f>
        <v>52</v>
      </c>
    </row>
    <row r="410" spans="1:3" ht="15">
      <c r="A410" s="79" t="s">
        <v>1518</v>
      </c>
      <c r="B410" s="96" t="s">
        <v>467</v>
      </c>
      <c r="C410" s="78">
        <f>VLOOKUP(GroupVertices[[#This Row],[Vertex]],Vertices[],MATCH("ID",Vertices[[#Headers],[Vertex]:[Vertex Group]],0),FALSE)</f>
        <v>411</v>
      </c>
    </row>
    <row r="411" spans="1:3" ht="15">
      <c r="A411" s="79" t="s">
        <v>1518</v>
      </c>
      <c r="B411" s="96" t="s">
        <v>468</v>
      </c>
      <c r="C411" s="78">
        <f>VLOOKUP(GroupVertices[[#This Row],[Vertex]],Vertices[],MATCH("ID",Vertices[[#Headers],[Vertex]:[Vertex Group]],0),FALSE)</f>
        <v>412</v>
      </c>
    </row>
    <row r="412" spans="1:3" ht="15">
      <c r="A412" s="79" t="s">
        <v>3815</v>
      </c>
      <c r="B412" s="96" t="s">
        <v>2327</v>
      </c>
      <c r="C412" s="78">
        <f>VLOOKUP(GroupVertices[[#This Row],[Vertex]],Vertices[],MATCH("ID",Vertices[[#Headers],[Vertex]:[Vertex Group]],0),FALSE)</f>
        <v>432</v>
      </c>
    </row>
    <row r="413" spans="1:3" ht="15">
      <c r="A413" s="79" t="s">
        <v>3815</v>
      </c>
      <c r="B413" s="96" t="s">
        <v>2328</v>
      </c>
      <c r="C413" s="78">
        <f>VLOOKUP(GroupVertices[[#This Row],[Vertex]],Vertices[],MATCH("ID",Vertices[[#Headers],[Vertex]:[Vertex Group]],0),FALSE)</f>
        <v>433</v>
      </c>
    </row>
    <row r="414" spans="1:3" ht="15">
      <c r="A414" s="79" t="s">
        <v>3815</v>
      </c>
      <c r="B414" s="96" t="s">
        <v>2329</v>
      </c>
      <c r="C414" s="78">
        <f>VLOOKUP(GroupVertices[[#This Row],[Vertex]],Vertices[],MATCH("ID",Vertices[[#Headers],[Vertex]:[Vertex Group]],0),FALSE)</f>
        <v>434</v>
      </c>
    </row>
    <row r="415" spans="1:3" ht="15">
      <c r="A415" s="79" t="s">
        <v>1593</v>
      </c>
      <c r="B415" s="96" t="s">
        <v>220</v>
      </c>
      <c r="C415" s="78">
        <f>VLOOKUP(GroupVertices[[#This Row],[Vertex]],Vertices[],MATCH("ID",Vertices[[#Headers],[Vertex]:[Vertex Group]],0),FALSE)</f>
        <v>51</v>
      </c>
    </row>
    <row r="416" spans="1:3" ht="15">
      <c r="A416" s="79" t="s">
        <v>1593</v>
      </c>
      <c r="B416" s="96" t="s">
        <v>401</v>
      </c>
      <c r="C416" s="78">
        <f>VLOOKUP(GroupVertices[[#This Row],[Vertex]],Vertices[],MATCH("ID",Vertices[[#Headers],[Vertex]:[Vertex Group]],0),FALSE)</f>
        <v>341</v>
      </c>
    </row>
    <row r="417" spans="1:3" ht="15">
      <c r="A417" s="79" t="s">
        <v>1590</v>
      </c>
      <c r="B417" s="96" t="s">
        <v>217</v>
      </c>
      <c r="C417" s="78">
        <f>VLOOKUP(GroupVertices[[#This Row],[Vertex]],Vertices[],MATCH("ID",Vertices[[#Headers],[Vertex]:[Vertex Group]],0),FALSE)</f>
        <v>46</v>
      </c>
    </row>
    <row r="418" spans="1:3" ht="15">
      <c r="A418" s="79" t="s">
        <v>1590</v>
      </c>
      <c r="B418" s="96" t="s">
        <v>397</v>
      </c>
      <c r="C418" s="78">
        <f>VLOOKUP(GroupVertices[[#This Row],[Vertex]],Vertices[],MATCH("ID",Vertices[[#Headers],[Vertex]:[Vertex Group]],0),FALSE)</f>
        <v>124</v>
      </c>
    </row>
    <row r="419" spans="1:3" ht="15">
      <c r="A419" s="79" t="s">
        <v>1576</v>
      </c>
      <c r="B419" s="96" t="s">
        <v>355</v>
      </c>
      <c r="C419" s="78">
        <f>VLOOKUP(GroupVertices[[#This Row],[Vertex]],Vertices[],MATCH("ID",Vertices[[#Headers],[Vertex]:[Vertex Group]],0),FALSE)</f>
        <v>125</v>
      </c>
    </row>
    <row r="420" spans="1:3" ht="15">
      <c r="A420" s="79" t="s">
        <v>1576</v>
      </c>
      <c r="B420" s="96" t="s">
        <v>356</v>
      </c>
      <c r="C420" s="78">
        <f>VLOOKUP(GroupVertices[[#This Row],[Vertex]],Vertices[],MATCH("ID",Vertices[[#Headers],[Vertex]:[Vertex Group]],0),FALSE)</f>
        <v>130</v>
      </c>
    </row>
    <row r="421" spans="1:3" ht="15">
      <c r="A421" s="79" t="s">
        <v>1539</v>
      </c>
      <c r="B421" s="96" t="s">
        <v>281</v>
      </c>
      <c r="C421" s="78">
        <f>VLOOKUP(GroupVertices[[#This Row],[Vertex]],Vertices[],MATCH("ID",Vertices[[#Headers],[Vertex]:[Vertex Group]],0),FALSE)</f>
        <v>862</v>
      </c>
    </row>
    <row r="422" spans="1:3" ht="15">
      <c r="A422" s="79" t="s">
        <v>1539</v>
      </c>
      <c r="B422" s="96" t="s">
        <v>280</v>
      </c>
      <c r="C422" s="78">
        <f>VLOOKUP(GroupVertices[[#This Row],[Vertex]],Vertices[],MATCH("ID",Vertices[[#Headers],[Vertex]:[Vertex Group]],0),FALSE)</f>
        <v>315</v>
      </c>
    </row>
    <row r="423" spans="1:3" ht="15">
      <c r="A423" s="79" t="s">
        <v>1498</v>
      </c>
      <c r="B423" s="96" t="s">
        <v>270</v>
      </c>
      <c r="C423" s="78">
        <f>VLOOKUP(GroupVertices[[#This Row],[Vertex]],Vertices[],MATCH("ID",Vertices[[#Headers],[Vertex]:[Vertex Group]],0),FALSE)</f>
        <v>885</v>
      </c>
    </row>
    <row r="424" spans="1:3" ht="15">
      <c r="A424" s="79" t="s">
        <v>1498</v>
      </c>
      <c r="B424" s="96" t="s">
        <v>360</v>
      </c>
      <c r="C424" s="78">
        <f>VLOOKUP(GroupVertices[[#This Row],[Vertex]],Vertices[],MATCH("ID",Vertices[[#Headers],[Vertex]:[Vertex Group]],0),FALSE)</f>
        <v>782</v>
      </c>
    </row>
    <row r="425" spans="1:3" ht="15">
      <c r="A425" s="79" t="s">
        <v>3755</v>
      </c>
      <c r="B425" s="96" t="s">
        <v>2223</v>
      </c>
      <c r="C425" s="78">
        <f>VLOOKUP(GroupVertices[[#This Row],[Vertex]],Vertices[],MATCH("ID",Vertices[[#Headers],[Vertex]:[Vertex Group]],0),FALSE)</f>
        <v>260</v>
      </c>
    </row>
    <row r="426" spans="1:3" ht="15">
      <c r="A426" s="79" t="s">
        <v>3755</v>
      </c>
      <c r="B426" s="96" t="s">
        <v>2224</v>
      </c>
      <c r="C426" s="78">
        <f>VLOOKUP(GroupVertices[[#This Row],[Vertex]],Vertices[],MATCH("ID",Vertices[[#Headers],[Vertex]:[Vertex Group]],0),FALSE)</f>
        <v>261</v>
      </c>
    </row>
    <row r="427" spans="1:3" ht="15">
      <c r="A427" s="79" t="s">
        <v>1591</v>
      </c>
      <c r="B427" s="96" t="s">
        <v>219</v>
      </c>
      <c r="C427" s="78">
        <f>VLOOKUP(GroupVertices[[#This Row],[Vertex]],Vertices[],MATCH("ID",Vertices[[#Headers],[Vertex]:[Vertex Group]],0),FALSE)</f>
        <v>47</v>
      </c>
    </row>
    <row r="428" spans="1:3" ht="15">
      <c r="A428" s="79" t="s">
        <v>1591</v>
      </c>
      <c r="B428" s="96" t="s">
        <v>398</v>
      </c>
      <c r="C428" s="78">
        <f>VLOOKUP(GroupVertices[[#This Row],[Vertex]],Vertices[],MATCH("ID",Vertices[[#Headers],[Vertex]:[Vertex Group]],0),FALSE)</f>
        <v>208</v>
      </c>
    </row>
    <row r="429" spans="1:3" ht="15">
      <c r="A429" s="79" t="s">
        <v>3724</v>
      </c>
      <c r="B429" s="96" t="s">
        <v>2164</v>
      </c>
      <c r="C429" s="78">
        <f>VLOOKUP(GroupVertices[[#This Row],[Vertex]],Vertices[],MATCH("ID",Vertices[[#Headers],[Vertex]:[Vertex Group]],0),FALSE)</f>
        <v>169</v>
      </c>
    </row>
    <row r="430" spans="1:3" ht="15">
      <c r="A430" s="79" t="s">
        <v>3724</v>
      </c>
      <c r="B430" s="96" t="s">
        <v>2263</v>
      </c>
      <c r="C430" s="78">
        <f>VLOOKUP(GroupVertices[[#This Row],[Vertex]],Vertices[],MATCH("ID",Vertices[[#Headers],[Vertex]:[Vertex Group]],0),FALSE)</f>
        <v>304</v>
      </c>
    </row>
    <row r="431" spans="1:3" ht="15">
      <c r="A431" s="79" t="s">
        <v>1667</v>
      </c>
      <c r="B431" s="96" t="s">
        <v>531</v>
      </c>
      <c r="C431" s="78">
        <f>VLOOKUP(GroupVertices[[#This Row],[Vertex]],Vertices[],MATCH("ID",Vertices[[#Headers],[Vertex]:[Vertex Group]],0),FALSE)</f>
        <v>566</v>
      </c>
    </row>
    <row r="432" spans="1:3" ht="15">
      <c r="A432" s="79" t="s">
        <v>1667</v>
      </c>
      <c r="B432" s="96" t="s">
        <v>2395</v>
      </c>
      <c r="C432" s="78">
        <f>VLOOKUP(GroupVertices[[#This Row],[Vertex]],Vertices[],MATCH("ID",Vertices[[#Headers],[Vertex]:[Vertex Group]],0),FALSE)</f>
        <v>567</v>
      </c>
    </row>
    <row r="433" spans="1:3" ht="15">
      <c r="A433" s="79" t="s">
        <v>3794</v>
      </c>
      <c r="B433" s="96" t="s">
        <v>2295</v>
      </c>
      <c r="C433" s="78">
        <f>VLOOKUP(GroupVertices[[#This Row],[Vertex]],Vertices[],MATCH("ID",Vertices[[#Headers],[Vertex]:[Vertex Group]],0),FALSE)</f>
        <v>356</v>
      </c>
    </row>
    <row r="434" spans="1:3" ht="15">
      <c r="A434" s="79" t="s">
        <v>3794</v>
      </c>
      <c r="B434" s="96" t="s">
        <v>2298</v>
      </c>
      <c r="C434" s="78">
        <f>VLOOKUP(GroupVertices[[#This Row],[Vertex]],Vertices[],MATCH("ID",Vertices[[#Headers],[Vertex]:[Vertex Group]],0),FALSE)</f>
        <v>359</v>
      </c>
    </row>
    <row r="435" spans="1:3" ht="15">
      <c r="A435" s="79" t="s">
        <v>1522</v>
      </c>
      <c r="B435" s="96" t="s">
        <v>239</v>
      </c>
      <c r="C435" s="78">
        <f>VLOOKUP(GroupVertices[[#This Row],[Vertex]],Vertices[],MATCH("ID",Vertices[[#Headers],[Vertex]:[Vertex Group]],0),FALSE)</f>
        <v>30</v>
      </c>
    </row>
    <row r="436" spans="1:3" ht="15">
      <c r="A436" s="79" t="s">
        <v>1522</v>
      </c>
      <c r="B436" s="96" t="s">
        <v>558</v>
      </c>
      <c r="C436" s="78">
        <f>VLOOKUP(GroupVertices[[#This Row],[Vertex]],Vertices[],MATCH("ID",Vertices[[#Headers],[Vertex]:[Vertex Group]],0),FALSE)</f>
        <v>622</v>
      </c>
    </row>
    <row r="437" spans="1:3" ht="15">
      <c r="A437" s="79" t="s">
        <v>1529</v>
      </c>
      <c r="B437" s="96" t="s">
        <v>2423</v>
      </c>
      <c r="C437" s="78">
        <f>VLOOKUP(GroupVertices[[#This Row],[Vertex]],Vertices[],MATCH("ID",Vertices[[#Headers],[Vertex]:[Vertex Group]],0),FALSE)</f>
        <v>616</v>
      </c>
    </row>
    <row r="438" spans="1:3" ht="15">
      <c r="A438" s="79" t="s">
        <v>1529</v>
      </c>
      <c r="B438" s="96" t="s">
        <v>554</v>
      </c>
      <c r="C438" s="78">
        <f>VLOOKUP(GroupVertices[[#This Row],[Vertex]],Vertices[],MATCH("ID",Vertices[[#Headers],[Vertex]:[Vertex Group]],0),FALSE)</f>
        <v>621</v>
      </c>
    </row>
    <row r="439" spans="1:3" ht="15">
      <c r="A439" s="79" t="s">
        <v>3897</v>
      </c>
      <c r="B439" s="96" t="s">
        <v>2469</v>
      </c>
      <c r="C439" s="78">
        <f>VLOOKUP(GroupVertices[[#This Row],[Vertex]],Vertices[],MATCH("ID",Vertices[[#Headers],[Vertex]:[Vertex Group]],0),FALSE)</f>
        <v>683</v>
      </c>
    </row>
    <row r="440" spans="1:3" ht="15">
      <c r="A440" s="79" t="s">
        <v>3897</v>
      </c>
      <c r="B440" s="96" t="s">
        <v>2476</v>
      </c>
      <c r="C440" s="78">
        <f>VLOOKUP(GroupVertices[[#This Row],[Vertex]],Vertices[],MATCH("ID",Vertices[[#Headers],[Vertex]:[Vertex Group]],0),FALSE)</f>
        <v>690</v>
      </c>
    </row>
    <row r="441" spans="1:3" ht="15">
      <c r="A441" s="79" t="s">
        <v>1675</v>
      </c>
      <c r="B441" s="96" t="s">
        <v>2477</v>
      </c>
      <c r="C441" s="78">
        <f>VLOOKUP(GroupVertices[[#This Row],[Vertex]],Vertices[],MATCH("ID",Vertices[[#Headers],[Vertex]:[Vertex Group]],0),FALSE)</f>
        <v>691</v>
      </c>
    </row>
    <row r="442" spans="1:3" ht="15">
      <c r="A442" s="79" t="s">
        <v>1675</v>
      </c>
      <c r="B442" s="96" t="s">
        <v>580</v>
      </c>
      <c r="C442" s="78">
        <f>VLOOKUP(GroupVertices[[#This Row],[Vertex]],Vertices[],MATCH("ID",Vertices[[#Headers],[Vertex]:[Vertex Group]],0),FALSE)</f>
        <v>694</v>
      </c>
    </row>
    <row r="443" spans="1:3" ht="15">
      <c r="A443" s="79" t="s">
        <v>1505</v>
      </c>
      <c r="B443" s="96" t="s">
        <v>387</v>
      </c>
      <c r="C443" s="78">
        <f>VLOOKUP(GroupVertices[[#This Row],[Vertex]],Vertices[],MATCH("ID",Vertices[[#Headers],[Vertex]:[Vertex Group]],0),FALSE)</f>
        <v>697</v>
      </c>
    </row>
    <row r="444" spans="1:3" ht="15">
      <c r="A444" s="79" t="s">
        <v>1505</v>
      </c>
      <c r="B444" s="96" t="s">
        <v>541</v>
      </c>
      <c r="C444" s="78">
        <f>VLOOKUP(GroupVertices[[#This Row],[Vertex]],Vertices[],MATCH("ID",Vertices[[#Headers],[Vertex]:[Vertex Group]],0),FALSE)</f>
        <v>698</v>
      </c>
    </row>
    <row r="445" spans="1:3" ht="15">
      <c r="A445" s="79" t="s">
        <v>1532</v>
      </c>
      <c r="B445" s="96" t="s">
        <v>489</v>
      </c>
      <c r="C445" s="78">
        <f>VLOOKUP(GroupVertices[[#This Row],[Vertex]],Vertices[],MATCH("ID",Vertices[[#Headers],[Vertex]:[Vertex Group]],0),FALSE)</f>
        <v>442</v>
      </c>
    </row>
    <row r="446" spans="1:3" ht="15">
      <c r="A446" s="79" t="s">
        <v>1532</v>
      </c>
      <c r="B446" s="96" t="s">
        <v>490</v>
      </c>
      <c r="C446" s="78">
        <f>VLOOKUP(GroupVertices[[#This Row],[Vertex]],Vertices[],MATCH("ID",Vertices[[#Headers],[Vertex]:[Vertex Group]],0),FALSE)</f>
        <v>445</v>
      </c>
    </row>
    <row r="447" spans="1:3" ht="15">
      <c r="A447" s="79" t="s">
        <v>1659</v>
      </c>
      <c r="B447" s="96" t="s">
        <v>503</v>
      </c>
      <c r="C447" s="78">
        <f>VLOOKUP(GroupVertices[[#This Row],[Vertex]],Vertices[],MATCH("ID",Vertices[[#Headers],[Vertex]:[Vertex Group]],0),FALSE)</f>
        <v>499</v>
      </c>
    </row>
    <row r="448" spans="1:3" ht="15">
      <c r="A448" s="79" t="s">
        <v>1659</v>
      </c>
      <c r="B448" s="96" t="s">
        <v>504</v>
      </c>
      <c r="C448" s="78">
        <f>VLOOKUP(GroupVertices[[#This Row],[Vertex]],Vertices[],MATCH("ID",Vertices[[#Headers],[Vertex]:[Vertex Group]],0),FALSE)</f>
        <v>500</v>
      </c>
    </row>
    <row r="449" spans="1:3" ht="15">
      <c r="A449" s="79" t="s">
        <v>1660</v>
      </c>
      <c r="B449" s="96" t="s">
        <v>505</v>
      </c>
      <c r="C449" s="78">
        <f>VLOOKUP(GroupVertices[[#This Row],[Vertex]],Vertices[],MATCH("ID",Vertices[[#Headers],[Vertex]:[Vertex Group]],0),FALSE)</f>
        <v>501</v>
      </c>
    </row>
    <row r="450" spans="1:3" ht="15">
      <c r="A450" s="79" t="s">
        <v>1660</v>
      </c>
      <c r="B450" s="96" t="s">
        <v>509</v>
      </c>
      <c r="C450" s="78">
        <f>VLOOKUP(GroupVertices[[#This Row],[Vertex]],Vertices[],MATCH("ID",Vertices[[#Headers],[Vertex]:[Vertex Group]],0),FALSE)</f>
        <v>505</v>
      </c>
    </row>
    <row r="451" spans="1:3" ht="15">
      <c r="A451" s="79" t="s">
        <v>1664</v>
      </c>
      <c r="B451" s="96" t="s">
        <v>511</v>
      </c>
      <c r="C451" s="78">
        <f>VLOOKUP(GroupVertices[[#This Row],[Vertex]],Vertices[],MATCH("ID",Vertices[[#Headers],[Vertex]:[Vertex Group]],0),FALSE)</f>
        <v>507</v>
      </c>
    </row>
    <row r="452" spans="1:3" ht="15">
      <c r="A452" s="79" t="s">
        <v>1664</v>
      </c>
      <c r="B452" s="96" t="s">
        <v>510</v>
      </c>
      <c r="C452" s="78">
        <f>VLOOKUP(GroupVertices[[#This Row],[Vertex]],Vertices[],MATCH("ID",Vertices[[#Headers],[Vertex]:[Vertex Group]],0),FALSE)</f>
        <v>508</v>
      </c>
    </row>
    <row r="453" spans="1:3" ht="15">
      <c r="A453" s="79" t="s">
        <v>1636</v>
      </c>
      <c r="B453" s="96" t="s">
        <v>462</v>
      </c>
      <c r="C453" s="78">
        <f>VLOOKUP(GroupVertices[[#This Row],[Vertex]],Vertices[],MATCH("ID",Vertices[[#Headers],[Vertex]:[Vertex Group]],0),FALSE)</f>
        <v>406</v>
      </c>
    </row>
    <row r="454" spans="1:3" ht="15">
      <c r="A454" s="79" t="s">
        <v>1636</v>
      </c>
      <c r="B454" s="96" t="s">
        <v>465</v>
      </c>
      <c r="C454" s="78">
        <f>VLOOKUP(GroupVertices[[#This Row],[Vertex]],Vertices[],MATCH("ID",Vertices[[#Headers],[Vertex]:[Vertex Group]],0),FALSE)</f>
        <v>407</v>
      </c>
    </row>
    <row r="455" spans="1:3" ht="15">
      <c r="A455" s="79" t="s">
        <v>1638</v>
      </c>
      <c r="B455" s="96" t="s">
        <v>464</v>
      </c>
      <c r="C455" s="78">
        <f>VLOOKUP(GroupVertices[[#This Row],[Vertex]],Vertices[],MATCH("ID",Vertices[[#Headers],[Vertex]:[Vertex Group]],0),FALSE)</f>
        <v>408</v>
      </c>
    </row>
    <row r="456" spans="1:3" ht="15">
      <c r="A456" s="79" t="s">
        <v>1638</v>
      </c>
      <c r="B456" s="96" t="s">
        <v>466</v>
      </c>
      <c r="C456" s="78">
        <f>VLOOKUP(GroupVertices[[#This Row],[Vertex]],Vertices[],MATCH("ID",Vertices[[#Headers],[Vertex]:[Vertex Group]],0),FALSE)</f>
        <v>410</v>
      </c>
    </row>
    <row r="457" spans="1:3" ht="15">
      <c r="A457" s="79" t="s">
        <v>3939</v>
      </c>
      <c r="B457" s="96" t="s">
        <v>2543</v>
      </c>
      <c r="C457" s="78">
        <f>VLOOKUP(GroupVertices[[#This Row],[Vertex]],Vertices[],MATCH("ID",Vertices[[#Headers],[Vertex]:[Vertex Group]],0),FALSE)</f>
        <v>799</v>
      </c>
    </row>
    <row r="458" spans="1:3" ht="15">
      <c r="A458" s="79" t="s">
        <v>3939</v>
      </c>
      <c r="B458" s="96" t="s">
        <v>2556</v>
      </c>
      <c r="C458" s="78">
        <f>VLOOKUP(GroupVertices[[#This Row],[Vertex]],Vertices[],MATCH("ID",Vertices[[#Headers],[Vertex]:[Vertex Group]],0),FALSE)</f>
        <v>812</v>
      </c>
    </row>
    <row r="459" spans="1:3" ht="15">
      <c r="A459" s="79" t="s">
        <v>3941</v>
      </c>
      <c r="B459" s="96" t="s">
        <v>2545</v>
      </c>
      <c r="C459" s="78">
        <f>VLOOKUP(GroupVertices[[#This Row],[Vertex]],Vertices[],MATCH("ID",Vertices[[#Headers],[Vertex]:[Vertex Group]],0),FALSE)</f>
        <v>801</v>
      </c>
    </row>
    <row r="460" spans="1:3" ht="15">
      <c r="A460" s="79" t="s">
        <v>3941</v>
      </c>
      <c r="B460" s="96" t="s">
        <v>2547</v>
      </c>
      <c r="C460" s="78">
        <f>VLOOKUP(GroupVertices[[#This Row],[Vertex]],Vertices[],MATCH("ID",Vertices[[#Headers],[Vertex]:[Vertex Group]],0),FALSE)</f>
        <v>803</v>
      </c>
    </row>
    <row r="461" spans="1:3" ht="15">
      <c r="A461" s="79" t="s">
        <v>3944</v>
      </c>
      <c r="B461" s="96" t="s">
        <v>2549</v>
      </c>
      <c r="C461" s="78">
        <f>VLOOKUP(GroupVertices[[#This Row],[Vertex]],Vertices[],MATCH("ID",Vertices[[#Headers],[Vertex]:[Vertex Group]],0),FALSE)</f>
        <v>805</v>
      </c>
    </row>
    <row r="462" spans="1:3" ht="15">
      <c r="A462" s="79" t="s">
        <v>3944</v>
      </c>
      <c r="B462" s="96" t="s">
        <v>2550</v>
      </c>
      <c r="C462" s="78">
        <f>VLOOKUP(GroupVertices[[#This Row],[Vertex]],Vertices[],MATCH("ID",Vertices[[#Headers],[Vertex]:[Vertex Group]],0),FALSE)</f>
        <v>806</v>
      </c>
    </row>
    <row r="463" spans="1:3" ht="15">
      <c r="A463" s="79" t="s">
        <v>3776</v>
      </c>
      <c r="B463" s="96" t="s">
        <v>2256</v>
      </c>
      <c r="C463" s="78">
        <f>VLOOKUP(GroupVertices[[#This Row],[Vertex]],Vertices[],MATCH("ID",Vertices[[#Headers],[Vertex]:[Vertex Group]],0),FALSE)</f>
        <v>297</v>
      </c>
    </row>
    <row r="464" spans="1:3" ht="15">
      <c r="A464" s="79" t="s">
        <v>3776</v>
      </c>
      <c r="B464" s="96" t="s">
        <v>2258</v>
      </c>
      <c r="C464" s="78">
        <f>VLOOKUP(GroupVertices[[#This Row],[Vertex]],Vertices[],MATCH("ID",Vertices[[#Headers],[Vertex]:[Vertex Group]],0),FALSE)</f>
        <v>299</v>
      </c>
    </row>
    <row r="465" spans="1:3" ht="15">
      <c r="A465" s="79" t="s">
        <v>3780</v>
      </c>
      <c r="B465" s="96" t="s">
        <v>2261</v>
      </c>
      <c r="C465" s="78">
        <f>VLOOKUP(GroupVertices[[#This Row],[Vertex]],Vertices[],MATCH("ID",Vertices[[#Headers],[Vertex]:[Vertex Group]],0),FALSE)</f>
        <v>302</v>
      </c>
    </row>
    <row r="466" spans="1:3" ht="15">
      <c r="A466" s="79" t="s">
        <v>3780</v>
      </c>
      <c r="B466" s="96" t="s">
        <v>2262</v>
      </c>
      <c r="C466" s="78">
        <f>VLOOKUP(GroupVertices[[#This Row],[Vertex]],Vertices[],MATCH("ID",Vertices[[#Headers],[Vertex]:[Vertex Group]],0),FALSE)</f>
        <v>303</v>
      </c>
    </row>
    <row r="467" spans="1:3" ht="15">
      <c r="A467" s="79" t="s">
        <v>3698</v>
      </c>
      <c r="B467" s="96" t="s">
        <v>2430</v>
      </c>
      <c r="C467" s="78">
        <f>VLOOKUP(GroupVertices[[#This Row],[Vertex]],Vertices[],MATCH("ID",Vertices[[#Headers],[Vertex]:[Vertex Group]],0),FALSE)</f>
        <v>627</v>
      </c>
    </row>
    <row r="468" spans="1:3" ht="15">
      <c r="A468" s="79" t="s">
        <v>3698</v>
      </c>
      <c r="B468" s="96" t="s">
        <v>2133</v>
      </c>
      <c r="C468" s="78">
        <f>VLOOKUP(GroupVertices[[#This Row],[Vertex]],Vertices[],MATCH("ID",Vertices[[#Headers],[Vertex]:[Vertex Group]],0),FALSE)</f>
        <v>61</v>
      </c>
    </row>
    <row r="469" spans="1:3" ht="15">
      <c r="A469" s="79" t="s">
        <v>3882</v>
      </c>
      <c r="B469" s="96" t="s">
        <v>2439</v>
      </c>
      <c r="C469" s="78">
        <f>VLOOKUP(GroupVertices[[#This Row],[Vertex]],Vertices[],MATCH("ID",Vertices[[#Headers],[Vertex]:[Vertex Group]],0),FALSE)</f>
        <v>638</v>
      </c>
    </row>
    <row r="470" spans="1:3" ht="15">
      <c r="A470" s="79" t="s">
        <v>3882</v>
      </c>
      <c r="B470" s="96" t="s">
        <v>2441</v>
      </c>
      <c r="C470" s="78">
        <f>VLOOKUP(GroupVertices[[#This Row],[Vertex]],Vertices[],MATCH("ID",Vertices[[#Headers],[Vertex]:[Vertex Group]],0),FALSE)</f>
        <v>640</v>
      </c>
    </row>
    <row r="471" spans="1:3" ht="15">
      <c r="A471" s="79" t="s">
        <v>1606</v>
      </c>
      <c r="B471" s="96" t="s">
        <v>223</v>
      </c>
      <c r="C471" s="78">
        <f>VLOOKUP(GroupVertices[[#This Row],[Vertex]],Vertices[],MATCH("ID",Vertices[[#Headers],[Vertex]:[Vertex Group]],0),FALSE)</f>
        <v>39</v>
      </c>
    </row>
    <row r="472" spans="1:3" ht="15">
      <c r="A472" s="79" t="s">
        <v>1606</v>
      </c>
      <c r="B472" s="96" t="s">
        <v>414</v>
      </c>
      <c r="C472" s="78">
        <f>VLOOKUP(GroupVertices[[#This Row],[Vertex]],Vertices[],MATCH("ID",Vertices[[#Headers],[Vertex]:[Vertex Group]],0),FALSE)</f>
        <v>207</v>
      </c>
    </row>
    <row r="473" spans="1:3" ht="15">
      <c r="A473" s="79" t="s">
        <v>3810</v>
      </c>
      <c r="B473" s="96" t="s">
        <v>2321</v>
      </c>
      <c r="C473" s="78">
        <f>VLOOKUP(GroupVertices[[#This Row],[Vertex]],Vertices[],MATCH("ID",Vertices[[#Headers],[Vertex]:[Vertex Group]],0),FALSE)</f>
        <v>426</v>
      </c>
    </row>
    <row r="474" spans="1:3" ht="15">
      <c r="A474" s="79" t="s">
        <v>3810</v>
      </c>
      <c r="B474" s="96" t="s">
        <v>2322</v>
      </c>
      <c r="C474" s="78">
        <f>VLOOKUP(GroupVertices[[#This Row],[Vertex]],Vertices[],MATCH("ID",Vertices[[#Headers],[Vertex]:[Vertex Group]],0),FALSE)</f>
        <v>427</v>
      </c>
    </row>
    <row r="475" spans="1:3" ht="15">
      <c r="A475" s="79" t="s">
        <v>1551</v>
      </c>
      <c r="B475" s="96" t="s">
        <v>2157</v>
      </c>
      <c r="C475" s="78">
        <f>VLOOKUP(GroupVertices[[#This Row],[Vertex]],Vertices[],MATCH("ID",Vertices[[#Headers],[Vertex]:[Vertex Group]],0),FALSE)</f>
        <v>142</v>
      </c>
    </row>
    <row r="476" spans="1:3" ht="15">
      <c r="A476" s="79" t="s">
        <v>1551</v>
      </c>
      <c r="B476" s="96" t="s">
        <v>300</v>
      </c>
      <c r="C476" s="78">
        <f>VLOOKUP(GroupVertices[[#This Row],[Vertex]],Vertices[],MATCH("ID",Vertices[[#Headers],[Vertex]:[Vertex Group]],0),FALSE)</f>
        <v>145</v>
      </c>
    </row>
    <row r="477" spans="1:3" ht="15">
      <c r="A477" s="79" t="s">
        <v>3746</v>
      </c>
      <c r="B477" s="96" t="s">
        <v>2202</v>
      </c>
      <c r="C477" s="78">
        <f>VLOOKUP(GroupVertices[[#This Row],[Vertex]],Vertices[],MATCH("ID",Vertices[[#Headers],[Vertex]:[Vertex Group]],0),FALSE)</f>
        <v>219</v>
      </c>
    </row>
    <row r="478" spans="1:3" ht="15">
      <c r="A478" s="79" t="s">
        <v>3746</v>
      </c>
      <c r="B478" s="96" t="s">
        <v>2203</v>
      </c>
      <c r="C478" s="78">
        <f>VLOOKUP(GroupVertices[[#This Row],[Vertex]],Vertices[],MATCH("ID",Vertices[[#Headers],[Vertex]:[Vertex Group]],0),FALSE)</f>
        <v>220</v>
      </c>
    </row>
    <row r="479" spans="1:3" ht="15">
      <c r="A479" s="79" t="s">
        <v>3749</v>
      </c>
      <c r="B479" s="96" t="s">
        <v>2207</v>
      </c>
      <c r="C479" s="78">
        <f>VLOOKUP(GroupVertices[[#This Row],[Vertex]],Vertices[],MATCH("ID",Vertices[[#Headers],[Vertex]:[Vertex Group]],0),FALSE)</f>
        <v>224</v>
      </c>
    </row>
    <row r="480" spans="1:3" ht="15">
      <c r="A480" s="79" t="s">
        <v>3749</v>
      </c>
      <c r="B480" s="96" t="s">
        <v>2208</v>
      </c>
      <c r="C480" s="78">
        <f>VLOOKUP(GroupVertices[[#This Row],[Vertex]],Vertices[],MATCH("ID",Vertices[[#Headers],[Vertex]:[Vertex Group]],0),FALSE)</f>
        <v>225</v>
      </c>
    </row>
    <row r="481" spans="1:3" ht="15">
      <c r="A481" s="79" t="s">
        <v>3829</v>
      </c>
      <c r="B481" s="96" t="s">
        <v>2360</v>
      </c>
      <c r="C481" s="78">
        <f>VLOOKUP(GroupVertices[[#This Row],[Vertex]],Vertices[],MATCH("ID",Vertices[[#Headers],[Vertex]:[Vertex Group]],0),FALSE)</f>
        <v>529</v>
      </c>
    </row>
    <row r="482" spans="1:3" ht="15">
      <c r="A482" s="79" t="s">
        <v>3829</v>
      </c>
      <c r="B482" s="96" t="s">
        <v>2366</v>
      </c>
      <c r="C482" s="78">
        <f>VLOOKUP(GroupVertices[[#This Row],[Vertex]],Vertices[],MATCH("ID",Vertices[[#Headers],[Vertex]:[Vertex Group]],0),FALSE)</f>
        <v>535</v>
      </c>
    </row>
    <row r="483" spans="1:3" ht="15">
      <c r="A483" s="79" t="s">
        <v>3830</v>
      </c>
      <c r="B483" s="96" t="s">
        <v>2361</v>
      </c>
      <c r="C483" s="78">
        <f>VLOOKUP(GroupVertices[[#This Row],[Vertex]],Vertices[],MATCH("ID",Vertices[[#Headers],[Vertex]:[Vertex Group]],0),FALSE)</f>
        <v>530</v>
      </c>
    </row>
    <row r="484" spans="1:3" ht="15">
      <c r="A484" s="79" t="s">
        <v>3830</v>
      </c>
      <c r="B484" s="96" t="s">
        <v>2365</v>
      </c>
      <c r="C484" s="78">
        <f>VLOOKUP(GroupVertices[[#This Row],[Vertex]],Vertices[],MATCH("ID",Vertices[[#Headers],[Vertex]:[Vertex Group]],0),FALSE)</f>
        <v>534</v>
      </c>
    </row>
    <row r="485" spans="1:3" ht="15">
      <c r="A485" s="79" t="s">
        <v>4461</v>
      </c>
      <c r="B485" s="96" t="s">
        <v>2362</v>
      </c>
      <c r="C485" s="78">
        <f>VLOOKUP(GroupVertices[[#This Row],[Vertex]],Vertices[],MATCH("ID",Vertices[[#Headers],[Vertex]:[Vertex Group]],0),FALSE)</f>
        <v>531</v>
      </c>
    </row>
    <row r="486" spans="1:3" ht="15">
      <c r="A486" s="79" t="s">
        <v>4461</v>
      </c>
      <c r="B486" s="96" t="s">
        <v>2363</v>
      </c>
      <c r="C486" s="78">
        <f>VLOOKUP(GroupVertices[[#This Row],[Vertex]],Vertices[],MATCH("ID",Vertices[[#Headers],[Vertex]:[Vertex Group]],0),FALSE)</f>
        <v>532</v>
      </c>
    </row>
    <row r="487" spans="1:3" ht="15">
      <c r="A487" s="79" t="s">
        <v>3833</v>
      </c>
      <c r="B487" s="96" t="s">
        <v>2367</v>
      </c>
      <c r="C487" s="78">
        <f>VLOOKUP(GroupVertices[[#This Row],[Vertex]],Vertices[],MATCH("ID",Vertices[[#Headers],[Vertex]:[Vertex Group]],0),FALSE)</f>
        <v>536</v>
      </c>
    </row>
    <row r="488" spans="1:3" ht="15">
      <c r="A488" s="79" t="s">
        <v>3833</v>
      </c>
      <c r="B488" s="96" t="s">
        <v>2368</v>
      </c>
      <c r="C488" s="78">
        <f>VLOOKUP(GroupVertices[[#This Row],[Vertex]],Vertices[],MATCH("ID",Vertices[[#Headers],[Vertex]:[Vertex Group]],0),FALSE)</f>
        <v>537</v>
      </c>
    </row>
    <row r="489" spans="1:3" ht="15">
      <c r="A489" s="79" t="s">
        <v>3839</v>
      </c>
      <c r="B489" s="96" t="s">
        <v>2374</v>
      </c>
      <c r="C489" s="78">
        <f>VLOOKUP(GroupVertices[[#This Row],[Vertex]],Vertices[],MATCH("ID",Vertices[[#Headers],[Vertex]:[Vertex Group]],0),FALSE)</f>
        <v>543</v>
      </c>
    </row>
    <row r="490" spans="1:3" ht="15">
      <c r="A490" s="79" t="s">
        <v>3839</v>
      </c>
      <c r="B490" s="96" t="s">
        <v>2379</v>
      </c>
      <c r="C490" s="78">
        <f>VLOOKUP(GroupVertices[[#This Row],[Vertex]],Vertices[],MATCH("ID",Vertices[[#Headers],[Vertex]:[Vertex Group]],0),FALSE)</f>
        <v>548</v>
      </c>
    </row>
    <row r="491" spans="1:3" ht="15">
      <c r="A491" s="79" t="s">
        <v>1614</v>
      </c>
      <c r="B491" s="96" t="s">
        <v>437</v>
      </c>
      <c r="C491" s="78">
        <f>VLOOKUP(GroupVertices[[#This Row],[Vertex]],Vertices[],MATCH("ID",Vertices[[#Headers],[Vertex]:[Vertex Group]],0),FALSE)</f>
        <v>387</v>
      </c>
    </row>
    <row r="492" spans="1:3" ht="15">
      <c r="A492" s="79" t="s">
        <v>1614</v>
      </c>
      <c r="B492" s="96" t="s">
        <v>438</v>
      </c>
      <c r="C492" s="78">
        <f>VLOOKUP(GroupVertices[[#This Row],[Vertex]],Vertices[],MATCH("ID",Vertices[[#Headers],[Vertex]:[Vertex Group]],0),FALSE)</f>
        <v>388</v>
      </c>
    </row>
    <row r="493" spans="1:3" ht="15">
      <c r="A493" s="79" t="s">
        <v>1618</v>
      </c>
      <c r="B493" s="96" t="s">
        <v>443</v>
      </c>
      <c r="C493" s="78">
        <f>VLOOKUP(GroupVertices[[#This Row],[Vertex]],Vertices[],MATCH("ID",Vertices[[#Headers],[Vertex]:[Vertex Group]],0),FALSE)</f>
        <v>393</v>
      </c>
    </row>
    <row r="494" spans="1:3" ht="15">
      <c r="A494" s="79" t="s">
        <v>1618</v>
      </c>
      <c r="B494" s="96" t="s">
        <v>442</v>
      </c>
      <c r="C494" s="78">
        <f>VLOOKUP(GroupVertices[[#This Row],[Vertex]],Vertices[],MATCH("ID",Vertices[[#Headers],[Vertex]:[Vertex Group]],0),FALSE)</f>
        <v>394</v>
      </c>
    </row>
    <row r="495" spans="1:3" ht="15">
      <c r="A495" s="79" t="s">
        <v>1612</v>
      </c>
      <c r="B495" s="96" t="s">
        <v>444</v>
      </c>
      <c r="C495" s="78">
        <f>VLOOKUP(GroupVertices[[#This Row],[Vertex]],Vertices[],MATCH("ID",Vertices[[#Headers],[Vertex]:[Vertex Group]],0),FALSE)</f>
        <v>395</v>
      </c>
    </row>
    <row r="496" spans="1:3" ht="15">
      <c r="A496" s="79" t="s">
        <v>1612</v>
      </c>
      <c r="B496" s="96" t="s">
        <v>433</v>
      </c>
      <c r="C496" s="78">
        <f>VLOOKUP(GroupVertices[[#This Row],[Vertex]],Vertices[],MATCH("ID",Vertices[[#Headers],[Vertex]:[Vertex Group]],0),FALSE)</f>
        <v>396</v>
      </c>
    </row>
    <row r="497" spans="1:3" ht="15">
      <c r="A497" s="79" t="s">
        <v>1567</v>
      </c>
      <c r="B497" s="96" t="s">
        <v>326</v>
      </c>
      <c r="C497" s="78">
        <f>VLOOKUP(GroupVertices[[#This Row],[Vertex]],Vertices[],MATCH("ID",Vertices[[#Headers],[Vertex]:[Vertex Group]],0),FALSE)</f>
        <v>74</v>
      </c>
    </row>
    <row r="498" spans="1:3" ht="15">
      <c r="A498" s="79" t="s">
        <v>1587</v>
      </c>
      <c r="B498" s="96" t="s">
        <v>393</v>
      </c>
      <c r="C498" s="78">
        <f>VLOOKUP(GroupVertices[[#This Row],[Vertex]],Vertices[],MATCH("ID",Vertices[[#Headers],[Vertex]:[Vertex Group]],0),FALSE)</f>
        <v>161</v>
      </c>
    </row>
    <row r="499" spans="1:3" ht="15">
      <c r="A499" s="79" t="s">
        <v>1588</v>
      </c>
      <c r="B499" s="96" t="s">
        <v>394</v>
      </c>
      <c r="C499" s="78">
        <f>VLOOKUP(GroupVertices[[#This Row],[Vertex]],Vertices[],MATCH("ID",Vertices[[#Headers],[Vertex]:[Vertex Group]],0),FALSE)</f>
        <v>163</v>
      </c>
    </row>
    <row r="500" spans="1:3" ht="15">
      <c r="A500" s="79" t="s">
        <v>1589</v>
      </c>
      <c r="B500" s="96" t="s">
        <v>395</v>
      </c>
      <c r="C500" s="78">
        <f>VLOOKUP(GroupVertices[[#This Row],[Vertex]],Vertices[],MATCH("ID",Vertices[[#Headers],[Vertex]:[Vertex Group]],0),FALSE)</f>
        <v>164</v>
      </c>
    </row>
    <row r="501" spans="1:3" ht="15">
      <c r="A501" s="79" t="s">
        <v>1488</v>
      </c>
      <c r="B501" s="96" t="s">
        <v>252</v>
      </c>
      <c r="C501" s="78">
        <f>VLOOKUP(GroupVertices[[#This Row],[Vertex]],Vertices[],MATCH("ID",Vertices[[#Headers],[Vertex]:[Vertex Group]],0),FALSE)</f>
        <v>111</v>
      </c>
    </row>
    <row r="502" spans="1:3" ht="15">
      <c r="A502" s="79" t="s">
        <v>1489</v>
      </c>
      <c r="B502" s="96" t="s">
        <v>253</v>
      </c>
      <c r="C502" s="78">
        <f>VLOOKUP(GroupVertices[[#This Row],[Vertex]],Vertices[],MATCH("ID",Vertices[[#Headers],[Vertex]:[Vertex Group]],0),FALSE)</f>
        <v>112</v>
      </c>
    </row>
    <row r="503" spans="1:3" ht="15">
      <c r="A503" s="79" t="s">
        <v>1499</v>
      </c>
      <c r="B503" s="96" t="s">
        <v>261</v>
      </c>
      <c r="C503" s="78">
        <f>VLOOKUP(GroupVertices[[#This Row],[Vertex]],Vertices[],MATCH("ID",Vertices[[#Headers],[Vertex]:[Vertex Group]],0),FALSE)</f>
        <v>113</v>
      </c>
    </row>
    <row r="504" spans="1:3" ht="15">
      <c r="A504" s="79" t="s">
        <v>1500</v>
      </c>
      <c r="B504" s="96" t="s">
        <v>262</v>
      </c>
      <c r="C504" s="78">
        <f>VLOOKUP(GroupVertices[[#This Row],[Vertex]],Vertices[],MATCH("ID",Vertices[[#Headers],[Vertex]:[Vertex Group]],0),FALSE)</f>
        <v>114</v>
      </c>
    </row>
    <row r="505" spans="1:3" ht="15">
      <c r="A505" s="79" t="s">
        <v>1490</v>
      </c>
      <c r="B505" s="96" t="s">
        <v>254</v>
      </c>
      <c r="C505" s="78">
        <f>VLOOKUP(GroupVertices[[#This Row],[Vertex]],Vertices[],MATCH("ID",Vertices[[#Headers],[Vertex]:[Vertex Group]],0),FALSE)</f>
        <v>115</v>
      </c>
    </row>
    <row r="506" spans="1:3" ht="15">
      <c r="A506" s="79" t="s">
        <v>1491</v>
      </c>
      <c r="B506" s="96" t="s">
        <v>255</v>
      </c>
      <c r="C506" s="78">
        <f>VLOOKUP(GroupVertices[[#This Row],[Vertex]],Vertices[],MATCH("ID",Vertices[[#Headers],[Vertex]:[Vertex Group]],0),FALSE)</f>
        <v>116</v>
      </c>
    </row>
    <row r="507" spans="1:3" ht="15">
      <c r="A507" s="79" t="s">
        <v>1501</v>
      </c>
      <c r="B507" s="96" t="s">
        <v>263</v>
      </c>
      <c r="C507" s="78">
        <f>VLOOKUP(GroupVertices[[#This Row],[Vertex]],Vertices[],MATCH("ID",Vertices[[#Headers],[Vertex]:[Vertex Group]],0),FALSE)</f>
        <v>117</v>
      </c>
    </row>
    <row r="508" spans="1:3" ht="15">
      <c r="A508" s="79" t="s">
        <v>1492</v>
      </c>
      <c r="B508" s="96" t="s">
        <v>256</v>
      </c>
      <c r="C508" s="78">
        <f>VLOOKUP(GroupVertices[[#This Row],[Vertex]],Vertices[],MATCH("ID",Vertices[[#Headers],[Vertex]:[Vertex Group]],0),FALSE)</f>
        <v>118</v>
      </c>
    </row>
    <row r="509" spans="1:3" ht="15">
      <c r="A509" s="79" t="s">
        <v>1493</v>
      </c>
      <c r="B509" s="96" t="s">
        <v>257</v>
      </c>
      <c r="C509" s="78">
        <f>VLOOKUP(GroupVertices[[#This Row],[Vertex]],Vertices[],MATCH("ID",Vertices[[#Headers],[Vertex]:[Vertex Group]],0),FALSE)</f>
        <v>119</v>
      </c>
    </row>
    <row r="510" spans="1:3" ht="15">
      <c r="A510" s="79" t="s">
        <v>1494</v>
      </c>
      <c r="B510" s="96" t="s">
        <v>258</v>
      </c>
      <c r="C510" s="78">
        <f>VLOOKUP(GroupVertices[[#This Row],[Vertex]],Vertices[],MATCH("ID",Vertices[[#Headers],[Vertex]:[Vertex Group]],0),FALSE)</f>
        <v>120</v>
      </c>
    </row>
    <row r="511" spans="1:3" ht="15">
      <c r="A511" s="79" t="s">
        <v>1495</v>
      </c>
      <c r="B511" s="96" t="s">
        <v>259</v>
      </c>
      <c r="C511" s="78">
        <f>VLOOKUP(GroupVertices[[#This Row],[Vertex]],Vertices[],MATCH("ID",Vertices[[#Headers],[Vertex]:[Vertex Group]],0),FALSE)</f>
        <v>121</v>
      </c>
    </row>
    <row r="512" spans="1:3" ht="15">
      <c r="A512" s="79" t="s">
        <v>1496</v>
      </c>
      <c r="B512" s="96" t="s">
        <v>260</v>
      </c>
      <c r="C512" s="78">
        <f>VLOOKUP(GroupVertices[[#This Row],[Vertex]],Vertices[],MATCH("ID",Vertices[[#Headers],[Vertex]:[Vertex Group]],0),FALSE)</f>
        <v>122</v>
      </c>
    </row>
    <row r="513" spans="1:3" ht="15">
      <c r="A513" s="79" t="s">
        <v>3721</v>
      </c>
      <c r="B513" s="96" t="s">
        <v>2161</v>
      </c>
      <c r="C513" s="78">
        <f>VLOOKUP(GroupVertices[[#This Row],[Vertex]],Vertices[],MATCH("ID",Vertices[[#Headers],[Vertex]:[Vertex Group]],0),FALSE)</f>
        <v>166</v>
      </c>
    </row>
    <row r="514" spans="1:3" ht="15">
      <c r="A514" s="79" t="s">
        <v>1596</v>
      </c>
      <c r="B514" s="96" t="s">
        <v>403</v>
      </c>
      <c r="C514" s="78">
        <f>VLOOKUP(GroupVertices[[#This Row],[Vertex]],Vertices[],MATCH("ID",Vertices[[#Headers],[Vertex]:[Vertex Group]],0),FALSE)</f>
        <v>330</v>
      </c>
    </row>
    <row r="515" spans="1:3" ht="15">
      <c r="A515" s="79" t="s">
        <v>1597</v>
      </c>
      <c r="B515" s="96" t="s">
        <v>404</v>
      </c>
      <c r="C515" s="78">
        <f>VLOOKUP(GroupVertices[[#This Row],[Vertex]],Vertices[],MATCH("ID",Vertices[[#Headers],[Vertex]:[Vertex Group]],0),FALSE)</f>
        <v>331</v>
      </c>
    </row>
    <row r="516" spans="1:3" ht="15">
      <c r="A516" s="79" t="s">
        <v>1595</v>
      </c>
      <c r="B516" s="96" t="s">
        <v>402</v>
      </c>
      <c r="C516" s="78">
        <f>VLOOKUP(GroupVertices[[#This Row],[Vertex]],Vertices[],MATCH("ID",Vertices[[#Headers],[Vertex]:[Vertex Group]],0),FALSE)</f>
        <v>332</v>
      </c>
    </row>
    <row r="517" spans="1:3" ht="15">
      <c r="A517" s="79" t="s">
        <v>1598</v>
      </c>
      <c r="B517" s="96" t="s">
        <v>405</v>
      </c>
      <c r="C517" s="78">
        <f>VLOOKUP(GroupVertices[[#This Row],[Vertex]],Vertices[],MATCH("ID",Vertices[[#Headers],[Vertex]:[Vertex Group]],0),FALSE)</f>
        <v>333</v>
      </c>
    </row>
    <row r="518" spans="1:3" ht="15">
      <c r="A518" s="79" t="s">
        <v>1599</v>
      </c>
      <c r="B518" s="96" t="s">
        <v>406</v>
      </c>
      <c r="C518" s="78">
        <f>VLOOKUP(GroupVertices[[#This Row],[Vertex]],Vertices[],MATCH("ID",Vertices[[#Headers],[Vertex]:[Vertex Group]],0),FALSE)</f>
        <v>334</v>
      </c>
    </row>
    <row r="519" spans="1:3" ht="15">
      <c r="A519" s="79" t="s">
        <v>1602</v>
      </c>
      <c r="B519" s="96" t="s">
        <v>409</v>
      </c>
      <c r="C519" s="78">
        <f>VLOOKUP(GroupVertices[[#This Row],[Vertex]],Vertices[],MATCH("ID",Vertices[[#Headers],[Vertex]:[Vertex Group]],0),FALSE)</f>
        <v>335</v>
      </c>
    </row>
    <row r="520" spans="1:3" ht="15">
      <c r="A520" s="79" t="s">
        <v>1601</v>
      </c>
      <c r="B520" s="96" t="s">
        <v>408</v>
      </c>
      <c r="C520" s="78">
        <f>VLOOKUP(GroupVertices[[#This Row],[Vertex]],Vertices[],MATCH("ID",Vertices[[#Headers],[Vertex]:[Vertex Group]],0),FALSE)</f>
        <v>336</v>
      </c>
    </row>
    <row r="521" spans="1:3" ht="15">
      <c r="A521" s="79" t="s">
        <v>1600</v>
      </c>
      <c r="B521" s="96" t="s">
        <v>407</v>
      </c>
      <c r="C521" s="78">
        <f>VLOOKUP(GroupVertices[[#This Row],[Vertex]],Vertices[],MATCH("ID",Vertices[[#Headers],[Vertex]:[Vertex Group]],0),FALSE)</f>
        <v>337</v>
      </c>
    </row>
    <row r="522" spans="1:3" ht="15">
      <c r="A522" s="79" t="s">
        <v>1594</v>
      </c>
      <c r="B522" s="96" t="s">
        <v>400</v>
      </c>
      <c r="C522" s="78">
        <f>VLOOKUP(GroupVertices[[#This Row],[Vertex]],Vertices[],MATCH("ID",Vertices[[#Headers],[Vertex]:[Vertex Group]],0),FALSE)</f>
        <v>338</v>
      </c>
    </row>
    <row r="523" spans="1:3" ht="15">
      <c r="A523" s="79" t="s">
        <v>1603</v>
      </c>
      <c r="B523" s="96" t="s">
        <v>410</v>
      </c>
      <c r="C523" s="78">
        <f>VLOOKUP(GroupVertices[[#This Row],[Vertex]],Vertices[],MATCH("ID",Vertices[[#Headers],[Vertex]:[Vertex Group]],0),FALSE)</f>
        <v>339</v>
      </c>
    </row>
    <row r="524" spans="1:3" ht="15">
      <c r="A524" s="79" t="s">
        <v>1604</v>
      </c>
      <c r="B524" s="96" t="s">
        <v>411</v>
      </c>
      <c r="C524" s="78">
        <f>VLOOKUP(GroupVertices[[#This Row],[Vertex]],Vertices[],MATCH("ID",Vertices[[#Headers],[Vertex]:[Vertex Group]],0),FALSE)</f>
        <v>340</v>
      </c>
    </row>
    <row r="525" spans="1:3" ht="15">
      <c r="A525" s="79" t="s">
        <v>4462</v>
      </c>
      <c r="B525" s="96" t="s">
        <v>2396</v>
      </c>
      <c r="C525" s="78">
        <f>VLOOKUP(GroupVertices[[#This Row],[Vertex]],Vertices[],MATCH("ID",Vertices[[#Headers],[Vertex]:[Vertex Group]],0),FALSE)</f>
        <v>568</v>
      </c>
    </row>
    <row r="526" spans="1:3" ht="15">
      <c r="A526" s="79" t="s">
        <v>3804</v>
      </c>
      <c r="B526" s="96" t="s">
        <v>2315</v>
      </c>
      <c r="C526" s="78">
        <f>VLOOKUP(GroupVertices[[#This Row],[Vertex]],Vertices[],MATCH("ID",Vertices[[#Headers],[Vertex]:[Vertex Group]],0),FALSE)</f>
        <v>385</v>
      </c>
    </row>
    <row r="527" spans="1:3" ht="15">
      <c r="A527" s="79" t="s">
        <v>3847</v>
      </c>
      <c r="B527" s="96" t="s">
        <v>2397</v>
      </c>
      <c r="C527" s="78">
        <f>VLOOKUP(GroupVertices[[#This Row],[Vertex]],Vertices[],MATCH("ID",Vertices[[#Headers],[Vertex]:[Vertex Group]],0),FALSE)</f>
        <v>569</v>
      </c>
    </row>
    <row r="528" spans="1:3" ht="15">
      <c r="A528" s="79" t="s">
        <v>3848</v>
      </c>
      <c r="B528" s="96" t="s">
        <v>2398</v>
      </c>
      <c r="C528" s="78">
        <f>VLOOKUP(GroupVertices[[#This Row],[Vertex]],Vertices[],MATCH("ID",Vertices[[#Headers],[Vertex]:[Vertex Group]],0),FALSE)</f>
        <v>570</v>
      </c>
    </row>
    <row r="529" spans="1:3" ht="15">
      <c r="A529" s="79" t="s">
        <v>3849</v>
      </c>
      <c r="B529" s="96" t="s">
        <v>2399</v>
      </c>
      <c r="C529" s="78">
        <f>VLOOKUP(GroupVertices[[#This Row],[Vertex]],Vertices[],MATCH("ID",Vertices[[#Headers],[Vertex]:[Vertex Group]],0),FALSE)</f>
        <v>571</v>
      </c>
    </row>
    <row r="530" spans="1:3" ht="15">
      <c r="A530" s="79" t="s">
        <v>3850</v>
      </c>
      <c r="B530" s="96" t="s">
        <v>2400</v>
      </c>
      <c r="C530" s="78">
        <f>VLOOKUP(GroupVertices[[#This Row],[Vertex]],Vertices[],MATCH("ID",Vertices[[#Headers],[Vertex]:[Vertex Group]],0),FALSE)</f>
        <v>572</v>
      </c>
    </row>
    <row r="531" spans="1:3" ht="15">
      <c r="A531" s="79" t="s">
        <v>3851</v>
      </c>
      <c r="B531" s="96" t="s">
        <v>2401</v>
      </c>
      <c r="C531" s="78">
        <f>VLOOKUP(GroupVertices[[#This Row],[Vertex]],Vertices[],MATCH("ID",Vertices[[#Headers],[Vertex]:[Vertex Group]],0),FALSE)</f>
        <v>573</v>
      </c>
    </row>
    <row r="532" spans="1:3" ht="15">
      <c r="A532" s="79" t="s">
        <v>3852</v>
      </c>
      <c r="B532" s="96" t="s">
        <v>2402</v>
      </c>
      <c r="C532" s="78">
        <f>VLOOKUP(GroupVertices[[#This Row],[Vertex]],Vertices[],MATCH("ID",Vertices[[#Headers],[Vertex]:[Vertex Group]],0),FALSE)</f>
        <v>574</v>
      </c>
    </row>
    <row r="533" spans="1:3" ht="15">
      <c r="A533" s="79" t="s">
        <v>3853</v>
      </c>
      <c r="B533" s="96" t="s">
        <v>2405</v>
      </c>
      <c r="C533" s="78">
        <f>VLOOKUP(GroupVertices[[#This Row],[Vertex]],Vertices[],MATCH("ID",Vertices[[#Headers],[Vertex]:[Vertex Group]],0),FALSE)</f>
        <v>587</v>
      </c>
    </row>
    <row r="534" spans="1:3" ht="15">
      <c r="A534" s="79" t="s">
        <v>3854</v>
      </c>
      <c r="B534" s="96" t="s">
        <v>2406</v>
      </c>
      <c r="C534" s="78">
        <f>VLOOKUP(GroupVertices[[#This Row],[Vertex]],Vertices[],MATCH("ID",Vertices[[#Headers],[Vertex]:[Vertex Group]],0),FALSE)</f>
        <v>588</v>
      </c>
    </row>
    <row r="535" spans="1:3" ht="15">
      <c r="A535" s="79" t="s">
        <v>3855</v>
      </c>
      <c r="B535" s="96" t="s">
        <v>2407</v>
      </c>
      <c r="C535" s="78">
        <f>VLOOKUP(GroupVertices[[#This Row],[Vertex]],Vertices[],MATCH("ID",Vertices[[#Headers],[Vertex]:[Vertex Group]],0),FALSE)</f>
        <v>589</v>
      </c>
    </row>
    <row r="536" spans="1:3" ht="15">
      <c r="A536" s="79" t="s">
        <v>3856</v>
      </c>
      <c r="B536" s="96" t="s">
        <v>2408</v>
      </c>
      <c r="C536" s="78">
        <f>VLOOKUP(GroupVertices[[#This Row],[Vertex]],Vertices[],MATCH("ID",Vertices[[#Headers],[Vertex]:[Vertex Group]],0),FALSE)</f>
        <v>590</v>
      </c>
    </row>
    <row r="537" spans="1:3" ht="15">
      <c r="A537" s="79" t="s">
        <v>1526</v>
      </c>
      <c r="B537" s="96" t="s">
        <v>381</v>
      </c>
      <c r="C537" s="78">
        <f>VLOOKUP(GroupVertices[[#This Row],[Vertex]],Vertices[],MATCH("ID",Vertices[[#Headers],[Vertex]:[Vertex Group]],0),FALSE)</f>
        <v>591</v>
      </c>
    </row>
    <row r="538" spans="1:3" ht="15">
      <c r="A538" s="79" t="s">
        <v>1571</v>
      </c>
      <c r="B538" s="96" t="s">
        <v>208</v>
      </c>
      <c r="C538" s="78">
        <f>VLOOKUP(GroupVertices[[#This Row],[Vertex]],Vertices[],MATCH("ID",Vertices[[#Headers],[Vertex]:[Vertex Group]],0),FALSE)</f>
        <v>50</v>
      </c>
    </row>
    <row r="539" spans="1:3" ht="15">
      <c r="A539" s="79" t="s">
        <v>1577</v>
      </c>
      <c r="B539" s="96" t="s">
        <v>357</v>
      </c>
      <c r="C539" s="78">
        <f>VLOOKUP(GroupVertices[[#This Row],[Vertex]],Vertices[],MATCH("ID",Vertices[[#Headers],[Vertex]:[Vertex Group]],0),FALSE)</f>
        <v>126</v>
      </c>
    </row>
    <row r="540" spans="1:3" ht="15">
      <c r="A540" s="79" t="s">
        <v>1575</v>
      </c>
      <c r="B540" s="96" t="s">
        <v>354</v>
      </c>
      <c r="C540" s="78">
        <f>VLOOKUP(GroupVertices[[#This Row],[Vertex]],Vertices[],MATCH("ID",Vertices[[#Headers],[Vertex]:[Vertex Group]],0),FALSE)</f>
        <v>127</v>
      </c>
    </row>
    <row r="541" spans="1:3" ht="15">
      <c r="A541" s="79" t="s">
        <v>3715</v>
      </c>
      <c r="B541" s="96" t="s">
        <v>2153</v>
      </c>
      <c r="C541" s="78">
        <f>VLOOKUP(GroupVertices[[#This Row],[Vertex]],Vertices[],MATCH("ID",Vertices[[#Headers],[Vertex]:[Vertex Group]],0),FALSE)</f>
        <v>128</v>
      </c>
    </row>
    <row r="542" spans="1:3" ht="15">
      <c r="A542" s="79" t="s">
        <v>1572</v>
      </c>
      <c r="B542" s="96" t="s">
        <v>351</v>
      </c>
      <c r="C542" s="78">
        <f>VLOOKUP(GroupVertices[[#This Row],[Vertex]],Vertices[],MATCH("ID",Vertices[[#Headers],[Vertex]:[Vertex Group]],0),FALSE)</f>
        <v>129</v>
      </c>
    </row>
    <row r="543" spans="1:3" ht="15">
      <c r="A543" s="79" t="s">
        <v>1573</v>
      </c>
      <c r="B543" s="96" t="s">
        <v>352</v>
      </c>
      <c r="C543" s="78">
        <f>VLOOKUP(GroupVertices[[#This Row],[Vertex]],Vertices[],MATCH("ID",Vertices[[#Headers],[Vertex]:[Vertex Group]],0),FALSE)</f>
        <v>131</v>
      </c>
    </row>
    <row r="544" spans="1:3" ht="15">
      <c r="A544" s="79" t="s">
        <v>1578</v>
      </c>
      <c r="B544" s="96" t="s">
        <v>358</v>
      </c>
      <c r="C544" s="78">
        <f>VLOOKUP(GroupVertices[[#This Row],[Vertex]],Vertices[],MATCH("ID",Vertices[[#Headers],[Vertex]:[Vertex Group]],0),FALSE)</f>
        <v>132</v>
      </c>
    </row>
    <row r="545" spans="1:3" ht="15">
      <c r="A545" s="79" t="s">
        <v>3716</v>
      </c>
      <c r="B545" s="96" t="s">
        <v>2154</v>
      </c>
      <c r="C545" s="78">
        <f>VLOOKUP(GroupVertices[[#This Row],[Vertex]],Vertices[],MATCH("ID",Vertices[[#Headers],[Vertex]:[Vertex Group]],0),FALSE)</f>
        <v>133</v>
      </c>
    </row>
    <row r="546" spans="1:3" ht="15">
      <c r="A546" s="79" t="s">
        <v>3717</v>
      </c>
      <c r="B546" s="96" t="s">
        <v>2155</v>
      </c>
      <c r="C546" s="78">
        <f>VLOOKUP(GroupVertices[[#This Row],[Vertex]],Vertices[],MATCH("ID",Vertices[[#Headers],[Vertex]:[Vertex Group]],0),FALSE)</f>
        <v>134</v>
      </c>
    </row>
    <row r="547" spans="1:3" ht="15">
      <c r="A547" s="79" t="s">
        <v>1579</v>
      </c>
      <c r="B547" s="96" t="s">
        <v>359</v>
      </c>
      <c r="C547" s="78">
        <f>VLOOKUP(GroupVertices[[#This Row],[Vertex]],Vertices[],MATCH("ID",Vertices[[#Headers],[Vertex]:[Vertex Group]],0),FALSE)</f>
        <v>135</v>
      </c>
    </row>
    <row r="548" spans="1:3" ht="15">
      <c r="A548" s="79" t="s">
        <v>1574</v>
      </c>
      <c r="B548" s="96" t="s">
        <v>353</v>
      </c>
      <c r="C548" s="78">
        <f>VLOOKUP(GroupVertices[[#This Row],[Vertex]],Vertices[],MATCH("ID",Vertices[[#Headers],[Vertex]:[Vertex Group]],0),FALSE)</f>
        <v>136</v>
      </c>
    </row>
    <row r="549" spans="1:3" ht="15">
      <c r="A549" s="79" t="s">
        <v>3704</v>
      </c>
      <c r="B549" s="96" t="s">
        <v>2139</v>
      </c>
      <c r="C549" s="78">
        <f>VLOOKUP(GroupVertices[[#This Row],[Vertex]],Vertices[],MATCH("ID",Vertices[[#Headers],[Vertex]:[Vertex Group]],0),FALSE)</f>
        <v>93</v>
      </c>
    </row>
    <row r="550" spans="1:3" ht="15">
      <c r="A550" s="79" t="s">
        <v>3705</v>
      </c>
      <c r="B550" s="96" t="s">
        <v>2140</v>
      </c>
      <c r="C550" s="78">
        <f>VLOOKUP(GroupVertices[[#This Row],[Vertex]],Vertices[],MATCH("ID",Vertices[[#Headers],[Vertex]:[Vertex Group]],0),FALSE)</f>
        <v>94</v>
      </c>
    </row>
    <row r="551" spans="1:3" ht="15">
      <c r="A551" s="79" t="s">
        <v>4463</v>
      </c>
      <c r="B551" s="96" t="s">
        <v>2141</v>
      </c>
      <c r="C551" s="78">
        <f>VLOOKUP(GroupVertices[[#This Row],[Vertex]],Vertices[],MATCH("ID",Vertices[[#Headers],[Vertex]:[Vertex Group]],0),FALSE)</f>
        <v>95</v>
      </c>
    </row>
    <row r="552" spans="1:3" ht="15">
      <c r="A552" s="79" t="s">
        <v>3707</v>
      </c>
      <c r="B552" s="96" t="s">
        <v>2142</v>
      </c>
      <c r="C552" s="78">
        <f>VLOOKUP(GroupVertices[[#This Row],[Vertex]],Vertices[],MATCH("ID",Vertices[[#Headers],[Vertex]:[Vertex Group]],0),FALSE)</f>
        <v>96</v>
      </c>
    </row>
    <row r="553" spans="1:3" ht="15">
      <c r="A553" s="79" t="s">
        <v>3708</v>
      </c>
      <c r="B553" s="96" t="s">
        <v>2143</v>
      </c>
      <c r="C553" s="78">
        <f>VLOOKUP(GroupVertices[[#This Row],[Vertex]],Vertices[],MATCH("ID",Vertices[[#Headers],[Vertex]:[Vertex Group]],0),FALSE)</f>
        <v>97</v>
      </c>
    </row>
    <row r="554" spans="1:3" ht="15">
      <c r="A554" s="79" t="s">
        <v>3709</v>
      </c>
      <c r="B554" s="96" t="s">
        <v>2144</v>
      </c>
      <c r="C554" s="78">
        <f>VLOOKUP(GroupVertices[[#This Row],[Vertex]],Vertices[],MATCH("ID",Vertices[[#Headers],[Vertex]:[Vertex Group]],0),FALSE)</f>
        <v>98</v>
      </c>
    </row>
    <row r="555" spans="1:3" ht="15">
      <c r="A555" s="79" t="s">
        <v>3711</v>
      </c>
      <c r="B555" s="96" t="s">
        <v>2146</v>
      </c>
      <c r="C555" s="78">
        <f>VLOOKUP(GroupVertices[[#This Row],[Vertex]],Vertices[],MATCH("ID",Vertices[[#Headers],[Vertex]:[Vertex Group]],0),FALSE)</f>
        <v>100</v>
      </c>
    </row>
    <row r="556" spans="1:3" ht="15">
      <c r="A556" s="79" t="s">
        <v>3712</v>
      </c>
      <c r="B556" s="96" t="s">
        <v>2147</v>
      </c>
      <c r="C556" s="78">
        <f>VLOOKUP(GroupVertices[[#This Row],[Vertex]],Vertices[],MATCH("ID",Vertices[[#Headers],[Vertex]:[Vertex Group]],0),FALSE)</f>
        <v>101</v>
      </c>
    </row>
    <row r="557" spans="1:3" ht="15">
      <c r="A557" s="79" t="s">
        <v>3713</v>
      </c>
      <c r="B557" s="96" t="s">
        <v>2148</v>
      </c>
      <c r="C557" s="78">
        <f>VLOOKUP(GroupVertices[[#This Row],[Vertex]],Vertices[],MATCH("ID",Vertices[[#Headers],[Vertex]:[Vertex Group]],0),FALSE)</f>
        <v>102</v>
      </c>
    </row>
    <row r="558" spans="1:3" ht="15">
      <c r="A558" s="79" t="s">
        <v>3714</v>
      </c>
      <c r="B558" s="96" t="s">
        <v>2152</v>
      </c>
      <c r="C558" s="78">
        <f>VLOOKUP(GroupVertices[[#This Row],[Vertex]],Vertices[],MATCH("ID",Vertices[[#Headers],[Vertex]:[Vertex Group]],0),FALSE)</f>
        <v>109</v>
      </c>
    </row>
    <row r="559" spans="1:3" ht="15">
      <c r="A559" s="79" t="s">
        <v>1519</v>
      </c>
      <c r="B559" s="96" t="s">
        <v>200</v>
      </c>
      <c r="C559" s="78">
        <f>VLOOKUP(GroupVertices[[#This Row],[Vertex]],Vertices[],MATCH("ID",Vertices[[#Headers],[Vertex]:[Vertex Group]],0),FALSE)</f>
        <v>43</v>
      </c>
    </row>
    <row r="560" spans="1:3" ht="15">
      <c r="A560" s="79" t="s">
        <v>3719</v>
      </c>
      <c r="B560" s="96" t="s">
        <v>2159</v>
      </c>
      <c r="C560" s="78">
        <f>VLOOKUP(GroupVertices[[#This Row],[Vertex]],Vertices[],MATCH("ID",Vertices[[#Headers],[Vertex]:[Vertex Group]],0),FALSE)</f>
        <v>158</v>
      </c>
    </row>
    <row r="561" spans="1:3" ht="15">
      <c r="A561" s="79" t="s">
        <v>3720</v>
      </c>
      <c r="B561" s="96" t="s">
        <v>2160</v>
      </c>
      <c r="C561" s="78">
        <f>VLOOKUP(GroupVertices[[#This Row],[Vertex]],Vertices[],MATCH("ID",Vertices[[#Headers],[Vertex]:[Vertex Group]],0),FALSE)</f>
        <v>159</v>
      </c>
    </row>
    <row r="562" spans="1:3" ht="15">
      <c r="A562" s="79" t="s">
        <v>3961</v>
      </c>
      <c r="B562" s="96" t="s">
        <v>2592</v>
      </c>
      <c r="C562" s="78">
        <f>VLOOKUP(GroupVertices[[#This Row],[Vertex]],Vertices[],MATCH("ID",Vertices[[#Headers],[Vertex]:[Vertex Group]],0),FALSE)</f>
        <v>852</v>
      </c>
    </row>
    <row r="563" spans="1:3" ht="15">
      <c r="A563" s="79" t="s">
        <v>3962</v>
      </c>
      <c r="B563" s="96" t="s">
        <v>2593</v>
      </c>
      <c r="C563" s="78">
        <f>VLOOKUP(GroupVertices[[#This Row],[Vertex]],Vertices[],MATCH("ID",Vertices[[#Headers],[Vertex]:[Vertex Group]],0),FALSE)</f>
        <v>853</v>
      </c>
    </row>
    <row r="564" spans="1:3" ht="15">
      <c r="A564" s="79" t="s">
        <v>3963</v>
      </c>
      <c r="B564" s="96" t="s">
        <v>2594</v>
      </c>
      <c r="C564" s="78">
        <f>VLOOKUP(GroupVertices[[#This Row],[Vertex]],Vertices[],MATCH("ID",Vertices[[#Headers],[Vertex]:[Vertex Group]],0),FALSE)</f>
        <v>854</v>
      </c>
    </row>
    <row r="565" spans="1:3" ht="15">
      <c r="A565" s="79" t="s">
        <v>3964</v>
      </c>
      <c r="B565" s="96" t="s">
        <v>2595</v>
      </c>
      <c r="C565" s="78">
        <f>VLOOKUP(GroupVertices[[#This Row],[Vertex]],Vertices[],MATCH("ID",Vertices[[#Headers],[Vertex]:[Vertex Group]],0),FALSE)</f>
        <v>855</v>
      </c>
    </row>
    <row r="566" spans="1:3" ht="15">
      <c r="A566" s="79" t="s">
        <v>1569</v>
      </c>
      <c r="B566" s="96" t="s">
        <v>343</v>
      </c>
      <c r="C566" s="78">
        <f>VLOOKUP(GroupVertices[[#This Row],[Vertex]],Vertices[],MATCH("ID",Vertices[[#Headers],[Vertex]:[Vertex Group]],0),FALSE)</f>
        <v>856</v>
      </c>
    </row>
    <row r="567" spans="1:3" ht="15">
      <c r="A567" s="79" t="s">
        <v>1581</v>
      </c>
      <c r="B567" s="96" t="s">
        <v>366</v>
      </c>
      <c r="C567" s="78">
        <f>VLOOKUP(GroupVertices[[#This Row],[Vertex]],Vertices[],MATCH("ID",Vertices[[#Headers],[Vertex]:[Vertex Group]],0),FALSE)</f>
        <v>857</v>
      </c>
    </row>
    <row r="568" spans="1:3" ht="15">
      <c r="A568" s="79" t="s">
        <v>3965</v>
      </c>
      <c r="B568" s="96" t="s">
        <v>2596</v>
      </c>
      <c r="C568" s="78">
        <f>VLOOKUP(GroupVertices[[#This Row],[Vertex]],Vertices[],MATCH("ID",Vertices[[#Headers],[Vertex]:[Vertex Group]],0),FALSE)</f>
        <v>858</v>
      </c>
    </row>
    <row r="569" spans="1:3" ht="15">
      <c r="A569" s="79" t="s">
        <v>1580</v>
      </c>
      <c r="B569" s="96" t="s">
        <v>364</v>
      </c>
      <c r="C569" s="78">
        <f>VLOOKUP(GroupVertices[[#This Row],[Vertex]],Vertices[],MATCH("ID",Vertices[[#Headers],[Vertex]:[Vertex Group]],0),FALSE)</f>
        <v>859</v>
      </c>
    </row>
    <row r="570" spans="1:3" ht="15">
      <c r="A570" s="79" t="s">
        <v>3966</v>
      </c>
      <c r="B570" s="96" t="s">
        <v>2597</v>
      </c>
      <c r="C570" s="78">
        <f>VLOOKUP(GroupVertices[[#This Row],[Vertex]],Vertices[],MATCH("ID",Vertices[[#Headers],[Vertex]:[Vertex Group]],0),FALSE)</f>
        <v>860</v>
      </c>
    </row>
    <row r="571" spans="1:3" ht="15">
      <c r="A571" s="79" t="s">
        <v>1513</v>
      </c>
      <c r="B571" s="96" t="s">
        <v>267</v>
      </c>
      <c r="C571" s="78">
        <f>VLOOKUP(GroupVertices[[#This Row],[Vertex]],Vertices[],MATCH("ID",Vertices[[#Headers],[Vertex]:[Vertex Group]],0),FALSE)</f>
        <v>861</v>
      </c>
    </row>
    <row r="572" spans="1:3" ht="15">
      <c r="A572" s="79" t="s">
        <v>1517</v>
      </c>
      <c r="B572" s="96" t="s">
        <v>266</v>
      </c>
      <c r="C572" s="78">
        <f>VLOOKUP(GroupVertices[[#This Row],[Vertex]],Vertices[],MATCH("ID",Vertices[[#Headers],[Vertex]:[Vertex Group]],0),FALSE)</f>
        <v>863</v>
      </c>
    </row>
    <row r="573" spans="1:3" ht="15">
      <c r="A573" s="79" t="s">
        <v>3967</v>
      </c>
      <c r="B573" s="96" t="s">
        <v>2600</v>
      </c>
      <c r="C573" s="78">
        <f>VLOOKUP(GroupVertices[[#This Row],[Vertex]],Vertices[],MATCH("ID",Vertices[[#Headers],[Vertex]:[Vertex Group]],0),FALSE)</f>
        <v>868</v>
      </c>
    </row>
    <row r="574" spans="1:3" ht="15">
      <c r="A574" s="79" t="s">
        <v>1592</v>
      </c>
      <c r="B574" s="96" t="s">
        <v>399</v>
      </c>
      <c r="C574" s="78">
        <f>VLOOKUP(GroupVertices[[#This Row],[Vertex]],Vertices[],MATCH("ID",Vertices[[#Headers],[Vertex]:[Vertex Group]],0),FALSE)</f>
        <v>870</v>
      </c>
    </row>
    <row r="575" spans="1:3" ht="15">
      <c r="A575" s="79" t="s">
        <v>1678</v>
      </c>
      <c r="B575" s="96" t="s">
        <v>609</v>
      </c>
      <c r="C575" s="78">
        <f>VLOOKUP(GroupVertices[[#This Row],[Vertex]],Vertices[],MATCH("ID",Vertices[[#Headers],[Vertex]:[Vertex Group]],0),FALSE)</f>
        <v>871</v>
      </c>
    </row>
    <row r="576" spans="1:3" ht="15">
      <c r="A576" s="79" t="s">
        <v>1540</v>
      </c>
      <c r="B576" s="96" t="s">
        <v>282</v>
      </c>
      <c r="C576" s="78">
        <f>VLOOKUP(GroupVertices[[#This Row],[Vertex]],Vertices[],MATCH("ID",Vertices[[#Headers],[Vertex]:[Vertex Group]],0),FALSE)</f>
        <v>872</v>
      </c>
    </row>
    <row r="577" spans="1:3" ht="15">
      <c r="A577" s="79" t="s">
        <v>1509</v>
      </c>
      <c r="B577" s="96" t="s">
        <v>265</v>
      </c>
      <c r="C577" s="78">
        <f>VLOOKUP(GroupVertices[[#This Row],[Vertex]],Vertices[],MATCH("ID",Vertices[[#Headers],[Vertex]:[Vertex Group]],0),FALSE)</f>
        <v>873</v>
      </c>
    </row>
    <row r="578" spans="1:3" ht="15">
      <c r="A578" s="79" t="s">
        <v>1502</v>
      </c>
      <c r="B578" s="96" t="s">
        <v>284</v>
      </c>
      <c r="C578" s="78">
        <f>VLOOKUP(GroupVertices[[#This Row],[Vertex]],Vertices[],MATCH("ID",Vertices[[#Headers],[Vertex]:[Vertex Group]],0),FALSE)</f>
        <v>874</v>
      </c>
    </row>
    <row r="579" spans="1:3" ht="15">
      <c r="A579" s="79" t="s">
        <v>1536</v>
      </c>
      <c r="B579" s="96" t="s">
        <v>287</v>
      </c>
      <c r="C579" s="78">
        <f>VLOOKUP(GroupVertices[[#This Row],[Vertex]],Vertices[],MATCH("ID",Vertices[[#Headers],[Vertex]:[Vertex Group]],0),FALSE)</f>
        <v>879</v>
      </c>
    </row>
    <row r="580" spans="1:3" ht="15">
      <c r="A580" s="79" t="s">
        <v>1531</v>
      </c>
      <c r="B580" s="96" t="s">
        <v>286</v>
      </c>
      <c r="C580" s="78">
        <f>VLOOKUP(GroupVertices[[#This Row],[Vertex]],Vertices[],MATCH("ID",Vertices[[#Headers],[Vertex]:[Vertex Group]],0),FALSE)</f>
        <v>893</v>
      </c>
    </row>
    <row r="581" spans="1:3" ht="15">
      <c r="A581" s="79" t="s">
        <v>3904</v>
      </c>
      <c r="B581" s="96" t="s">
        <v>2479</v>
      </c>
      <c r="C581" s="78">
        <f>VLOOKUP(GroupVertices[[#This Row],[Vertex]],Vertices[],MATCH("ID",Vertices[[#Headers],[Vertex]:[Vertex Group]],0),FALSE)</f>
        <v>717</v>
      </c>
    </row>
    <row r="582" spans="1:3" ht="15">
      <c r="A582" s="79" t="s">
        <v>3905</v>
      </c>
      <c r="B582" s="96" t="s">
        <v>2480</v>
      </c>
      <c r="C582" s="78">
        <f>VLOOKUP(GroupVertices[[#This Row],[Vertex]],Vertices[],MATCH("ID",Vertices[[#Headers],[Vertex]:[Vertex Group]],0),FALSE)</f>
        <v>718</v>
      </c>
    </row>
    <row r="583" spans="1:3" ht="15">
      <c r="A583" s="79" t="s">
        <v>3906</v>
      </c>
      <c r="B583" s="96" t="s">
        <v>2481</v>
      </c>
      <c r="C583" s="78">
        <f>VLOOKUP(GroupVertices[[#This Row],[Vertex]],Vertices[],MATCH("ID",Vertices[[#Headers],[Vertex]:[Vertex Group]],0),FALSE)</f>
        <v>719</v>
      </c>
    </row>
    <row r="584" spans="1:3" ht="15">
      <c r="A584" s="79" t="s">
        <v>3907</v>
      </c>
      <c r="B584" s="96" t="s">
        <v>2482</v>
      </c>
      <c r="C584" s="78">
        <f>VLOOKUP(GroupVertices[[#This Row],[Vertex]],Vertices[],MATCH("ID",Vertices[[#Headers],[Vertex]:[Vertex Group]],0),FALSE)</f>
        <v>720</v>
      </c>
    </row>
    <row r="585" spans="1:3" ht="15">
      <c r="A585" s="79" t="s">
        <v>3908</v>
      </c>
      <c r="B585" s="96" t="s">
        <v>2483</v>
      </c>
      <c r="C585" s="78">
        <f>VLOOKUP(GroupVertices[[#This Row],[Vertex]],Vertices[],MATCH("ID",Vertices[[#Headers],[Vertex]:[Vertex Group]],0),FALSE)</f>
        <v>721</v>
      </c>
    </row>
    <row r="586" spans="1:3" ht="15">
      <c r="A586" s="79" t="s">
        <v>3909</v>
      </c>
      <c r="B586" s="96" t="s">
        <v>2484</v>
      </c>
      <c r="C586" s="78">
        <f>VLOOKUP(GroupVertices[[#This Row],[Vertex]],Vertices[],MATCH("ID",Vertices[[#Headers],[Vertex]:[Vertex Group]],0),FALSE)</f>
        <v>722</v>
      </c>
    </row>
    <row r="587" spans="1:3" ht="15">
      <c r="A587" s="79" t="s">
        <v>3910</v>
      </c>
      <c r="B587" s="96" t="s">
        <v>2485</v>
      </c>
      <c r="C587" s="78">
        <f>VLOOKUP(GroupVertices[[#This Row],[Vertex]],Vertices[],MATCH("ID",Vertices[[#Headers],[Vertex]:[Vertex Group]],0),FALSE)</f>
        <v>723</v>
      </c>
    </row>
    <row r="588" spans="1:3" ht="15">
      <c r="A588" s="79" t="s">
        <v>3888</v>
      </c>
      <c r="B588" s="96" t="s">
        <v>2458</v>
      </c>
      <c r="C588" s="78">
        <f>VLOOKUP(GroupVertices[[#This Row],[Vertex]],Vertices[],MATCH("ID",Vertices[[#Headers],[Vertex]:[Vertex Group]],0),FALSE)</f>
        <v>664</v>
      </c>
    </row>
    <row r="589" spans="1:3" ht="15">
      <c r="A589" s="79" t="s">
        <v>3911</v>
      </c>
      <c r="B589" s="96" t="s">
        <v>2486</v>
      </c>
      <c r="C589" s="78">
        <f>VLOOKUP(GroupVertices[[#This Row],[Vertex]],Vertices[],MATCH("ID",Vertices[[#Headers],[Vertex]:[Vertex Group]],0),FALSE)</f>
        <v>724</v>
      </c>
    </row>
    <row r="590" spans="1:3" ht="15">
      <c r="A590" s="79" t="s">
        <v>3912</v>
      </c>
      <c r="B590" s="96" t="s">
        <v>2487</v>
      </c>
      <c r="C590" s="78">
        <f>VLOOKUP(GroupVertices[[#This Row],[Vertex]],Vertices[],MATCH("ID",Vertices[[#Headers],[Vertex]:[Vertex Group]],0),FALSE)</f>
        <v>725</v>
      </c>
    </row>
    <row r="591" spans="1:3" ht="15">
      <c r="A591" s="79" t="s">
        <v>3913</v>
      </c>
      <c r="B591" s="96" t="s">
        <v>2488</v>
      </c>
      <c r="C591" s="78">
        <f>VLOOKUP(GroupVertices[[#This Row],[Vertex]],Vertices[],MATCH("ID",Vertices[[#Headers],[Vertex]:[Vertex Group]],0),FALSE)</f>
        <v>726</v>
      </c>
    </row>
    <row r="592" spans="1:3" ht="15">
      <c r="A592" s="79" t="s">
        <v>3914</v>
      </c>
      <c r="B592" s="96" t="s">
        <v>2489</v>
      </c>
      <c r="C592" s="78">
        <f>VLOOKUP(GroupVertices[[#This Row],[Vertex]],Vertices[],MATCH("ID",Vertices[[#Headers],[Vertex]:[Vertex Group]],0),FALSE)</f>
        <v>727</v>
      </c>
    </row>
    <row r="593" spans="1:3" ht="15">
      <c r="A593" s="79" t="s">
        <v>3915</v>
      </c>
      <c r="B593" s="96" t="s">
        <v>2490</v>
      </c>
      <c r="C593" s="78">
        <f>VLOOKUP(GroupVertices[[#This Row],[Vertex]],Vertices[],MATCH("ID",Vertices[[#Headers],[Vertex]:[Vertex Group]],0),FALSE)</f>
        <v>728</v>
      </c>
    </row>
    <row r="594" spans="1:3" ht="15">
      <c r="A594" s="79" t="s">
        <v>3916</v>
      </c>
      <c r="B594" s="96" t="s">
        <v>2491</v>
      </c>
      <c r="C594" s="78">
        <f>VLOOKUP(GroupVertices[[#This Row],[Vertex]],Vertices[],MATCH("ID",Vertices[[#Headers],[Vertex]:[Vertex Group]],0),FALSE)</f>
        <v>729</v>
      </c>
    </row>
    <row r="595" spans="1:3" ht="15">
      <c r="A595" s="79" t="s">
        <v>3917</v>
      </c>
      <c r="B595" s="96" t="s">
        <v>2492</v>
      </c>
      <c r="C595" s="78">
        <f>VLOOKUP(GroupVertices[[#This Row],[Vertex]],Vertices[],MATCH("ID",Vertices[[#Headers],[Vertex]:[Vertex Group]],0),FALSE)</f>
        <v>730</v>
      </c>
    </row>
    <row r="596" spans="1:3" ht="15">
      <c r="A596" s="79" t="s">
        <v>3918</v>
      </c>
      <c r="B596" s="96" t="s">
        <v>2493</v>
      </c>
      <c r="C596" s="78">
        <f>VLOOKUP(GroupVertices[[#This Row],[Vertex]],Vertices[],MATCH("ID",Vertices[[#Headers],[Vertex]:[Vertex Group]],0),FALSE)</f>
        <v>731</v>
      </c>
    </row>
    <row r="597" spans="1:3" ht="15">
      <c r="A597" s="79" t="s">
        <v>3919</v>
      </c>
      <c r="B597" s="96" t="s">
        <v>2494</v>
      </c>
      <c r="C597" s="78">
        <f>VLOOKUP(GroupVertices[[#This Row],[Vertex]],Vertices[],MATCH("ID",Vertices[[#Headers],[Vertex]:[Vertex Group]],0),FALSE)</f>
        <v>732</v>
      </c>
    </row>
    <row r="598" spans="1:3" ht="15">
      <c r="A598" s="79" t="s">
        <v>3920</v>
      </c>
      <c r="B598" s="96" t="s">
        <v>2495</v>
      </c>
      <c r="C598" s="78">
        <f>VLOOKUP(GroupVertices[[#This Row],[Vertex]],Vertices[],MATCH("ID",Vertices[[#Headers],[Vertex]:[Vertex Group]],0),FALSE)</f>
        <v>733</v>
      </c>
    </row>
    <row r="599" spans="1:3" ht="15">
      <c r="A599" s="79" t="s">
        <v>1582</v>
      </c>
      <c r="B599" s="96" t="s">
        <v>2496</v>
      </c>
      <c r="C599" s="78">
        <f>VLOOKUP(GroupVertices[[#This Row],[Vertex]],Vertices[],MATCH("ID",Vertices[[#Headers],[Vertex]:[Vertex Group]],0),FALSE)</f>
        <v>734</v>
      </c>
    </row>
    <row r="600" spans="1:3" ht="15">
      <c r="A600" s="79" t="s">
        <v>3921</v>
      </c>
      <c r="B600" s="96" t="s">
        <v>2497</v>
      </c>
      <c r="C600" s="78">
        <f>VLOOKUP(GroupVertices[[#This Row],[Vertex]],Vertices[],MATCH("ID",Vertices[[#Headers],[Vertex]:[Vertex Group]],0),FALSE)</f>
        <v>735</v>
      </c>
    </row>
    <row r="601" spans="1:3" ht="15">
      <c r="A601" s="79" t="s">
        <v>3887</v>
      </c>
      <c r="B601" s="96" t="s">
        <v>2457</v>
      </c>
      <c r="C601" s="78">
        <f>VLOOKUP(GroupVertices[[#This Row],[Vertex]],Vertices[],MATCH("ID",Vertices[[#Headers],[Vertex]:[Vertex Group]],0),FALSE)</f>
        <v>663</v>
      </c>
    </row>
    <row r="602" spans="1:3" ht="15">
      <c r="A602" s="79" t="s">
        <v>1620</v>
      </c>
      <c r="B602" s="96" t="s">
        <v>2421</v>
      </c>
      <c r="C602" s="78">
        <f>VLOOKUP(GroupVertices[[#This Row],[Vertex]],Vertices[],MATCH("ID",Vertices[[#Headers],[Vertex]:[Vertex Group]],0),FALSE)</f>
        <v>614</v>
      </c>
    </row>
    <row r="603" spans="1:3" ht="15">
      <c r="A603" s="79" t="s">
        <v>3922</v>
      </c>
      <c r="B603" s="96" t="s">
        <v>2501</v>
      </c>
      <c r="C603" s="78">
        <f>VLOOKUP(GroupVertices[[#This Row],[Vertex]],Vertices[],MATCH("ID",Vertices[[#Headers],[Vertex]:[Vertex Group]],0),FALSE)</f>
        <v>739</v>
      </c>
    </row>
    <row r="604" spans="1:3" ht="15">
      <c r="A604" s="79" t="s">
        <v>1570</v>
      </c>
      <c r="B604" s="96" t="s">
        <v>2505</v>
      </c>
      <c r="C604" s="78">
        <f>VLOOKUP(GroupVertices[[#This Row],[Vertex]],Vertices[],MATCH("ID",Vertices[[#Headers],[Vertex]:[Vertex Group]],0),FALSE)</f>
        <v>745</v>
      </c>
    </row>
    <row r="605" spans="1:3" ht="15">
      <c r="A605" s="79" t="s">
        <v>1521</v>
      </c>
      <c r="B605" s="96" t="s">
        <v>268</v>
      </c>
      <c r="C605" s="78">
        <f>VLOOKUP(GroupVertices[[#This Row],[Vertex]],Vertices[],MATCH("ID",Vertices[[#Headers],[Vertex]:[Vertex Group]],0),FALSE)</f>
        <v>749</v>
      </c>
    </row>
    <row r="606" spans="1:3" ht="15">
      <c r="A606" s="79" t="s">
        <v>1559</v>
      </c>
      <c r="B606" s="96" t="s">
        <v>557</v>
      </c>
      <c r="C606" s="78">
        <f>VLOOKUP(GroupVertices[[#This Row],[Vertex]],Vertices[],MATCH("ID",Vertices[[#Headers],[Vertex]:[Vertex Group]],0),FALSE)</f>
        <v>751</v>
      </c>
    </row>
    <row r="607" spans="1:3" ht="15">
      <c r="A607" s="79" t="s">
        <v>1676</v>
      </c>
      <c r="B607" s="96" t="s">
        <v>593</v>
      </c>
      <c r="C607" s="78">
        <f>VLOOKUP(GroupVertices[[#This Row],[Vertex]],Vertices[],MATCH("ID",Vertices[[#Headers],[Vertex]:[Vertex Group]],0),FALSE)</f>
        <v>753</v>
      </c>
    </row>
    <row r="608" spans="1:3" ht="15">
      <c r="A608" s="79" t="s">
        <v>3948</v>
      </c>
      <c r="B608" s="96" t="s">
        <v>2555</v>
      </c>
      <c r="C608" s="78">
        <f>VLOOKUP(GroupVertices[[#This Row],[Vertex]],Vertices[],MATCH("ID",Vertices[[#Headers],[Vertex]:[Vertex Group]],0),FALSE)</f>
        <v>811</v>
      </c>
    </row>
    <row r="609" spans="1:3" ht="15">
      <c r="A609" s="79" t="s">
        <v>3754</v>
      </c>
      <c r="B609" s="96" t="s">
        <v>2222</v>
      </c>
      <c r="C609" s="78">
        <f>VLOOKUP(GroupVertices[[#This Row],[Vertex]],Vertices[],MATCH("ID",Vertices[[#Headers],[Vertex]:[Vertex Group]],0),FALSE)</f>
        <v>259</v>
      </c>
    </row>
    <row r="610" spans="1:3" ht="15">
      <c r="A610" s="79" t="s">
        <v>3756</v>
      </c>
      <c r="B610" s="96" t="s">
        <v>2225</v>
      </c>
      <c r="C610" s="78">
        <f>VLOOKUP(GroupVertices[[#This Row],[Vertex]],Vertices[],MATCH("ID",Vertices[[#Headers],[Vertex]:[Vertex Group]],0),FALSE)</f>
        <v>262</v>
      </c>
    </row>
    <row r="611" spans="1:3" ht="15">
      <c r="A611" s="79" t="s">
        <v>3757</v>
      </c>
      <c r="B611" s="96" t="s">
        <v>2226</v>
      </c>
      <c r="C611" s="78">
        <f>VLOOKUP(GroupVertices[[#This Row],[Vertex]],Vertices[],MATCH("ID",Vertices[[#Headers],[Vertex]:[Vertex Group]],0),FALSE)</f>
        <v>263</v>
      </c>
    </row>
    <row r="612" spans="1:3" ht="15">
      <c r="A612" s="79" t="s">
        <v>3758</v>
      </c>
      <c r="B612" s="96" t="s">
        <v>2227</v>
      </c>
      <c r="C612" s="78">
        <f>VLOOKUP(GroupVertices[[#This Row],[Vertex]],Vertices[],MATCH("ID",Vertices[[#Headers],[Vertex]:[Vertex Group]],0),FALSE)</f>
        <v>264</v>
      </c>
    </row>
    <row r="613" spans="1:3" ht="15">
      <c r="A613" s="79" t="s">
        <v>3759</v>
      </c>
      <c r="B613" s="96" t="s">
        <v>2228</v>
      </c>
      <c r="C613" s="78">
        <f>VLOOKUP(GroupVertices[[#This Row],[Vertex]],Vertices[],MATCH("ID",Vertices[[#Headers],[Vertex]:[Vertex Group]],0),FALSE)</f>
        <v>265</v>
      </c>
    </row>
    <row r="614" spans="1:3" ht="15">
      <c r="A614" s="79" t="s">
        <v>3760</v>
      </c>
      <c r="B614" s="96" t="s">
        <v>2229</v>
      </c>
      <c r="C614" s="78">
        <f>VLOOKUP(GroupVertices[[#This Row],[Vertex]],Vertices[],MATCH("ID",Vertices[[#Headers],[Vertex]:[Vertex Group]],0),FALSE)</f>
        <v>266</v>
      </c>
    </row>
    <row r="615" spans="1:3" ht="15">
      <c r="A615" s="79" t="s">
        <v>3761</v>
      </c>
      <c r="B615" s="96" t="s">
        <v>2230</v>
      </c>
      <c r="C615" s="78">
        <f>VLOOKUP(GroupVertices[[#This Row],[Vertex]],Vertices[],MATCH("ID",Vertices[[#Headers],[Vertex]:[Vertex Group]],0),FALSE)</f>
        <v>267</v>
      </c>
    </row>
    <row r="616" spans="1:3" ht="15">
      <c r="A616" s="79" t="s">
        <v>3762</v>
      </c>
      <c r="B616" s="96" t="s">
        <v>2231</v>
      </c>
      <c r="C616" s="78">
        <f>VLOOKUP(GroupVertices[[#This Row],[Vertex]],Vertices[],MATCH("ID",Vertices[[#Headers],[Vertex]:[Vertex Group]],0),FALSE)</f>
        <v>268</v>
      </c>
    </row>
    <row r="617" spans="1:3" ht="15">
      <c r="A617" s="79" t="s">
        <v>3763</v>
      </c>
      <c r="B617" s="96" t="s">
        <v>2232</v>
      </c>
      <c r="C617" s="78">
        <f>VLOOKUP(GroupVertices[[#This Row],[Vertex]],Vertices[],MATCH("ID",Vertices[[#Headers],[Vertex]:[Vertex Group]],0),FALSE)</f>
        <v>269</v>
      </c>
    </row>
    <row r="618" spans="1:3" ht="15">
      <c r="A618" s="79" t="s">
        <v>3764</v>
      </c>
      <c r="B618" s="96" t="s">
        <v>2233</v>
      </c>
      <c r="C618" s="78">
        <f>VLOOKUP(GroupVertices[[#This Row],[Vertex]],Vertices[],MATCH("ID",Vertices[[#Headers],[Vertex]:[Vertex Group]],0),FALSE)</f>
        <v>270</v>
      </c>
    </row>
    <row r="619" spans="1:3" ht="15">
      <c r="A619" s="79" t="s">
        <v>3765</v>
      </c>
      <c r="B619" s="96" t="s">
        <v>2236</v>
      </c>
      <c r="C619" s="78">
        <f>VLOOKUP(GroupVertices[[#This Row],[Vertex]],Vertices[],MATCH("ID",Vertices[[#Headers],[Vertex]:[Vertex Group]],0),FALSE)</f>
        <v>273</v>
      </c>
    </row>
    <row r="620" spans="1:3" ht="15">
      <c r="A620" s="79" t="s">
        <v>1485</v>
      </c>
      <c r="B620" s="96" t="s">
        <v>249</v>
      </c>
      <c r="C620" s="78">
        <f>VLOOKUP(GroupVertices[[#This Row],[Vertex]],Vertices[],MATCH("ID",Vertices[[#Headers],[Vertex]:[Vertex Group]],0),FALSE)</f>
        <v>209</v>
      </c>
    </row>
    <row r="621" spans="1:3" ht="15">
      <c r="A621" s="79" t="s">
        <v>1486</v>
      </c>
      <c r="B621" s="96" t="s">
        <v>250</v>
      </c>
      <c r="C621" s="78">
        <f>VLOOKUP(GroupVertices[[#This Row],[Vertex]],Vertices[],MATCH("ID",Vertices[[#Headers],[Vertex]:[Vertex Group]],0),FALSE)</f>
        <v>210</v>
      </c>
    </row>
    <row r="622" spans="1:3" ht="15">
      <c r="A622" s="79" t="s">
        <v>1487</v>
      </c>
      <c r="B622" s="96" t="s">
        <v>251</v>
      </c>
      <c r="C622" s="78">
        <f>VLOOKUP(GroupVertices[[#This Row],[Vertex]],Vertices[],MATCH("ID",Vertices[[#Headers],[Vertex]:[Vertex Group]],0),FALSE)</f>
        <v>211</v>
      </c>
    </row>
    <row r="623" spans="1:3" ht="15">
      <c r="A623" s="79" t="s">
        <v>3819</v>
      </c>
      <c r="B623" s="96" t="s">
        <v>2336</v>
      </c>
      <c r="C623" s="78">
        <f>VLOOKUP(GroupVertices[[#This Row],[Vertex]],Vertices[],MATCH("ID",Vertices[[#Headers],[Vertex]:[Vertex Group]],0),FALSE)</f>
        <v>470</v>
      </c>
    </row>
    <row r="624" spans="1:3" ht="15">
      <c r="A624" s="79" t="s">
        <v>3820</v>
      </c>
      <c r="B624" s="96" t="s">
        <v>2337</v>
      </c>
      <c r="C624" s="78">
        <f>VLOOKUP(GroupVertices[[#This Row],[Vertex]],Vertices[],MATCH("ID",Vertices[[#Headers],[Vertex]:[Vertex Group]],0),FALSE)</f>
        <v>471</v>
      </c>
    </row>
    <row r="625" spans="1:3" ht="15">
      <c r="A625" s="79" t="s">
        <v>3821</v>
      </c>
      <c r="B625" s="96" t="s">
        <v>2338</v>
      </c>
      <c r="C625" s="78">
        <f>VLOOKUP(GroupVertices[[#This Row],[Vertex]],Vertices[],MATCH("ID",Vertices[[#Headers],[Vertex]:[Vertex Group]],0),FALSE)</f>
        <v>472</v>
      </c>
    </row>
    <row r="626" spans="1:3" ht="15">
      <c r="A626" s="79" t="s">
        <v>3822</v>
      </c>
      <c r="B626" s="96" t="s">
        <v>2339</v>
      </c>
      <c r="C626" s="78">
        <f>VLOOKUP(GroupVertices[[#This Row],[Vertex]],Vertices[],MATCH("ID",Vertices[[#Headers],[Vertex]:[Vertex Group]],0),FALSE)</f>
        <v>473</v>
      </c>
    </row>
    <row r="627" spans="1:3" ht="15">
      <c r="A627" s="79" t="s">
        <v>3823</v>
      </c>
      <c r="B627" s="96" t="s">
        <v>2340</v>
      </c>
      <c r="C627" s="78">
        <f>VLOOKUP(GroupVertices[[#This Row],[Vertex]],Vertices[],MATCH("ID",Vertices[[#Headers],[Vertex]:[Vertex Group]],0),FALSE)</f>
        <v>474</v>
      </c>
    </row>
    <row r="628" spans="1:3" ht="15">
      <c r="A628" s="79" t="s">
        <v>3824</v>
      </c>
      <c r="B628" s="96" t="s">
        <v>2341</v>
      </c>
      <c r="C628" s="78">
        <f>VLOOKUP(GroupVertices[[#This Row],[Vertex]],Vertices[],MATCH("ID",Vertices[[#Headers],[Vertex]:[Vertex Group]],0),FALSE)</f>
        <v>475</v>
      </c>
    </row>
    <row r="629" spans="1:3" ht="15">
      <c r="A629" s="79" t="s">
        <v>3825</v>
      </c>
      <c r="B629" s="96" t="s">
        <v>2342</v>
      </c>
      <c r="C629" s="78">
        <f>VLOOKUP(GroupVertices[[#This Row],[Vertex]],Vertices[],MATCH("ID",Vertices[[#Headers],[Vertex]:[Vertex Group]],0),FALSE)</f>
        <v>476</v>
      </c>
    </row>
    <row r="630" spans="1:3" ht="15">
      <c r="A630" s="79" t="s">
        <v>3826</v>
      </c>
      <c r="B630" s="96" t="s">
        <v>2344</v>
      </c>
      <c r="C630" s="78">
        <f>VLOOKUP(GroupVertices[[#This Row],[Vertex]],Vertices[],MATCH("ID",Vertices[[#Headers],[Vertex]:[Vertex Group]],0),FALSE)</f>
        <v>478</v>
      </c>
    </row>
    <row r="631" spans="1:3" ht="15">
      <c r="A631" s="79" t="s">
        <v>3827</v>
      </c>
      <c r="B631" s="96" t="s">
        <v>2345</v>
      </c>
      <c r="C631" s="78">
        <f>VLOOKUP(GroupVertices[[#This Row],[Vertex]],Vertices[],MATCH("ID",Vertices[[#Headers],[Vertex]:[Vertex Group]],0),FALSE)</f>
        <v>479</v>
      </c>
    </row>
    <row r="632" spans="1:3" ht="15">
      <c r="A632" s="79" t="s">
        <v>3722</v>
      </c>
      <c r="B632" s="96" t="s">
        <v>2162</v>
      </c>
      <c r="C632" s="78">
        <f>VLOOKUP(GroupVertices[[#This Row],[Vertex]],Vertices[],MATCH("ID",Vertices[[#Headers],[Vertex]:[Vertex Group]],0),FALSE)</f>
        <v>167</v>
      </c>
    </row>
    <row r="633" spans="1:3" ht="15">
      <c r="A633" s="79" t="s">
        <v>3723</v>
      </c>
      <c r="B633" s="96" t="s">
        <v>2163</v>
      </c>
      <c r="C633" s="78">
        <f>VLOOKUP(GroupVertices[[#This Row],[Vertex]],Vertices[],MATCH("ID",Vertices[[#Headers],[Vertex]:[Vertex Group]],0),FALSE)</f>
        <v>168</v>
      </c>
    </row>
    <row r="634" spans="1:3" ht="15">
      <c r="A634" s="79" t="s">
        <v>3725</v>
      </c>
      <c r="B634" s="96" t="s">
        <v>2165</v>
      </c>
      <c r="C634" s="78">
        <f>VLOOKUP(GroupVertices[[#This Row],[Vertex]],Vertices[],MATCH("ID",Vertices[[#Headers],[Vertex]:[Vertex Group]],0),FALSE)</f>
        <v>170</v>
      </c>
    </row>
    <row r="635" spans="1:3" ht="15">
      <c r="A635" s="79" t="s">
        <v>3726</v>
      </c>
      <c r="B635" s="96" t="s">
        <v>2166</v>
      </c>
      <c r="C635" s="78">
        <f>VLOOKUP(GroupVertices[[#This Row],[Vertex]],Vertices[],MATCH("ID",Vertices[[#Headers],[Vertex]:[Vertex Group]],0),FALSE)</f>
        <v>171</v>
      </c>
    </row>
    <row r="636" spans="1:3" ht="15">
      <c r="A636" s="79" t="s">
        <v>3727</v>
      </c>
      <c r="B636" s="96" t="s">
        <v>2167</v>
      </c>
      <c r="C636" s="78">
        <f>VLOOKUP(GroupVertices[[#This Row],[Vertex]],Vertices[],MATCH("ID",Vertices[[#Headers],[Vertex]:[Vertex Group]],0),FALSE)</f>
        <v>172</v>
      </c>
    </row>
    <row r="637" spans="1:3" ht="15">
      <c r="A637" s="79" t="s">
        <v>3728</v>
      </c>
      <c r="B637" s="96" t="s">
        <v>2168</v>
      </c>
      <c r="C637" s="78">
        <f>VLOOKUP(GroupVertices[[#This Row],[Vertex]],Vertices[],MATCH("ID",Vertices[[#Headers],[Vertex]:[Vertex Group]],0),FALSE)</f>
        <v>173</v>
      </c>
    </row>
    <row r="638" spans="1:3" ht="15">
      <c r="A638" s="79" t="s">
        <v>3729</v>
      </c>
      <c r="B638" s="96" t="s">
        <v>2169</v>
      </c>
      <c r="C638" s="78">
        <f>VLOOKUP(GroupVertices[[#This Row],[Vertex]],Vertices[],MATCH("ID",Vertices[[#Headers],[Vertex]:[Vertex Group]],0),FALSE)</f>
        <v>174</v>
      </c>
    </row>
    <row r="639" spans="1:3" ht="15">
      <c r="A639" s="79" t="s">
        <v>3730</v>
      </c>
      <c r="B639" s="96" t="s">
        <v>2170</v>
      </c>
      <c r="C639" s="78">
        <f>VLOOKUP(GroupVertices[[#This Row],[Vertex]],Vertices[],MATCH("ID",Vertices[[#Headers],[Vertex]:[Vertex Group]],0),FALSE)</f>
        <v>175</v>
      </c>
    </row>
    <row r="640" spans="1:3" ht="15">
      <c r="A640" s="79" t="s">
        <v>3731</v>
      </c>
      <c r="B640" s="96" t="s">
        <v>2171</v>
      </c>
      <c r="C640" s="78">
        <f>VLOOKUP(GroupVertices[[#This Row],[Vertex]],Vertices[],MATCH("ID",Vertices[[#Headers],[Vertex]:[Vertex Group]],0),FALSE)</f>
        <v>176</v>
      </c>
    </row>
    <row r="641" spans="1:3" ht="15">
      <c r="A641" s="79" t="s">
        <v>3732</v>
      </c>
      <c r="B641" s="96" t="s">
        <v>2172</v>
      </c>
      <c r="C641" s="78">
        <f>VLOOKUP(GroupVertices[[#This Row],[Vertex]],Vertices[],MATCH("ID",Vertices[[#Headers],[Vertex]:[Vertex Group]],0),FALSE)</f>
        <v>177</v>
      </c>
    </row>
    <row r="642" spans="1:3" ht="15">
      <c r="A642" s="79" t="s">
        <v>3733</v>
      </c>
      <c r="B642" s="96" t="s">
        <v>2173</v>
      </c>
      <c r="C642" s="78">
        <f>VLOOKUP(GroupVertices[[#This Row],[Vertex]],Vertices[],MATCH("ID",Vertices[[#Headers],[Vertex]:[Vertex Group]],0),FALSE)</f>
        <v>178</v>
      </c>
    </row>
    <row r="643" spans="1:3" ht="15">
      <c r="A643" s="79" t="s">
        <v>3734</v>
      </c>
      <c r="B643" s="96" t="s">
        <v>2174</v>
      </c>
      <c r="C643" s="78">
        <f>VLOOKUP(GroupVertices[[#This Row],[Vertex]],Vertices[],MATCH("ID",Vertices[[#Headers],[Vertex]:[Vertex Group]],0),FALSE)</f>
        <v>179</v>
      </c>
    </row>
    <row r="644" spans="1:3" ht="15">
      <c r="A644" s="79" t="s">
        <v>3735</v>
      </c>
      <c r="B644" s="96" t="s">
        <v>2175</v>
      </c>
      <c r="C644" s="78">
        <f>VLOOKUP(GroupVertices[[#This Row],[Vertex]],Vertices[],MATCH("ID",Vertices[[#Headers],[Vertex]:[Vertex Group]],0),FALSE)</f>
        <v>180</v>
      </c>
    </row>
    <row r="645" spans="1:3" ht="15">
      <c r="A645" s="79" t="s">
        <v>3736</v>
      </c>
      <c r="B645" s="96" t="s">
        <v>2176</v>
      </c>
      <c r="C645" s="78">
        <f>VLOOKUP(GroupVertices[[#This Row],[Vertex]],Vertices[],MATCH("ID",Vertices[[#Headers],[Vertex]:[Vertex Group]],0),FALSE)</f>
        <v>181</v>
      </c>
    </row>
    <row r="646" spans="1:3" ht="15">
      <c r="A646" s="79" t="s">
        <v>3737</v>
      </c>
      <c r="B646" s="96" t="s">
        <v>2177</v>
      </c>
      <c r="C646" s="78">
        <f>VLOOKUP(GroupVertices[[#This Row],[Vertex]],Vertices[],MATCH("ID",Vertices[[#Headers],[Vertex]:[Vertex Group]],0),FALSE)</f>
        <v>182</v>
      </c>
    </row>
    <row r="647" spans="1:3" ht="15">
      <c r="A647" s="79" t="s">
        <v>1484</v>
      </c>
      <c r="B647" s="96" t="s">
        <v>201</v>
      </c>
      <c r="C647" s="78">
        <f>VLOOKUP(GroupVertices[[#This Row],[Vertex]],Vertices[],MATCH("ID",Vertices[[#Headers],[Vertex]:[Vertex Group]],0),FALSE)</f>
        <v>183</v>
      </c>
    </row>
    <row r="648" spans="1:3" ht="15">
      <c r="A648" s="79" t="s">
        <v>3738</v>
      </c>
      <c r="B648" s="96" t="s">
        <v>2179</v>
      </c>
      <c r="C648" s="78">
        <f>VLOOKUP(GroupVertices[[#This Row],[Vertex]],Vertices[],MATCH("ID",Vertices[[#Headers],[Vertex]:[Vertex Group]],0),FALSE)</f>
        <v>185</v>
      </c>
    </row>
    <row r="649" spans="1:3" ht="15">
      <c r="A649" s="79" t="s">
        <v>1586</v>
      </c>
      <c r="B649" s="96" t="s">
        <v>2182</v>
      </c>
      <c r="C649" s="78">
        <f>VLOOKUP(GroupVertices[[#This Row],[Vertex]],Vertices[],MATCH("ID",Vertices[[#Headers],[Vertex]:[Vertex Group]],0),FALSE)</f>
        <v>188</v>
      </c>
    </row>
    <row r="650" spans="1:3" ht="15">
      <c r="A650" s="79" t="s">
        <v>1542</v>
      </c>
      <c r="B650" s="96" t="s">
        <v>288</v>
      </c>
      <c r="C650" s="78">
        <f>VLOOKUP(GroupVertices[[#This Row],[Vertex]],Vertices[],MATCH("ID",Vertices[[#Headers],[Vertex]:[Vertex Group]],0),FALSE)</f>
        <v>202</v>
      </c>
    </row>
    <row r="651" spans="1:3" ht="15">
      <c r="A651" s="79" t="s">
        <v>1557</v>
      </c>
      <c r="B651" s="96" t="s">
        <v>362</v>
      </c>
      <c r="C651" s="78">
        <f>VLOOKUP(GroupVertices[[#This Row],[Vertex]],Vertices[],MATCH("ID",Vertices[[#Headers],[Vertex]:[Vertex Group]],0),FALSE)</f>
        <v>783</v>
      </c>
    </row>
    <row r="652" spans="1:3" ht="15">
      <c r="A652" s="79" t="s">
        <v>1508</v>
      </c>
      <c r="B652" s="96" t="s">
        <v>197</v>
      </c>
      <c r="C652" s="78">
        <f>VLOOKUP(GroupVertices[[#This Row],[Vertex]],Vertices[],MATCH("ID",Vertices[[#Headers],[Vertex]:[Vertex Group]],0),FALSE)</f>
        <v>794</v>
      </c>
    </row>
    <row r="653" spans="1:3" ht="15">
      <c r="A653" s="79" t="s">
        <v>1515</v>
      </c>
      <c r="B653" s="96" t="s">
        <v>198</v>
      </c>
      <c r="C653" s="78">
        <f>VLOOKUP(GroupVertices[[#This Row],[Vertex]],Vertices[],MATCH("ID",Vertices[[#Headers],[Vertex]:[Vertex Group]],0),FALSE)</f>
        <v>45</v>
      </c>
    </row>
    <row r="654" spans="1:3" ht="15">
      <c r="A654" s="79" t="s">
        <v>1558</v>
      </c>
      <c r="B654" s="96" t="s">
        <v>308</v>
      </c>
      <c r="C654" s="78">
        <f>VLOOKUP(GroupVertices[[#This Row],[Vertex]],Vertices[],MATCH("ID",Vertices[[#Headers],[Vertex]:[Vertex Group]],0),FALSE)</f>
        <v>110</v>
      </c>
    </row>
    <row r="655" spans="1:3" ht="15">
      <c r="A655" s="79" t="s">
        <v>1621</v>
      </c>
      <c r="B655" s="96" t="s">
        <v>229</v>
      </c>
      <c r="C655" s="78">
        <f>VLOOKUP(GroupVertices[[#This Row],[Vertex]],Vertices[],MATCH("ID",Vertices[[#Headers],[Vertex]:[Vertex Group]],0),FALSE)</f>
        <v>49</v>
      </c>
    </row>
    <row r="656" spans="1:3" ht="15">
      <c r="A656" s="79" t="s">
        <v>1622</v>
      </c>
      <c r="B656" s="96" t="s">
        <v>449</v>
      </c>
      <c r="C656" s="78">
        <f>VLOOKUP(GroupVertices[[#This Row],[Vertex]],Vertices[],MATCH("ID",Vertices[[#Headers],[Vertex]:[Vertex Group]],0),FALSE)</f>
        <v>413</v>
      </c>
    </row>
    <row r="657" spans="1:3" ht="15">
      <c r="A657" s="79" t="s">
        <v>1568</v>
      </c>
      <c r="B657" s="96" t="s">
        <v>241</v>
      </c>
      <c r="C657" s="78">
        <f>VLOOKUP(GroupVertices[[#This Row],[Vertex]],Vertices[],MATCH("ID",Vertices[[#Headers],[Vertex]:[Vertex Group]],0),FALSE)</f>
        <v>42</v>
      </c>
    </row>
    <row r="658" spans="1:3" ht="15">
      <c r="A658" s="79" t="s">
        <v>3886</v>
      </c>
      <c r="B658" s="96" t="s">
        <v>2456</v>
      </c>
      <c r="C658" s="78">
        <f>VLOOKUP(GroupVertices[[#This Row],[Vertex]],Vertices[],MATCH("ID",Vertices[[#Headers],[Vertex]:[Vertex Group]],0),FALSE)</f>
        <v>662</v>
      </c>
    </row>
    <row r="659" spans="1:3" ht="15">
      <c r="A659" s="79" t="s">
        <v>3786</v>
      </c>
      <c r="B659" s="96" t="s">
        <v>2287</v>
      </c>
      <c r="C659" s="78">
        <f>VLOOKUP(GroupVertices[[#This Row],[Vertex]],Vertices[],MATCH("ID",Vertices[[#Headers],[Vertex]:[Vertex Group]],0),FALSE)</f>
        <v>348</v>
      </c>
    </row>
    <row r="660" spans="1:3" ht="15">
      <c r="A660" s="79" t="s">
        <v>3787</v>
      </c>
      <c r="B660" s="96" t="s">
        <v>2288</v>
      </c>
      <c r="C660" s="78">
        <f>VLOOKUP(GroupVertices[[#This Row],[Vertex]],Vertices[],MATCH("ID",Vertices[[#Headers],[Vertex]:[Vertex Group]],0),FALSE)</f>
        <v>349</v>
      </c>
    </row>
    <row r="661" spans="1:3" ht="15">
      <c r="A661" s="79" t="s">
        <v>3788</v>
      </c>
      <c r="B661" s="96" t="s">
        <v>2289</v>
      </c>
      <c r="C661" s="78">
        <f>VLOOKUP(GroupVertices[[#This Row],[Vertex]],Vertices[],MATCH("ID",Vertices[[#Headers],[Vertex]:[Vertex Group]],0),FALSE)</f>
        <v>350</v>
      </c>
    </row>
    <row r="662" spans="1:3" ht="15">
      <c r="A662" s="79" t="s">
        <v>3789</v>
      </c>
      <c r="B662" s="96" t="s">
        <v>2290</v>
      </c>
      <c r="C662" s="78">
        <f>VLOOKUP(GroupVertices[[#This Row],[Vertex]],Vertices[],MATCH("ID",Vertices[[#Headers],[Vertex]:[Vertex Group]],0),FALSE)</f>
        <v>351</v>
      </c>
    </row>
    <row r="663" spans="1:3" ht="15">
      <c r="A663" s="79" t="s">
        <v>3790</v>
      </c>
      <c r="B663" s="96" t="s">
        <v>2291</v>
      </c>
      <c r="C663" s="78">
        <f>VLOOKUP(GroupVertices[[#This Row],[Vertex]],Vertices[],MATCH("ID",Vertices[[#Headers],[Vertex]:[Vertex Group]],0),FALSE)</f>
        <v>352</v>
      </c>
    </row>
    <row r="664" spans="1:3" ht="15">
      <c r="A664" s="79" t="s">
        <v>4464</v>
      </c>
      <c r="B664" s="96" t="s">
        <v>2292</v>
      </c>
      <c r="C664" s="78">
        <f>VLOOKUP(GroupVertices[[#This Row],[Vertex]],Vertices[],MATCH("ID",Vertices[[#Headers],[Vertex]:[Vertex Group]],0),FALSE)</f>
        <v>353</v>
      </c>
    </row>
    <row r="665" spans="1:3" ht="15">
      <c r="A665" s="79" t="s">
        <v>3792</v>
      </c>
      <c r="B665" s="96" t="s">
        <v>2293</v>
      </c>
      <c r="C665" s="78">
        <f>VLOOKUP(GroupVertices[[#This Row],[Vertex]],Vertices[],MATCH("ID",Vertices[[#Headers],[Vertex]:[Vertex Group]],0),FALSE)</f>
        <v>354</v>
      </c>
    </row>
    <row r="666" spans="1:3" ht="15">
      <c r="A666" s="79" t="s">
        <v>3793</v>
      </c>
      <c r="B666" s="96" t="s">
        <v>2294</v>
      </c>
      <c r="C666" s="78">
        <f>VLOOKUP(GroupVertices[[#This Row],[Vertex]],Vertices[],MATCH("ID",Vertices[[#Headers],[Vertex]:[Vertex Group]],0),FALSE)</f>
        <v>355</v>
      </c>
    </row>
    <row r="667" spans="1:3" ht="15">
      <c r="A667" s="79" t="s">
        <v>3795</v>
      </c>
      <c r="B667" s="96" t="s">
        <v>2296</v>
      </c>
      <c r="C667" s="78">
        <f>VLOOKUP(GroupVertices[[#This Row],[Vertex]],Vertices[],MATCH("ID",Vertices[[#Headers],[Vertex]:[Vertex Group]],0),FALSE)</f>
        <v>357</v>
      </c>
    </row>
    <row r="668" spans="1:3" ht="15">
      <c r="A668" s="79" t="s">
        <v>3796</v>
      </c>
      <c r="B668" s="96" t="s">
        <v>2297</v>
      </c>
      <c r="C668" s="78">
        <f>VLOOKUP(GroupVertices[[#This Row],[Vertex]],Vertices[],MATCH("ID",Vertices[[#Headers],[Vertex]:[Vertex Group]],0),FALSE)</f>
        <v>358</v>
      </c>
    </row>
    <row r="669" spans="1:3" ht="15">
      <c r="A669" s="79" t="s">
        <v>3797</v>
      </c>
      <c r="B669" s="96" t="s">
        <v>2299</v>
      </c>
      <c r="C669" s="78">
        <f>VLOOKUP(GroupVertices[[#This Row],[Vertex]],Vertices[],MATCH("ID",Vertices[[#Headers],[Vertex]:[Vertex Group]],0),FALSE)</f>
        <v>360</v>
      </c>
    </row>
    <row r="670" spans="1:3" ht="15">
      <c r="A670" s="79" t="s">
        <v>3798</v>
      </c>
      <c r="B670" s="96" t="s">
        <v>2300</v>
      </c>
      <c r="C670" s="78">
        <f>VLOOKUP(GroupVertices[[#This Row],[Vertex]],Vertices[],MATCH("ID",Vertices[[#Headers],[Vertex]:[Vertex Group]],0),FALSE)</f>
        <v>361</v>
      </c>
    </row>
    <row r="671" spans="1:3" ht="15">
      <c r="A671" s="79" t="s">
        <v>3799</v>
      </c>
      <c r="B671" s="96" t="s">
        <v>2301</v>
      </c>
      <c r="C671" s="78">
        <f>VLOOKUP(GroupVertices[[#This Row],[Vertex]],Vertices[],MATCH("ID",Vertices[[#Headers],[Vertex]:[Vertex Group]],0),FALSE)</f>
        <v>362</v>
      </c>
    </row>
    <row r="672" spans="1:3" ht="15">
      <c r="A672" s="79" t="s">
        <v>3800</v>
      </c>
      <c r="B672" s="96" t="s">
        <v>2302</v>
      </c>
      <c r="C672" s="78">
        <f>VLOOKUP(GroupVertices[[#This Row],[Vertex]],Vertices[],MATCH("ID",Vertices[[#Headers],[Vertex]:[Vertex Group]],0),FALSE)</f>
        <v>363</v>
      </c>
    </row>
    <row r="673" spans="1:3" ht="15">
      <c r="A673" s="79" t="s">
        <v>3801</v>
      </c>
      <c r="B673" s="96" t="s">
        <v>2304</v>
      </c>
      <c r="C673" s="78">
        <f>VLOOKUP(GroupVertices[[#This Row],[Vertex]],Vertices[],MATCH("ID",Vertices[[#Headers],[Vertex]:[Vertex Group]],0),FALSE)</f>
        <v>365</v>
      </c>
    </row>
    <row r="674" spans="1:3" ht="15">
      <c r="A674" s="79" t="s">
        <v>3802</v>
      </c>
      <c r="B674" s="96" t="s">
        <v>2305</v>
      </c>
      <c r="C674" s="78">
        <f>VLOOKUP(GroupVertices[[#This Row],[Vertex]],Vertices[],MATCH("ID",Vertices[[#Headers],[Vertex]:[Vertex Group]],0),FALSE)</f>
        <v>366</v>
      </c>
    </row>
    <row r="675" spans="1:3" ht="15">
      <c r="A675" s="79" t="s">
        <v>3803</v>
      </c>
      <c r="B675" s="96" t="s">
        <v>2306</v>
      </c>
      <c r="C675" s="78">
        <f>VLOOKUP(GroupVertices[[#This Row],[Vertex]],Vertices[],MATCH("ID",Vertices[[#Headers],[Vertex]:[Vertex Group]],0),FALSE)</f>
        <v>367</v>
      </c>
    </row>
    <row r="676" spans="1:3" ht="15">
      <c r="A676" s="79" t="s">
        <v>3867</v>
      </c>
      <c r="B676" s="96" t="s">
        <v>2422</v>
      </c>
      <c r="C676" s="78">
        <f>VLOOKUP(GroupVertices[[#This Row],[Vertex]],Vertices[],MATCH("ID",Vertices[[#Headers],[Vertex]:[Vertex Group]],0),FALSE)</f>
        <v>615</v>
      </c>
    </row>
    <row r="677" spans="1:3" ht="15">
      <c r="A677" s="79" t="s">
        <v>3868</v>
      </c>
      <c r="B677" s="96" t="s">
        <v>2424</v>
      </c>
      <c r="C677" s="78">
        <f>VLOOKUP(GroupVertices[[#This Row],[Vertex]],Vertices[],MATCH("ID",Vertices[[#Headers],[Vertex]:[Vertex Group]],0),FALSE)</f>
        <v>617</v>
      </c>
    </row>
    <row r="678" spans="1:3" ht="15">
      <c r="A678" s="79" t="s">
        <v>3869</v>
      </c>
      <c r="B678" s="96" t="s">
        <v>2425</v>
      </c>
      <c r="C678" s="78">
        <f>VLOOKUP(GroupVertices[[#This Row],[Vertex]],Vertices[],MATCH("ID",Vertices[[#Headers],[Vertex]:[Vertex Group]],0),FALSE)</f>
        <v>619</v>
      </c>
    </row>
    <row r="679" spans="1:3" ht="15">
      <c r="A679" s="79" t="s">
        <v>1669</v>
      </c>
      <c r="B679" s="96" t="s">
        <v>552</v>
      </c>
      <c r="C679" s="78">
        <f>VLOOKUP(GroupVertices[[#This Row],[Vertex]],Vertices[],MATCH("ID",Vertices[[#Headers],[Vertex]:[Vertex Group]],0),FALSE)</f>
        <v>620</v>
      </c>
    </row>
    <row r="680" spans="1:3" ht="15">
      <c r="A680" s="79" t="s">
        <v>3857</v>
      </c>
      <c r="B680" s="96" t="s">
        <v>2410</v>
      </c>
      <c r="C680" s="78">
        <f>VLOOKUP(GroupVertices[[#This Row],[Vertex]],Vertices[],MATCH("ID",Vertices[[#Headers],[Vertex]:[Vertex Group]],0),FALSE)</f>
        <v>596</v>
      </c>
    </row>
    <row r="681" spans="1:3" ht="15">
      <c r="A681" s="79" t="s">
        <v>3858</v>
      </c>
      <c r="B681" s="96" t="s">
        <v>2411</v>
      </c>
      <c r="C681" s="78">
        <f>VLOOKUP(GroupVertices[[#This Row],[Vertex]],Vertices[],MATCH("ID",Vertices[[#Headers],[Vertex]:[Vertex Group]],0),FALSE)</f>
        <v>597</v>
      </c>
    </row>
    <row r="682" spans="1:3" ht="15">
      <c r="A682" s="79" t="s">
        <v>3859</v>
      </c>
      <c r="B682" s="96" t="s">
        <v>2412</v>
      </c>
      <c r="C682" s="78">
        <f>VLOOKUP(GroupVertices[[#This Row],[Vertex]],Vertices[],MATCH("ID",Vertices[[#Headers],[Vertex]:[Vertex Group]],0),FALSE)</f>
        <v>598</v>
      </c>
    </row>
    <row r="683" spans="1:3" ht="15">
      <c r="A683" s="79" t="s">
        <v>3860</v>
      </c>
      <c r="B683" s="96" t="s">
        <v>2413</v>
      </c>
      <c r="C683" s="78">
        <f>VLOOKUP(GroupVertices[[#This Row],[Vertex]],Vertices[],MATCH("ID",Vertices[[#Headers],[Vertex]:[Vertex Group]],0),FALSE)</f>
        <v>599</v>
      </c>
    </row>
    <row r="684" spans="1:3" ht="15">
      <c r="A684" s="79" t="s">
        <v>3861</v>
      </c>
      <c r="B684" s="96" t="s">
        <v>2414</v>
      </c>
      <c r="C684" s="78">
        <f>VLOOKUP(GroupVertices[[#This Row],[Vertex]],Vertices[],MATCH("ID",Vertices[[#Headers],[Vertex]:[Vertex Group]],0),FALSE)</f>
        <v>600</v>
      </c>
    </row>
    <row r="685" spans="1:3" ht="15">
      <c r="A685" s="79" t="s">
        <v>3862</v>
      </c>
      <c r="B685" s="96" t="s">
        <v>2415</v>
      </c>
      <c r="C685" s="78">
        <f>VLOOKUP(GroupVertices[[#This Row],[Vertex]],Vertices[],MATCH("ID",Vertices[[#Headers],[Vertex]:[Vertex Group]],0),FALSE)</f>
        <v>601</v>
      </c>
    </row>
    <row r="686" spans="1:3" ht="15">
      <c r="A686" s="79" t="s">
        <v>3863</v>
      </c>
      <c r="B686" s="96" t="s">
        <v>2416</v>
      </c>
      <c r="C686" s="78">
        <f>VLOOKUP(GroupVertices[[#This Row],[Vertex]],Vertices[],MATCH("ID",Vertices[[#Headers],[Vertex]:[Vertex Group]],0),FALSE)</f>
        <v>602</v>
      </c>
    </row>
    <row r="687" spans="1:3" ht="15">
      <c r="A687" s="79" t="s">
        <v>3864</v>
      </c>
      <c r="B687" s="96" t="s">
        <v>2417</v>
      </c>
      <c r="C687" s="78">
        <f>VLOOKUP(GroupVertices[[#This Row],[Vertex]],Vertices[],MATCH("ID",Vertices[[#Headers],[Vertex]:[Vertex Group]],0),FALSE)</f>
        <v>603</v>
      </c>
    </row>
    <row r="688" spans="1:3" ht="15">
      <c r="A688" s="79" t="s">
        <v>3865</v>
      </c>
      <c r="B688" s="96" t="s">
        <v>2418</v>
      </c>
      <c r="C688" s="78">
        <f>VLOOKUP(GroupVertices[[#This Row],[Vertex]],Vertices[],MATCH("ID",Vertices[[#Headers],[Vertex]:[Vertex Group]],0),FALSE)</f>
        <v>604</v>
      </c>
    </row>
    <row r="689" spans="1:3" ht="15">
      <c r="A689" s="79" t="s">
        <v>1563</v>
      </c>
      <c r="B689" s="96" t="s">
        <v>321</v>
      </c>
      <c r="C689" s="78">
        <f>VLOOKUP(GroupVertices[[#This Row],[Vertex]],Vertices[],MATCH("ID",Vertices[[#Headers],[Vertex]:[Vertex Group]],0),FALSE)</f>
        <v>606</v>
      </c>
    </row>
    <row r="690" spans="1:3" ht="15">
      <c r="A690" s="79" t="s">
        <v>1514</v>
      </c>
      <c r="B690" s="96" t="s">
        <v>548</v>
      </c>
      <c r="C690" s="78">
        <f>VLOOKUP(GroupVertices[[#This Row],[Vertex]],Vertices[],MATCH("ID",Vertices[[#Headers],[Vertex]:[Vertex Group]],0),FALSE)</f>
        <v>610</v>
      </c>
    </row>
    <row r="691" spans="1:3" ht="15">
      <c r="A691" s="79" t="s">
        <v>3866</v>
      </c>
      <c r="B691" s="96" t="s">
        <v>2420</v>
      </c>
      <c r="C691" s="78">
        <f>VLOOKUP(GroupVertices[[#This Row],[Vertex]],Vertices[],MATCH("ID",Vertices[[#Headers],[Vertex]:[Vertex Group]],0),FALSE)</f>
        <v>613</v>
      </c>
    </row>
    <row r="692" spans="1:3" ht="15">
      <c r="A692" s="79" t="s">
        <v>3889</v>
      </c>
      <c r="B692" s="96" t="s">
        <v>2459</v>
      </c>
      <c r="C692" s="78">
        <f>VLOOKUP(GroupVertices[[#This Row],[Vertex]],Vertices[],MATCH("ID",Vertices[[#Headers],[Vertex]:[Vertex Group]],0),FALSE)</f>
        <v>673</v>
      </c>
    </row>
    <row r="693" spans="1:3" ht="15">
      <c r="A693" s="79" t="s">
        <v>3890</v>
      </c>
      <c r="B693" s="96" t="s">
        <v>2460</v>
      </c>
      <c r="C693" s="78">
        <f>VLOOKUP(GroupVertices[[#This Row],[Vertex]],Vertices[],MATCH("ID",Vertices[[#Headers],[Vertex]:[Vertex Group]],0),FALSE)</f>
        <v>674</v>
      </c>
    </row>
    <row r="694" spans="1:3" ht="15">
      <c r="A694" s="79" t="s">
        <v>3891</v>
      </c>
      <c r="B694" s="96" t="s">
        <v>2461</v>
      </c>
      <c r="C694" s="78">
        <f>VLOOKUP(GroupVertices[[#This Row],[Vertex]],Vertices[],MATCH("ID",Vertices[[#Headers],[Vertex]:[Vertex Group]],0),FALSE)</f>
        <v>675</v>
      </c>
    </row>
    <row r="695" spans="1:3" ht="15">
      <c r="A695" s="79" t="s">
        <v>3892</v>
      </c>
      <c r="B695" s="96" t="s">
        <v>2462</v>
      </c>
      <c r="C695" s="78">
        <f>VLOOKUP(GroupVertices[[#This Row],[Vertex]],Vertices[],MATCH("ID",Vertices[[#Headers],[Vertex]:[Vertex Group]],0),FALSE)</f>
        <v>676</v>
      </c>
    </row>
    <row r="696" spans="1:3" ht="15">
      <c r="A696" s="79" t="s">
        <v>3893</v>
      </c>
      <c r="B696" s="96" t="s">
        <v>2463</v>
      </c>
      <c r="C696" s="78">
        <f>VLOOKUP(GroupVertices[[#This Row],[Vertex]],Vertices[],MATCH("ID",Vertices[[#Headers],[Vertex]:[Vertex Group]],0),FALSE)</f>
        <v>677</v>
      </c>
    </row>
    <row r="697" spans="1:3" ht="15">
      <c r="A697" s="79" t="s">
        <v>3895</v>
      </c>
      <c r="B697" s="96" t="s">
        <v>2466</v>
      </c>
      <c r="C697" s="78">
        <f>VLOOKUP(GroupVertices[[#This Row],[Vertex]],Vertices[],MATCH("ID",Vertices[[#Headers],[Vertex]:[Vertex Group]],0),FALSE)</f>
        <v>680</v>
      </c>
    </row>
    <row r="698" spans="1:3" ht="15">
      <c r="A698" s="79" t="s">
        <v>3896</v>
      </c>
      <c r="B698" s="96" t="s">
        <v>2468</v>
      </c>
      <c r="C698" s="78">
        <f>VLOOKUP(GroupVertices[[#This Row],[Vertex]],Vertices[],MATCH("ID",Vertices[[#Headers],[Vertex]:[Vertex Group]],0),FALSE)</f>
        <v>682</v>
      </c>
    </row>
    <row r="699" spans="1:3" ht="15">
      <c r="A699" s="79" t="s">
        <v>3898</v>
      </c>
      <c r="B699" s="96" t="s">
        <v>2470</v>
      </c>
      <c r="C699" s="78">
        <f>VLOOKUP(GroupVertices[[#This Row],[Vertex]],Vertices[],MATCH("ID",Vertices[[#Headers],[Vertex]:[Vertex Group]],0),FALSE)</f>
        <v>684</v>
      </c>
    </row>
    <row r="700" spans="1:3" ht="15">
      <c r="A700" s="79" t="s">
        <v>3899</v>
      </c>
      <c r="B700" s="96" t="s">
        <v>2471</v>
      </c>
      <c r="C700" s="78">
        <f>VLOOKUP(GroupVertices[[#This Row],[Vertex]],Vertices[],MATCH("ID",Vertices[[#Headers],[Vertex]:[Vertex Group]],0),FALSE)</f>
        <v>685</v>
      </c>
    </row>
    <row r="701" spans="1:3" ht="15">
      <c r="A701" s="79" t="s">
        <v>3900</v>
      </c>
      <c r="B701" s="96" t="s">
        <v>2472</v>
      </c>
      <c r="C701" s="78">
        <f>VLOOKUP(GroupVertices[[#This Row],[Vertex]],Vertices[],MATCH("ID",Vertices[[#Headers],[Vertex]:[Vertex Group]],0),FALSE)</f>
        <v>686</v>
      </c>
    </row>
    <row r="702" spans="1:3" ht="15">
      <c r="A702" s="79" t="s">
        <v>3901</v>
      </c>
      <c r="B702" s="96" t="s">
        <v>2473</v>
      </c>
      <c r="C702" s="78">
        <f>VLOOKUP(GroupVertices[[#This Row],[Vertex]],Vertices[],MATCH("ID",Vertices[[#Headers],[Vertex]:[Vertex Group]],0),FALSE)</f>
        <v>687</v>
      </c>
    </row>
    <row r="703" spans="1:3" ht="15">
      <c r="A703" s="79" t="s">
        <v>3902</v>
      </c>
      <c r="B703" s="96" t="s">
        <v>2474</v>
      </c>
      <c r="C703" s="78">
        <f>VLOOKUP(GroupVertices[[#This Row],[Vertex]],Vertices[],MATCH("ID",Vertices[[#Headers],[Vertex]:[Vertex Group]],0),FALSE)</f>
        <v>688</v>
      </c>
    </row>
    <row r="704" spans="1:3" ht="15">
      <c r="A704" s="79" t="s">
        <v>3903</v>
      </c>
      <c r="B704" s="96" t="s">
        <v>2475</v>
      </c>
      <c r="C704" s="78">
        <f>VLOOKUP(GroupVertices[[#This Row],[Vertex]],Vertices[],MATCH("ID",Vertices[[#Headers],[Vertex]:[Vertex Group]],0),FALSE)</f>
        <v>689</v>
      </c>
    </row>
    <row r="705" spans="1:3" ht="15">
      <c r="A705" s="79" t="s">
        <v>3816</v>
      </c>
      <c r="B705" s="96" t="s">
        <v>2330</v>
      </c>
      <c r="C705" s="78">
        <f>VLOOKUP(GroupVertices[[#This Row],[Vertex]],Vertices[],MATCH("ID",Vertices[[#Headers],[Vertex]:[Vertex Group]],0),FALSE)</f>
        <v>438</v>
      </c>
    </row>
    <row r="706" spans="1:3" ht="15">
      <c r="A706" s="79" t="s">
        <v>1647</v>
      </c>
      <c r="B706" s="96" t="s">
        <v>485</v>
      </c>
      <c r="C706" s="78">
        <f>VLOOKUP(GroupVertices[[#This Row],[Vertex]],Vertices[],MATCH("ID",Vertices[[#Headers],[Vertex]:[Vertex Group]],0),FALSE)</f>
        <v>439</v>
      </c>
    </row>
    <row r="707" spans="1:3" ht="15">
      <c r="A707" s="79" t="s">
        <v>1648</v>
      </c>
      <c r="B707" s="96" t="s">
        <v>486</v>
      </c>
      <c r="C707" s="78">
        <f>VLOOKUP(GroupVertices[[#This Row],[Vertex]],Vertices[],MATCH("ID",Vertices[[#Headers],[Vertex]:[Vertex Group]],0),FALSE)</f>
        <v>440</v>
      </c>
    </row>
    <row r="708" spans="1:3" ht="15">
      <c r="A708" s="79" t="s">
        <v>1649</v>
      </c>
      <c r="B708" s="96" t="s">
        <v>487</v>
      </c>
      <c r="C708" s="78">
        <f>VLOOKUP(GroupVertices[[#This Row],[Vertex]],Vertices[],MATCH("ID",Vertices[[#Headers],[Vertex]:[Vertex Group]],0),FALSE)</f>
        <v>441</v>
      </c>
    </row>
    <row r="709" spans="1:3" ht="15">
      <c r="A709" s="79" t="s">
        <v>1650</v>
      </c>
      <c r="B709" s="96" t="s">
        <v>488</v>
      </c>
      <c r="C709" s="78">
        <f>VLOOKUP(GroupVertices[[#This Row],[Vertex]],Vertices[],MATCH("ID",Vertices[[#Headers],[Vertex]:[Vertex Group]],0),FALSE)</f>
        <v>443</v>
      </c>
    </row>
    <row r="710" spans="1:3" ht="15">
      <c r="A710" s="79" t="s">
        <v>3817</v>
      </c>
      <c r="B710" s="96" t="s">
        <v>2331</v>
      </c>
      <c r="C710" s="78">
        <f>VLOOKUP(GroupVertices[[#This Row],[Vertex]],Vertices[],MATCH("ID",Vertices[[#Headers],[Vertex]:[Vertex Group]],0),FALSE)</f>
        <v>444</v>
      </c>
    </row>
    <row r="711" spans="1:3" ht="15">
      <c r="A711" s="79" t="s">
        <v>1651</v>
      </c>
      <c r="B711" s="96" t="s">
        <v>491</v>
      </c>
      <c r="C711" s="78">
        <f>VLOOKUP(GroupVertices[[#This Row],[Vertex]],Vertices[],MATCH("ID",Vertices[[#Headers],[Vertex]:[Vertex Group]],0),FALSE)</f>
        <v>446</v>
      </c>
    </row>
    <row r="712" spans="1:3" ht="15">
      <c r="A712" s="79" t="s">
        <v>3818</v>
      </c>
      <c r="B712" s="96" t="s">
        <v>2332</v>
      </c>
      <c r="C712" s="78">
        <f>VLOOKUP(GroupVertices[[#This Row],[Vertex]],Vertices[],MATCH("ID",Vertices[[#Headers],[Vertex]:[Vertex Group]],0),FALSE)</f>
        <v>447</v>
      </c>
    </row>
    <row r="713" spans="1:3" ht="15">
      <c r="A713" s="79" t="s">
        <v>1652</v>
      </c>
      <c r="B713" s="96" t="s">
        <v>492</v>
      </c>
      <c r="C713" s="78">
        <f>VLOOKUP(GroupVertices[[#This Row],[Vertex]],Vertices[],MATCH("ID",Vertices[[#Headers],[Vertex]:[Vertex Group]],0),FALSE)</f>
        <v>448</v>
      </c>
    </row>
    <row r="714" spans="1:3" ht="15">
      <c r="A714" s="79" t="s">
        <v>1653</v>
      </c>
      <c r="B714" s="96" t="s">
        <v>493</v>
      </c>
      <c r="C714" s="78">
        <f>VLOOKUP(GroupVertices[[#This Row],[Vertex]],Vertices[],MATCH("ID",Vertices[[#Headers],[Vertex]:[Vertex Group]],0),FALSE)</f>
        <v>449</v>
      </c>
    </row>
    <row r="715" spans="1:3" ht="15">
      <c r="A715" s="79" t="s">
        <v>1654</v>
      </c>
      <c r="B715" s="96" t="s">
        <v>494</v>
      </c>
      <c r="C715" s="78">
        <f>VLOOKUP(GroupVertices[[#This Row],[Vertex]],Vertices[],MATCH("ID",Vertices[[#Headers],[Vertex]:[Vertex Group]],0),FALSE)</f>
        <v>450</v>
      </c>
    </row>
    <row r="716" spans="1:3" ht="15">
      <c r="A716" s="79" t="s">
        <v>1645</v>
      </c>
      <c r="B716" s="96" t="s">
        <v>473</v>
      </c>
      <c r="C716" s="78">
        <f>VLOOKUP(GroupVertices[[#This Row],[Vertex]],Vertices[],MATCH("ID",Vertices[[#Headers],[Vertex]:[Vertex Group]],0),FALSE)</f>
        <v>451</v>
      </c>
    </row>
    <row r="717" spans="1:3" ht="15">
      <c r="A717" s="79" t="s">
        <v>1655</v>
      </c>
      <c r="B717" s="96" t="s">
        <v>495</v>
      </c>
      <c r="C717" s="78">
        <f>VLOOKUP(GroupVertices[[#This Row],[Vertex]],Vertices[],MATCH("ID",Vertices[[#Headers],[Vertex]:[Vertex Group]],0),FALSE)</f>
        <v>452</v>
      </c>
    </row>
    <row r="718" spans="1:3" ht="15">
      <c r="A718" s="79" t="s">
        <v>1646</v>
      </c>
      <c r="B718" s="96" t="s">
        <v>474</v>
      </c>
      <c r="C718" s="78">
        <f>VLOOKUP(GroupVertices[[#This Row],[Vertex]],Vertices[],MATCH("ID",Vertices[[#Headers],[Vertex]:[Vertex Group]],0),FALSE)</f>
        <v>453</v>
      </c>
    </row>
    <row r="719" spans="1:3" ht="15">
      <c r="A719" s="79" t="s">
        <v>1656</v>
      </c>
      <c r="B719" s="96" t="s">
        <v>498</v>
      </c>
      <c r="C719" s="78">
        <f>VLOOKUP(GroupVertices[[#This Row],[Vertex]],Vertices[],MATCH("ID",Vertices[[#Headers],[Vertex]:[Vertex Group]],0),FALSE)</f>
        <v>462</v>
      </c>
    </row>
    <row r="720" spans="1:3" ht="15">
      <c r="A720" s="79" t="s">
        <v>1658</v>
      </c>
      <c r="B720" s="96" t="s">
        <v>502</v>
      </c>
      <c r="C720" s="78">
        <f>VLOOKUP(GroupVertices[[#This Row],[Vertex]],Vertices[],MATCH("ID",Vertices[[#Headers],[Vertex]:[Vertex Group]],0),FALSE)</f>
        <v>498</v>
      </c>
    </row>
    <row r="721" spans="1:3" ht="15">
      <c r="A721" s="79" t="s">
        <v>1662</v>
      </c>
      <c r="B721" s="96" t="s">
        <v>507</v>
      </c>
      <c r="C721" s="78">
        <f>VLOOKUP(GroupVertices[[#This Row],[Vertex]],Vertices[],MATCH("ID",Vertices[[#Headers],[Vertex]:[Vertex Group]],0),FALSE)</f>
        <v>502</v>
      </c>
    </row>
    <row r="722" spans="1:3" ht="15">
      <c r="A722" s="79" t="s">
        <v>1661</v>
      </c>
      <c r="B722" s="96" t="s">
        <v>506</v>
      </c>
      <c r="C722" s="78">
        <f>VLOOKUP(GroupVertices[[#This Row],[Vertex]],Vertices[],MATCH("ID",Vertices[[#Headers],[Vertex]:[Vertex Group]],0),FALSE)</f>
        <v>503</v>
      </c>
    </row>
    <row r="723" spans="1:3" ht="15">
      <c r="A723" s="79" t="s">
        <v>1663</v>
      </c>
      <c r="B723" s="96" t="s">
        <v>508</v>
      </c>
      <c r="C723" s="78">
        <f>VLOOKUP(GroupVertices[[#This Row],[Vertex]],Vertices[],MATCH("ID",Vertices[[#Headers],[Vertex]:[Vertex Group]],0),FALSE)</f>
        <v>504</v>
      </c>
    </row>
    <row r="724" spans="1:3" ht="15">
      <c r="A724" s="79" t="s">
        <v>1657</v>
      </c>
      <c r="B724" s="96" t="s">
        <v>500</v>
      </c>
      <c r="C724" s="78">
        <f>VLOOKUP(GroupVertices[[#This Row],[Vertex]],Vertices[],MATCH("ID",Vertices[[#Headers],[Vertex]:[Vertex Group]],0),FALSE)</f>
        <v>506</v>
      </c>
    </row>
    <row r="725" spans="1:3" ht="15">
      <c r="A725" s="79" t="s">
        <v>1665</v>
      </c>
      <c r="B725" s="96" t="s">
        <v>522</v>
      </c>
      <c r="C725" s="78">
        <f>VLOOKUP(GroupVertices[[#This Row],[Vertex]],Vertices[],MATCH("ID",Vertices[[#Headers],[Vertex]:[Vertex Group]],0),FALSE)</f>
        <v>521</v>
      </c>
    </row>
    <row r="726" spans="1:3" ht="15">
      <c r="A726" s="79" t="s">
        <v>1666</v>
      </c>
      <c r="B726" s="96" t="s">
        <v>527</v>
      </c>
      <c r="C726" s="78">
        <f>VLOOKUP(GroupVertices[[#This Row],[Vertex]],Vertices[],MATCH("ID",Vertices[[#Headers],[Vertex]:[Vertex Group]],0),FALSE)</f>
        <v>526</v>
      </c>
    </row>
    <row r="727" spans="1:3" ht="15">
      <c r="A727" s="79" t="s">
        <v>1632</v>
      </c>
      <c r="B727" s="96" t="s">
        <v>458</v>
      </c>
      <c r="C727" s="78">
        <f>VLOOKUP(GroupVertices[[#This Row],[Vertex]],Vertices[],MATCH("ID",Vertices[[#Headers],[Vertex]:[Vertex Group]],0),FALSE)</f>
        <v>401</v>
      </c>
    </row>
    <row r="728" spans="1:3" ht="15">
      <c r="A728" s="79" t="s">
        <v>1633</v>
      </c>
      <c r="B728" s="96" t="s">
        <v>459</v>
      </c>
      <c r="C728" s="78">
        <f>VLOOKUP(GroupVertices[[#This Row],[Vertex]],Vertices[],MATCH("ID",Vertices[[#Headers],[Vertex]:[Vertex Group]],0),FALSE)</f>
        <v>402</v>
      </c>
    </row>
    <row r="729" spans="1:3" ht="15">
      <c r="A729" s="79" t="s">
        <v>1634</v>
      </c>
      <c r="B729" s="96" t="s">
        <v>460</v>
      </c>
      <c r="C729" s="78">
        <f>VLOOKUP(GroupVertices[[#This Row],[Vertex]],Vertices[],MATCH("ID",Vertices[[#Headers],[Vertex]:[Vertex Group]],0),FALSE)</f>
        <v>403</v>
      </c>
    </row>
    <row r="730" spans="1:3" ht="15">
      <c r="A730" s="79" t="s">
        <v>1631</v>
      </c>
      <c r="B730" s="96" t="s">
        <v>457</v>
      </c>
      <c r="C730" s="78">
        <f>VLOOKUP(GroupVertices[[#This Row],[Vertex]],Vertices[],MATCH("ID",Vertices[[#Headers],[Vertex]:[Vertex Group]],0),FALSE)</f>
        <v>404</v>
      </c>
    </row>
    <row r="731" spans="1:3" ht="15">
      <c r="A731" s="79" t="s">
        <v>1635</v>
      </c>
      <c r="B731" s="96" t="s">
        <v>461</v>
      </c>
      <c r="C731" s="78">
        <f>VLOOKUP(GroupVertices[[#This Row],[Vertex]],Vertices[],MATCH("ID",Vertices[[#Headers],[Vertex]:[Vertex Group]],0),FALSE)</f>
        <v>405</v>
      </c>
    </row>
    <row r="732" spans="1:3" ht="15">
      <c r="A732" s="79" t="s">
        <v>1637</v>
      </c>
      <c r="B732" s="96" t="s">
        <v>463</v>
      </c>
      <c r="C732" s="78">
        <f>VLOOKUP(GroupVertices[[#This Row],[Vertex]],Vertices[],MATCH("ID",Vertices[[#Headers],[Vertex]:[Vertex Group]],0),FALSE)</f>
        <v>409</v>
      </c>
    </row>
    <row r="733" spans="1:3" ht="15">
      <c r="A733" s="79" t="s">
        <v>3940</v>
      </c>
      <c r="B733" s="96" t="s">
        <v>2544</v>
      </c>
      <c r="C733" s="78">
        <f>VLOOKUP(GroupVertices[[#This Row],[Vertex]],Vertices[],MATCH("ID",Vertices[[#Headers],[Vertex]:[Vertex Group]],0),FALSE)</f>
        <v>800</v>
      </c>
    </row>
    <row r="734" spans="1:3" ht="15">
      <c r="A734" s="79" t="s">
        <v>3942</v>
      </c>
      <c r="B734" s="96" t="s">
        <v>2546</v>
      </c>
      <c r="C734" s="78">
        <f>VLOOKUP(GroupVertices[[#This Row],[Vertex]],Vertices[],MATCH("ID",Vertices[[#Headers],[Vertex]:[Vertex Group]],0),FALSE)</f>
        <v>802</v>
      </c>
    </row>
    <row r="735" spans="1:3" ht="15">
      <c r="A735" s="79" t="s">
        <v>3943</v>
      </c>
      <c r="B735" s="96" t="s">
        <v>2548</v>
      </c>
      <c r="C735" s="78">
        <f>VLOOKUP(GroupVertices[[#This Row],[Vertex]],Vertices[],MATCH("ID",Vertices[[#Headers],[Vertex]:[Vertex Group]],0),FALSE)</f>
        <v>804</v>
      </c>
    </row>
    <row r="736" spans="1:3" ht="15">
      <c r="A736" s="79" t="s">
        <v>3945</v>
      </c>
      <c r="B736" s="96" t="s">
        <v>2551</v>
      </c>
      <c r="C736" s="78">
        <f>VLOOKUP(GroupVertices[[#This Row],[Vertex]],Vertices[],MATCH("ID",Vertices[[#Headers],[Vertex]:[Vertex Group]],0),FALSE)</f>
        <v>807</v>
      </c>
    </row>
    <row r="737" spans="1:3" ht="15">
      <c r="A737" s="79" t="s">
        <v>4465</v>
      </c>
      <c r="B737" s="96" t="s">
        <v>2552</v>
      </c>
      <c r="C737" s="78">
        <f>VLOOKUP(GroupVertices[[#This Row],[Vertex]],Vertices[],MATCH("ID",Vertices[[#Headers],[Vertex]:[Vertex Group]],0),FALSE)</f>
        <v>808</v>
      </c>
    </row>
    <row r="738" spans="1:3" ht="15">
      <c r="A738" s="79" t="s">
        <v>3947</v>
      </c>
      <c r="B738" s="96" t="s">
        <v>2554</v>
      </c>
      <c r="C738" s="78">
        <f>VLOOKUP(GroupVertices[[#This Row],[Vertex]],Vertices[],MATCH("ID",Vertices[[#Headers],[Vertex]:[Vertex Group]],0),FALSE)</f>
        <v>810</v>
      </c>
    </row>
    <row r="739" spans="1:3" ht="15">
      <c r="A739" s="79" t="s">
        <v>3923</v>
      </c>
      <c r="B739" s="96" t="s">
        <v>2514</v>
      </c>
      <c r="C739" s="78">
        <f>VLOOKUP(GroupVertices[[#This Row],[Vertex]],Vertices[],MATCH("ID",Vertices[[#Headers],[Vertex]:[Vertex Group]],0),FALSE)</f>
        <v>760</v>
      </c>
    </row>
    <row r="740" spans="1:3" ht="15">
      <c r="A740" s="79" t="s">
        <v>4466</v>
      </c>
      <c r="B740" s="96" t="s">
        <v>2515</v>
      </c>
      <c r="C740" s="78">
        <f>VLOOKUP(GroupVertices[[#This Row],[Vertex]],Vertices[],MATCH("ID",Vertices[[#Headers],[Vertex]:[Vertex Group]],0),FALSE)</f>
        <v>761</v>
      </c>
    </row>
    <row r="741" spans="1:3" ht="15">
      <c r="A741" s="79" t="s">
        <v>3925</v>
      </c>
      <c r="B741" s="96" t="s">
        <v>2516</v>
      </c>
      <c r="C741" s="78">
        <f>VLOOKUP(GroupVertices[[#This Row],[Vertex]],Vertices[],MATCH("ID",Vertices[[#Headers],[Vertex]:[Vertex Group]],0),FALSE)</f>
        <v>762</v>
      </c>
    </row>
    <row r="742" spans="1:3" ht="15">
      <c r="A742" s="79" t="s">
        <v>3926</v>
      </c>
      <c r="B742" s="96" t="s">
        <v>2517</v>
      </c>
      <c r="C742" s="78">
        <f>VLOOKUP(GroupVertices[[#This Row],[Vertex]],Vertices[],MATCH("ID",Vertices[[#Headers],[Vertex]:[Vertex Group]],0),FALSE)</f>
        <v>763</v>
      </c>
    </row>
    <row r="743" spans="1:3" ht="15">
      <c r="A743" s="79" t="s">
        <v>3927</v>
      </c>
      <c r="B743" s="96" t="s">
        <v>2518</v>
      </c>
      <c r="C743" s="78">
        <f>VLOOKUP(GroupVertices[[#This Row],[Vertex]],Vertices[],MATCH("ID",Vertices[[#Headers],[Vertex]:[Vertex Group]],0),FALSE)</f>
        <v>764</v>
      </c>
    </row>
    <row r="744" spans="1:3" ht="15">
      <c r="A744" s="79" t="s">
        <v>3928</v>
      </c>
      <c r="B744" s="96" t="s">
        <v>2519</v>
      </c>
      <c r="C744" s="78">
        <f>VLOOKUP(GroupVertices[[#This Row],[Vertex]],Vertices[],MATCH("ID",Vertices[[#Headers],[Vertex]:[Vertex Group]],0),FALSE)</f>
        <v>765</v>
      </c>
    </row>
    <row r="745" spans="1:3" ht="15">
      <c r="A745" s="79" t="s">
        <v>3929</v>
      </c>
      <c r="B745" s="96" t="s">
        <v>2520</v>
      </c>
      <c r="C745" s="78">
        <f>VLOOKUP(GroupVertices[[#This Row],[Vertex]],Vertices[],MATCH("ID",Vertices[[#Headers],[Vertex]:[Vertex Group]],0),FALSE)</f>
        <v>766</v>
      </c>
    </row>
    <row r="746" spans="1:3" ht="15">
      <c r="A746" s="79" t="s">
        <v>3930</v>
      </c>
      <c r="B746" s="96" t="s">
        <v>2521</v>
      </c>
      <c r="C746" s="78">
        <f>VLOOKUP(GroupVertices[[#This Row],[Vertex]],Vertices[],MATCH("ID",Vertices[[#Headers],[Vertex]:[Vertex Group]],0),FALSE)</f>
        <v>767</v>
      </c>
    </row>
    <row r="747" spans="1:3" ht="15">
      <c r="A747" s="79" t="s">
        <v>3931</v>
      </c>
      <c r="B747" s="96" t="s">
        <v>2522</v>
      </c>
      <c r="C747" s="78">
        <f>VLOOKUP(GroupVertices[[#This Row],[Vertex]],Vertices[],MATCH("ID",Vertices[[#Headers],[Vertex]:[Vertex Group]],0),FALSE)</f>
        <v>768</v>
      </c>
    </row>
    <row r="748" spans="1:3" ht="15">
      <c r="A748" s="79" t="s">
        <v>3932</v>
      </c>
      <c r="B748" s="96" t="s">
        <v>2523</v>
      </c>
      <c r="C748" s="78">
        <f>VLOOKUP(GroupVertices[[#This Row],[Vertex]],Vertices[],MATCH("ID",Vertices[[#Headers],[Vertex]:[Vertex Group]],0),FALSE)</f>
        <v>769</v>
      </c>
    </row>
    <row r="749" spans="1:3" ht="15">
      <c r="A749" s="79" t="s">
        <v>3933</v>
      </c>
      <c r="B749" s="96" t="s">
        <v>2524</v>
      </c>
      <c r="C749" s="78">
        <f>VLOOKUP(GroupVertices[[#This Row],[Vertex]],Vertices[],MATCH("ID",Vertices[[#Headers],[Vertex]:[Vertex Group]],0),FALSE)</f>
        <v>770</v>
      </c>
    </row>
    <row r="750" spans="1:3" ht="15">
      <c r="A750" s="79" t="s">
        <v>3934</v>
      </c>
      <c r="B750" s="96" t="s">
        <v>2525</v>
      </c>
      <c r="C750" s="78">
        <f>VLOOKUP(GroupVertices[[#This Row],[Vertex]],Vertices[],MATCH("ID",Vertices[[#Headers],[Vertex]:[Vertex Group]],0),FALSE)</f>
        <v>771</v>
      </c>
    </row>
    <row r="751" spans="1:3" ht="15">
      <c r="A751" s="79" t="s">
        <v>3935</v>
      </c>
      <c r="B751" s="96" t="s">
        <v>2526</v>
      </c>
      <c r="C751" s="78">
        <f>VLOOKUP(GroupVertices[[#This Row],[Vertex]],Vertices[],MATCH("ID",Vertices[[#Headers],[Vertex]:[Vertex Group]],0),FALSE)</f>
        <v>772</v>
      </c>
    </row>
    <row r="752" spans="1:3" ht="15">
      <c r="A752" s="79" t="s">
        <v>3936</v>
      </c>
      <c r="B752" s="96" t="s">
        <v>2527</v>
      </c>
      <c r="C752" s="78">
        <f>VLOOKUP(GroupVertices[[#This Row],[Vertex]],Vertices[],MATCH("ID",Vertices[[#Headers],[Vertex]:[Vertex Group]],0),FALSE)</f>
        <v>773</v>
      </c>
    </row>
    <row r="753" spans="1:3" ht="15">
      <c r="A753" s="79" t="s">
        <v>3937</v>
      </c>
      <c r="B753" s="96" t="s">
        <v>2528</v>
      </c>
      <c r="C753" s="78">
        <f>VLOOKUP(GroupVertices[[#This Row],[Vertex]],Vertices[],MATCH("ID",Vertices[[#Headers],[Vertex]:[Vertex Group]],0),FALSE)</f>
        <v>774</v>
      </c>
    </row>
    <row r="754" spans="1:3" ht="15">
      <c r="A754" s="79" t="s">
        <v>3938</v>
      </c>
      <c r="B754" s="96" t="s">
        <v>2530</v>
      </c>
      <c r="C754" s="78">
        <f>VLOOKUP(GroupVertices[[#This Row],[Vertex]],Vertices[],MATCH("ID",Vertices[[#Headers],[Vertex]:[Vertex Group]],0),FALSE)</f>
        <v>776</v>
      </c>
    </row>
    <row r="755" spans="1:3" ht="15">
      <c r="A755" s="79" t="s">
        <v>3766</v>
      </c>
      <c r="B755" s="96" t="s">
        <v>2246</v>
      </c>
      <c r="C755" s="78">
        <f>VLOOKUP(GroupVertices[[#This Row],[Vertex]],Vertices[],MATCH("ID",Vertices[[#Headers],[Vertex]:[Vertex Group]],0),FALSE)</f>
        <v>287</v>
      </c>
    </row>
    <row r="756" spans="1:3" ht="15">
      <c r="A756" s="79" t="s">
        <v>3767</v>
      </c>
      <c r="B756" s="96" t="s">
        <v>2247</v>
      </c>
      <c r="C756" s="78">
        <f>VLOOKUP(GroupVertices[[#This Row],[Vertex]],Vertices[],MATCH("ID",Vertices[[#Headers],[Vertex]:[Vertex Group]],0),FALSE)</f>
        <v>288</v>
      </c>
    </row>
    <row r="757" spans="1:3" ht="15">
      <c r="A757" s="79" t="s">
        <v>3768</v>
      </c>
      <c r="B757" s="96" t="s">
        <v>2248</v>
      </c>
      <c r="C757" s="78">
        <f>VLOOKUP(GroupVertices[[#This Row],[Vertex]],Vertices[],MATCH("ID",Vertices[[#Headers],[Vertex]:[Vertex Group]],0),FALSE)</f>
        <v>289</v>
      </c>
    </row>
    <row r="758" spans="1:3" ht="15">
      <c r="A758" s="79" t="s">
        <v>3769</v>
      </c>
      <c r="B758" s="96" t="s">
        <v>2249</v>
      </c>
      <c r="C758" s="78">
        <f>VLOOKUP(GroupVertices[[#This Row],[Vertex]],Vertices[],MATCH("ID",Vertices[[#Headers],[Vertex]:[Vertex Group]],0),FALSE)</f>
        <v>290</v>
      </c>
    </row>
    <row r="759" spans="1:3" ht="15">
      <c r="A759" s="79" t="s">
        <v>3770</v>
      </c>
      <c r="B759" s="96" t="s">
        <v>2250</v>
      </c>
      <c r="C759" s="78">
        <f>VLOOKUP(GroupVertices[[#This Row],[Vertex]],Vertices[],MATCH("ID",Vertices[[#Headers],[Vertex]:[Vertex Group]],0),FALSE)</f>
        <v>291</v>
      </c>
    </row>
    <row r="760" spans="1:3" ht="15">
      <c r="A760" s="79" t="s">
        <v>3771</v>
      </c>
      <c r="B760" s="96" t="s">
        <v>2251</v>
      </c>
      <c r="C760" s="78">
        <f>VLOOKUP(GroupVertices[[#This Row],[Vertex]],Vertices[],MATCH("ID",Vertices[[#Headers],[Vertex]:[Vertex Group]],0),FALSE)</f>
        <v>292</v>
      </c>
    </row>
    <row r="761" spans="1:3" ht="15">
      <c r="A761" s="79" t="s">
        <v>3772</v>
      </c>
      <c r="B761" s="96" t="s">
        <v>2252</v>
      </c>
      <c r="C761" s="78">
        <f>VLOOKUP(GroupVertices[[#This Row],[Vertex]],Vertices[],MATCH("ID",Vertices[[#Headers],[Vertex]:[Vertex Group]],0),FALSE)</f>
        <v>293</v>
      </c>
    </row>
    <row r="762" spans="1:3" ht="15">
      <c r="A762" s="79" t="s">
        <v>3773</v>
      </c>
      <c r="B762" s="96" t="s">
        <v>2253</v>
      </c>
      <c r="C762" s="78">
        <f>VLOOKUP(GroupVertices[[#This Row],[Vertex]],Vertices[],MATCH("ID",Vertices[[#Headers],[Vertex]:[Vertex Group]],0),FALSE)</f>
        <v>294</v>
      </c>
    </row>
    <row r="763" spans="1:3" ht="15">
      <c r="A763" s="79" t="s">
        <v>3774</v>
      </c>
      <c r="B763" s="96" t="s">
        <v>2254</v>
      </c>
      <c r="C763" s="78">
        <f>VLOOKUP(GroupVertices[[#This Row],[Vertex]],Vertices[],MATCH("ID",Vertices[[#Headers],[Vertex]:[Vertex Group]],0),FALSE)</f>
        <v>295</v>
      </c>
    </row>
    <row r="764" spans="1:3" ht="15">
      <c r="A764" s="79" t="s">
        <v>3775</v>
      </c>
      <c r="B764" s="96" t="s">
        <v>2255</v>
      </c>
      <c r="C764" s="78">
        <f>VLOOKUP(GroupVertices[[#This Row],[Vertex]],Vertices[],MATCH("ID",Vertices[[#Headers],[Vertex]:[Vertex Group]],0),FALSE)</f>
        <v>296</v>
      </c>
    </row>
    <row r="765" spans="1:3" ht="15">
      <c r="A765" s="79" t="s">
        <v>3777</v>
      </c>
      <c r="B765" s="96" t="s">
        <v>2257</v>
      </c>
      <c r="C765" s="78">
        <f>VLOOKUP(GroupVertices[[#This Row],[Vertex]],Vertices[],MATCH("ID",Vertices[[#Headers],[Vertex]:[Vertex Group]],0),FALSE)</f>
        <v>298</v>
      </c>
    </row>
    <row r="766" spans="1:3" ht="15">
      <c r="A766" s="79" t="s">
        <v>3778</v>
      </c>
      <c r="B766" s="96" t="s">
        <v>2259</v>
      </c>
      <c r="C766" s="78">
        <f>VLOOKUP(GroupVertices[[#This Row],[Vertex]],Vertices[],MATCH("ID",Vertices[[#Headers],[Vertex]:[Vertex Group]],0),FALSE)</f>
        <v>300</v>
      </c>
    </row>
    <row r="767" spans="1:3" ht="15">
      <c r="A767" s="79" t="s">
        <v>3779</v>
      </c>
      <c r="B767" s="96" t="s">
        <v>2260</v>
      </c>
      <c r="C767" s="78">
        <f>VLOOKUP(GroupVertices[[#This Row],[Vertex]],Vertices[],MATCH("ID",Vertices[[#Headers],[Vertex]:[Vertex Group]],0),FALSE)</f>
        <v>301</v>
      </c>
    </row>
    <row r="768" spans="1:3" ht="15">
      <c r="A768" s="79" t="s">
        <v>3781</v>
      </c>
      <c r="B768" s="96" t="s">
        <v>2264</v>
      </c>
      <c r="C768" s="78">
        <f>VLOOKUP(GroupVertices[[#This Row],[Vertex]],Vertices[],MATCH("ID",Vertices[[#Headers],[Vertex]:[Vertex Group]],0),FALSE)</f>
        <v>305</v>
      </c>
    </row>
    <row r="769" spans="1:3" ht="15">
      <c r="A769" s="79" t="s">
        <v>3782</v>
      </c>
      <c r="B769" s="96" t="s">
        <v>2265</v>
      </c>
      <c r="C769" s="78">
        <f>VLOOKUP(GroupVertices[[#This Row],[Vertex]],Vertices[],MATCH("ID",Vertices[[#Headers],[Vertex]:[Vertex Group]],0),FALSE)</f>
        <v>306</v>
      </c>
    </row>
    <row r="770" spans="1:3" ht="15">
      <c r="A770" s="79" t="s">
        <v>3783</v>
      </c>
      <c r="B770" s="96" t="s">
        <v>2269</v>
      </c>
      <c r="C770" s="78">
        <f>VLOOKUP(GroupVertices[[#This Row],[Vertex]],Vertices[],MATCH("ID",Vertices[[#Headers],[Vertex]:[Vertex Group]],0),FALSE)</f>
        <v>310</v>
      </c>
    </row>
    <row r="771" spans="1:3" ht="15">
      <c r="A771" s="79" t="s">
        <v>1537</v>
      </c>
      <c r="B771" s="96" t="s">
        <v>279</v>
      </c>
      <c r="C771" s="78">
        <f>VLOOKUP(GroupVertices[[#This Row],[Vertex]],Vertices[],MATCH("ID",Vertices[[#Headers],[Vertex]:[Vertex Group]],0),FALSE)</f>
        <v>316</v>
      </c>
    </row>
    <row r="772" spans="1:3" ht="15">
      <c r="A772" s="79" t="s">
        <v>1623</v>
      </c>
      <c r="B772" s="96" t="s">
        <v>230</v>
      </c>
      <c r="C772" s="78">
        <f>VLOOKUP(GroupVertices[[#This Row],[Vertex]],Vertices[],MATCH("ID",Vertices[[#Headers],[Vertex]:[Vertex Group]],0),FALSE)</f>
        <v>32</v>
      </c>
    </row>
    <row r="773" spans="1:3" ht="15">
      <c r="A773" s="79" t="s">
        <v>1624</v>
      </c>
      <c r="B773" s="96" t="s">
        <v>450</v>
      </c>
      <c r="C773" s="78">
        <f>VLOOKUP(GroupVertices[[#This Row],[Vertex]],Vertices[],MATCH("ID",Vertices[[#Headers],[Vertex]:[Vertex Group]],0),FALSE)</f>
        <v>414</v>
      </c>
    </row>
    <row r="774" spans="1:3" ht="15">
      <c r="A774" s="79" t="s">
        <v>1626</v>
      </c>
      <c r="B774" s="96" t="s">
        <v>452</v>
      </c>
      <c r="C774" s="78">
        <f>VLOOKUP(GroupVertices[[#This Row],[Vertex]],Vertices[],MATCH("ID",Vertices[[#Headers],[Vertex]:[Vertex Group]],0),FALSE)</f>
        <v>415</v>
      </c>
    </row>
    <row r="775" spans="1:3" ht="15">
      <c r="A775" s="79" t="s">
        <v>1627</v>
      </c>
      <c r="B775" s="96" t="s">
        <v>453</v>
      </c>
      <c r="C775" s="78">
        <f>VLOOKUP(GroupVertices[[#This Row],[Vertex]],Vertices[],MATCH("ID",Vertices[[#Headers],[Vertex]:[Vertex Group]],0),FALSE)</f>
        <v>416</v>
      </c>
    </row>
    <row r="776" spans="1:3" ht="15">
      <c r="A776" s="79" t="s">
        <v>1625</v>
      </c>
      <c r="B776" s="96" t="s">
        <v>451</v>
      </c>
      <c r="C776" s="78">
        <f>VLOOKUP(GroupVertices[[#This Row],[Vertex]],Vertices[],MATCH("ID",Vertices[[#Headers],[Vertex]:[Vertex Group]],0),FALSE)</f>
        <v>417</v>
      </c>
    </row>
    <row r="777" spans="1:3" ht="15">
      <c r="A777" s="79" t="s">
        <v>1628</v>
      </c>
      <c r="B777" s="96" t="s">
        <v>454</v>
      </c>
      <c r="C777" s="78">
        <f>VLOOKUP(GroupVertices[[#This Row],[Vertex]],Vertices[],MATCH("ID",Vertices[[#Headers],[Vertex]:[Vertex Group]],0),FALSE)</f>
        <v>418</v>
      </c>
    </row>
    <row r="778" spans="1:3" ht="15">
      <c r="A778" s="79" t="s">
        <v>1629</v>
      </c>
      <c r="B778" s="96" t="s">
        <v>455</v>
      </c>
      <c r="C778" s="78">
        <f>VLOOKUP(GroupVertices[[#This Row],[Vertex]],Vertices[],MATCH("ID",Vertices[[#Headers],[Vertex]:[Vertex Group]],0),FALSE)</f>
        <v>419</v>
      </c>
    </row>
    <row r="779" spans="1:3" ht="15">
      <c r="A779" s="79" t="s">
        <v>1630</v>
      </c>
      <c r="B779" s="96" t="s">
        <v>456</v>
      </c>
      <c r="C779" s="78">
        <f>VLOOKUP(GroupVertices[[#This Row],[Vertex]],Vertices[],MATCH("ID",Vertices[[#Headers],[Vertex]:[Vertex Group]],0),FALSE)</f>
        <v>420</v>
      </c>
    </row>
    <row r="780" spans="1:3" ht="15">
      <c r="A780" s="79" t="s">
        <v>3870</v>
      </c>
      <c r="B780" s="96" t="s">
        <v>2426</v>
      </c>
      <c r="C780" s="78">
        <f>VLOOKUP(GroupVertices[[#This Row],[Vertex]],Vertices[],MATCH("ID",Vertices[[#Headers],[Vertex]:[Vertex Group]],0),FALSE)</f>
        <v>623</v>
      </c>
    </row>
    <row r="781" spans="1:3" ht="15">
      <c r="A781" s="79" t="s">
        <v>3845</v>
      </c>
      <c r="B781" s="96" t="s">
        <v>2394</v>
      </c>
      <c r="C781" s="78">
        <f>VLOOKUP(GroupVertices[[#This Row],[Vertex]],Vertices[],MATCH("ID",Vertices[[#Headers],[Vertex]:[Vertex Group]],0),FALSE)</f>
        <v>565</v>
      </c>
    </row>
    <row r="782" spans="1:3" ht="15">
      <c r="A782" s="79" t="s">
        <v>3871</v>
      </c>
      <c r="B782" s="96" t="s">
        <v>2427</v>
      </c>
      <c r="C782" s="78">
        <f>VLOOKUP(GroupVertices[[#This Row],[Vertex]],Vertices[],MATCH("ID",Vertices[[#Headers],[Vertex]:[Vertex Group]],0),FALSE)</f>
        <v>624</v>
      </c>
    </row>
    <row r="783" spans="1:3" ht="15">
      <c r="A783" s="79" t="s">
        <v>3872</v>
      </c>
      <c r="B783" s="96" t="s">
        <v>2428</v>
      </c>
      <c r="C783" s="78">
        <f>VLOOKUP(GroupVertices[[#This Row],[Vertex]],Vertices[],MATCH("ID",Vertices[[#Headers],[Vertex]:[Vertex Group]],0),FALSE)</f>
        <v>625</v>
      </c>
    </row>
    <row r="784" spans="1:3" ht="15">
      <c r="A784" s="79" t="s">
        <v>3873</v>
      </c>
      <c r="B784" s="96" t="s">
        <v>2429</v>
      </c>
      <c r="C784" s="78">
        <f>VLOOKUP(GroupVertices[[#This Row],[Vertex]],Vertices[],MATCH("ID",Vertices[[#Headers],[Vertex]:[Vertex Group]],0),FALSE)</f>
        <v>626</v>
      </c>
    </row>
    <row r="785" spans="1:3" ht="15">
      <c r="A785" s="79" t="s">
        <v>3874</v>
      </c>
      <c r="B785" s="96" t="s">
        <v>2431</v>
      </c>
      <c r="C785" s="78">
        <f>VLOOKUP(GroupVertices[[#This Row],[Vertex]],Vertices[],MATCH("ID",Vertices[[#Headers],[Vertex]:[Vertex Group]],0),FALSE)</f>
        <v>628</v>
      </c>
    </row>
    <row r="786" spans="1:3" ht="15">
      <c r="A786" s="79" t="s">
        <v>1533</v>
      </c>
      <c r="B786" s="96" t="s">
        <v>277</v>
      </c>
      <c r="C786" s="78">
        <f>VLOOKUP(GroupVertices[[#This Row],[Vertex]],Vertices[],MATCH("ID",Vertices[[#Headers],[Vertex]:[Vertex Group]],0),FALSE)</f>
        <v>629</v>
      </c>
    </row>
    <row r="787" spans="1:3" ht="15">
      <c r="A787" s="79" t="s">
        <v>3875</v>
      </c>
      <c r="B787" s="96" t="s">
        <v>2432</v>
      </c>
      <c r="C787" s="78">
        <f>VLOOKUP(GroupVertices[[#This Row],[Vertex]],Vertices[],MATCH("ID",Vertices[[#Headers],[Vertex]:[Vertex Group]],0),FALSE)</f>
        <v>630</v>
      </c>
    </row>
    <row r="788" spans="1:3" ht="15">
      <c r="A788" s="79" t="s">
        <v>3876</v>
      </c>
      <c r="B788" s="96" t="s">
        <v>2433</v>
      </c>
      <c r="C788" s="78">
        <f>VLOOKUP(GroupVertices[[#This Row],[Vertex]],Vertices[],MATCH("ID",Vertices[[#Headers],[Vertex]:[Vertex Group]],0),FALSE)</f>
        <v>631</v>
      </c>
    </row>
    <row r="789" spans="1:3" ht="15">
      <c r="A789" s="79" t="s">
        <v>3877</v>
      </c>
      <c r="B789" s="96" t="s">
        <v>2434</v>
      </c>
      <c r="C789" s="78">
        <f>VLOOKUP(GroupVertices[[#This Row],[Vertex]],Vertices[],MATCH("ID",Vertices[[#Headers],[Vertex]:[Vertex Group]],0),FALSE)</f>
        <v>632</v>
      </c>
    </row>
    <row r="790" spans="1:3" ht="15">
      <c r="A790" s="79" t="s">
        <v>1543</v>
      </c>
      <c r="B790" s="96" t="s">
        <v>289</v>
      </c>
      <c r="C790" s="78">
        <f>VLOOKUP(GroupVertices[[#This Row],[Vertex]],Vertices[],MATCH("ID",Vertices[[#Headers],[Vertex]:[Vertex Group]],0),FALSE)</f>
        <v>633</v>
      </c>
    </row>
    <row r="791" spans="1:3" ht="15">
      <c r="A791" s="79" t="s">
        <v>3878</v>
      </c>
      <c r="B791" s="96" t="s">
        <v>2435</v>
      </c>
      <c r="C791" s="78">
        <f>VLOOKUP(GroupVertices[[#This Row],[Vertex]],Vertices[],MATCH("ID",Vertices[[#Headers],[Vertex]:[Vertex Group]],0),FALSE)</f>
        <v>634</v>
      </c>
    </row>
    <row r="792" spans="1:3" ht="15">
      <c r="A792" s="79" t="s">
        <v>3879</v>
      </c>
      <c r="B792" s="96" t="s">
        <v>2436</v>
      </c>
      <c r="C792" s="78">
        <f>VLOOKUP(GroupVertices[[#This Row],[Vertex]],Vertices[],MATCH("ID",Vertices[[#Headers],[Vertex]:[Vertex Group]],0),FALSE)</f>
        <v>635</v>
      </c>
    </row>
    <row r="793" spans="1:3" ht="15">
      <c r="A793" s="79" t="s">
        <v>3880</v>
      </c>
      <c r="B793" s="96" t="s">
        <v>2437</v>
      </c>
      <c r="C793" s="78">
        <f>VLOOKUP(GroupVertices[[#This Row],[Vertex]],Vertices[],MATCH("ID",Vertices[[#Headers],[Vertex]:[Vertex Group]],0),FALSE)</f>
        <v>636</v>
      </c>
    </row>
    <row r="794" spans="1:3" ht="15">
      <c r="A794" s="79" t="s">
        <v>3881</v>
      </c>
      <c r="B794" s="96" t="s">
        <v>2438</v>
      </c>
      <c r="C794" s="78">
        <f>VLOOKUP(GroupVertices[[#This Row],[Vertex]],Vertices[],MATCH("ID",Vertices[[#Headers],[Vertex]:[Vertex Group]],0),FALSE)</f>
        <v>637</v>
      </c>
    </row>
    <row r="795" spans="1:3" ht="15">
      <c r="A795" s="79" t="s">
        <v>3883</v>
      </c>
      <c r="B795" s="96" t="s">
        <v>2440</v>
      </c>
      <c r="C795" s="78">
        <f>VLOOKUP(GroupVertices[[#This Row],[Vertex]],Vertices[],MATCH("ID",Vertices[[#Headers],[Vertex]:[Vertex Group]],0),FALSE)</f>
        <v>639</v>
      </c>
    </row>
    <row r="796" spans="1:3" ht="15">
      <c r="A796" s="79" t="s">
        <v>3884</v>
      </c>
      <c r="B796" s="96" t="s">
        <v>2442</v>
      </c>
      <c r="C796" s="78">
        <f>VLOOKUP(GroupVertices[[#This Row],[Vertex]],Vertices[],MATCH("ID",Vertices[[#Headers],[Vertex]:[Vertex Group]],0),FALSE)</f>
        <v>641</v>
      </c>
    </row>
    <row r="797" spans="1:3" ht="15">
      <c r="A797" s="79" t="s">
        <v>3885</v>
      </c>
      <c r="B797" s="96" t="s">
        <v>2443</v>
      </c>
      <c r="C797" s="78">
        <f>VLOOKUP(GroupVertices[[#This Row],[Vertex]],Vertices[],MATCH("ID",Vertices[[#Headers],[Vertex]:[Vertex Group]],0),FALSE)</f>
        <v>642</v>
      </c>
    </row>
    <row r="798" spans="1:3" ht="15">
      <c r="A798" s="79" t="s">
        <v>3844</v>
      </c>
      <c r="B798" s="96" t="s">
        <v>2393</v>
      </c>
      <c r="C798" s="78">
        <f>VLOOKUP(GroupVertices[[#This Row],[Vertex]],Vertices[],MATCH("ID",Vertices[[#Headers],[Vertex]:[Vertex Group]],0),FALSE)</f>
        <v>564</v>
      </c>
    </row>
    <row r="799" spans="1:3" ht="15">
      <c r="A799" s="79" t="s">
        <v>3690</v>
      </c>
      <c r="B799" s="96" t="s">
        <v>2602</v>
      </c>
      <c r="C799" s="78">
        <f>VLOOKUP(GroupVertices[[#This Row],[Vertex]],Vertices[],MATCH("ID",Vertices[[#Headers],[Vertex]:[Vertex Group]],0),FALSE)</f>
        <v>53</v>
      </c>
    </row>
    <row r="800" spans="1:3" ht="15">
      <c r="A800" s="79" t="s">
        <v>3691</v>
      </c>
      <c r="B800" s="96" t="s">
        <v>2126</v>
      </c>
      <c r="C800" s="78">
        <f>VLOOKUP(GroupVertices[[#This Row],[Vertex]],Vertices[],MATCH("ID",Vertices[[#Headers],[Vertex]:[Vertex Group]],0),FALSE)</f>
        <v>54</v>
      </c>
    </row>
    <row r="801" spans="1:3" ht="15">
      <c r="A801" s="79" t="s">
        <v>3692</v>
      </c>
      <c r="B801" s="96" t="s">
        <v>2127</v>
      </c>
      <c r="C801" s="78">
        <f>VLOOKUP(GroupVertices[[#This Row],[Vertex]],Vertices[],MATCH("ID",Vertices[[#Headers],[Vertex]:[Vertex Group]],0),FALSE)</f>
        <v>55</v>
      </c>
    </row>
    <row r="802" spans="1:3" ht="15">
      <c r="A802" s="79" t="s">
        <v>3693</v>
      </c>
      <c r="B802" s="96" t="s">
        <v>2128</v>
      </c>
      <c r="C802" s="78">
        <f>VLOOKUP(GroupVertices[[#This Row],[Vertex]],Vertices[],MATCH("ID",Vertices[[#Headers],[Vertex]:[Vertex Group]],0),FALSE)</f>
        <v>56</v>
      </c>
    </row>
    <row r="803" spans="1:3" ht="15">
      <c r="A803" s="79" t="s">
        <v>3694</v>
      </c>
      <c r="B803" s="96" t="s">
        <v>2129</v>
      </c>
      <c r="C803" s="78">
        <f>VLOOKUP(GroupVertices[[#This Row],[Vertex]],Vertices[],MATCH("ID",Vertices[[#Headers],[Vertex]:[Vertex Group]],0),FALSE)</f>
        <v>57</v>
      </c>
    </row>
    <row r="804" spans="1:3" ht="15">
      <c r="A804" s="79" t="s">
        <v>3695</v>
      </c>
      <c r="B804" s="96" t="s">
        <v>2130</v>
      </c>
      <c r="C804" s="78">
        <f>VLOOKUP(GroupVertices[[#This Row],[Vertex]],Vertices[],MATCH("ID",Vertices[[#Headers],[Vertex]:[Vertex Group]],0),FALSE)</f>
        <v>58</v>
      </c>
    </row>
    <row r="805" spans="1:3" ht="15">
      <c r="A805" s="79" t="s">
        <v>3696</v>
      </c>
      <c r="B805" s="96" t="s">
        <v>2131</v>
      </c>
      <c r="C805" s="78">
        <f>VLOOKUP(GroupVertices[[#This Row],[Vertex]],Vertices[],MATCH("ID",Vertices[[#Headers],[Vertex]:[Vertex Group]],0),FALSE)</f>
        <v>59</v>
      </c>
    </row>
    <row r="806" spans="1:3" ht="15">
      <c r="A806" s="79" t="s">
        <v>3697</v>
      </c>
      <c r="B806" s="96" t="s">
        <v>2132</v>
      </c>
      <c r="C806" s="78">
        <f>VLOOKUP(GroupVertices[[#This Row],[Vertex]],Vertices[],MATCH("ID",Vertices[[#Headers],[Vertex]:[Vertex Group]],0),FALSE)</f>
        <v>60</v>
      </c>
    </row>
    <row r="807" spans="1:3" ht="15">
      <c r="A807" s="79" t="s">
        <v>3699</v>
      </c>
      <c r="B807" s="96" t="s">
        <v>2134</v>
      </c>
      <c r="C807" s="78">
        <f>VLOOKUP(GroupVertices[[#This Row],[Vertex]],Vertices[],MATCH("ID",Vertices[[#Headers],[Vertex]:[Vertex Group]],0),FALSE)</f>
        <v>62</v>
      </c>
    </row>
    <row r="808" spans="1:3" ht="15">
      <c r="A808" s="79" t="s">
        <v>3700</v>
      </c>
      <c r="B808" s="96" t="s">
        <v>2135</v>
      </c>
      <c r="C808" s="78">
        <f>VLOOKUP(GroupVertices[[#This Row],[Vertex]],Vertices[],MATCH("ID",Vertices[[#Headers],[Vertex]:[Vertex Group]],0),FALSE)</f>
        <v>63</v>
      </c>
    </row>
    <row r="809" spans="1:3" ht="15">
      <c r="A809" s="79" t="s">
        <v>4467</v>
      </c>
      <c r="B809" s="96" t="s">
        <v>2136</v>
      </c>
      <c r="C809" s="78">
        <f>VLOOKUP(GroupVertices[[#This Row],[Vertex]],Vertices[],MATCH("ID",Vertices[[#Headers],[Vertex]:[Vertex Group]],0),FALSE)</f>
        <v>64</v>
      </c>
    </row>
    <row r="810" spans="1:3" ht="15">
      <c r="A810" s="79" t="s">
        <v>3702</v>
      </c>
      <c r="B810" s="96" t="s">
        <v>2137</v>
      </c>
      <c r="C810" s="78">
        <f>VLOOKUP(GroupVertices[[#This Row],[Vertex]],Vertices[],MATCH("ID",Vertices[[#Headers],[Vertex]:[Vertex Group]],0),FALSE)</f>
        <v>65</v>
      </c>
    </row>
    <row r="811" spans="1:3" ht="15">
      <c r="A811" s="79" t="s">
        <v>1534</v>
      </c>
      <c r="B811" s="96" t="s">
        <v>278</v>
      </c>
      <c r="C811" s="78">
        <f>VLOOKUP(GroupVertices[[#This Row],[Vertex]],Vertices[],MATCH("ID",Vertices[[#Headers],[Vertex]:[Vertex Group]],0),FALSE)</f>
        <v>66</v>
      </c>
    </row>
    <row r="812" spans="1:3" ht="15">
      <c r="A812" s="79" t="s">
        <v>3703</v>
      </c>
      <c r="B812" s="96" t="s">
        <v>2138</v>
      </c>
      <c r="C812" s="78">
        <f>VLOOKUP(GroupVertices[[#This Row],[Vertex]],Vertices[],MATCH("ID",Vertices[[#Headers],[Vertex]:[Vertex Group]],0),FALSE)</f>
        <v>67</v>
      </c>
    </row>
    <row r="813" spans="1:3" ht="15">
      <c r="A813" s="79" t="s">
        <v>1584</v>
      </c>
      <c r="B813" s="96" t="s">
        <v>380</v>
      </c>
      <c r="C813" s="78">
        <f>VLOOKUP(GroupVertices[[#This Row],[Vertex]],Vertices[],MATCH("ID",Vertices[[#Headers],[Vertex]:[Vertex Group]],0),FALSE)</f>
        <v>68</v>
      </c>
    </row>
    <row r="814" spans="1:3" ht="15">
      <c r="A814" s="79" t="s">
        <v>1585</v>
      </c>
      <c r="B814" s="96" t="s">
        <v>382</v>
      </c>
      <c r="C814" s="78">
        <f>VLOOKUP(GroupVertices[[#This Row],[Vertex]],Vertices[],MATCH("ID",Vertices[[#Headers],[Vertex]:[Vertex Group]],0),FALSE)</f>
        <v>69</v>
      </c>
    </row>
    <row r="815" spans="1:3" ht="15">
      <c r="A815" s="79" t="s">
        <v>1607</v>
      </c>
      <c r="B815" s="96" t="s">
        <v>2194</v>
      </c>
      <c r="C815" s="78">
        <f>VLOOKUP(GroupVertices[[#This Row],[Vertex]],Vertices[],MATCH("ID",Vertices[[#Headers],[Vertex]:[Vertex Group]],0),FALSE)</f>
        <v>204</v>
      </c>
    </row>
    <row r="816" spans="1:3" ht="15">
      <c r="A816" s="79" t="s">
        <v>1608</v>
      </c>
      <c r="B816" s="96" t="s">
        <v>412</v>
      </c>
      <c r="C816" s="78">
        <f>VLOOKUP(GroupVertices[[#This Row],[Vertex]],Vertices[],MATCH("ID",Vertices[[#Headers],[Vertex]:[Vertex Group]],0),FALSE)</f>
        <v>205</v>
      </c>
    </row>
    <row r="817" spans="1:3" ht="15">
      <c r="A817" s="79" t="s">
        <v>1609</v>
      </c>
      <c r="B817" s="96" t="s">
        <v>413</v>
      </c>
      <c r="C817" s="78">
        <f>VLOOKUP(GroupVertices[[#This Row],[Vertex]],Vertices[],MATCH("ID",Vertices[[#Headers],[Vertex]:[Vertex Group]],0),FALSE)</f>
        <v>206</v>
      </c>
    </row>
    <row r="818" spans="1:3" ht="15">
      <c r="A818" s="79" t="s">
        <v>3805</v>
      </c>
      <c r="B818" s="96" t="s">
        <v>2316</v>
      </c>
      <c r="C818" s="78">
        <f>VLOOKUP(GroupVertices[[#This Row],[Vertex]],Vertices[],MATCH("ID",Vertices[[#Headers],[Vertex]:[Vertex Group]],0),FALSE)</f>
        <v>421</v>
      </c>
    </row>
    <row r="819" spans="1:3" ht="15">
      <c r="A819" s="79" t="s">
        <v>3806</v>
      </c>
      <c r="B819" s="96" t="s">
        <v>2317</v>
      </c>
      <c r="C819" s="78">
        <f>VLOOKUP(GroupVertices[[#This Row],[Vertex]],Vertices[],MATCH("ID",Vertices[[#Headers],[Vertex]:[Vertex Group]],0),FALSE)</f>
        <v>422</v>
      </c>
    </row>
    <row r="820" spans="1:3" ht="15">
      <c r="A820" s="79" t="s">
        <v>3807</v>
      </c>
      <c r="B820" s="96" t="s">
        <v>2318</v>
      </c>
      <c r="C820" s="78">
        <f>VLOOKUP(GroupVertices[[#This Row],[Vertex]],Vertices[],MATCH("ID",Vertices[[#Headers],[Vertex]:[Vertex Group]],0),FALSE)</f>
        <v>423</v>
      </c>
    </row>
    <row r="821" spans="1:3" ht="15">
      <c r="A821" s="79" t="s">
        <v>3808</v>
      </c>
      <c r="B821" s="96" t="s">
        <v>2319</v>
      </c>
      <c r="C821" s="78">
        <f>VLOOKUP(GroupVertices[[#This Row],[Vertex]],Vertices[],MATCH("ID",Vertices[[#Headers],[Vertex]:[Vertex Group]],0),FALSE)</f>
        <v>424</v>
      </c>
    </row>
    <row r="822" spans="1:3" ht="15">
      <c r="A822" s="79" t="s">
        <v>3809</v>
      </c>
      <c r="B822" s="96" t="s">
        <v>2320</v>
      </c>
      <c r="C822" s="78">
        <f>VLOOKUP(GroupVertices[[#This Row],[Vertex]],Vertices[],MATCH("ID",Vertices[[#Headers],[Vertex]:[Vertex Group]],0),FALSE)</f>
        <v>425</v>
      </c>
    </row>
    <row r="823" spans="1:3" ht="15">
      <c r="A823" s="79" t="s">
        <v>3811</v>
      </c>
      <c r="B823" s="96" t="s">
        <v>2323</v>
      </c>
      <c r="C823" s="78">
        <f>VLOOKUP(GroupVertices[[#This Row],[Vertex]],Vertices[],MATCH("ID",Vertices[[#Headers],[Vertex]:[Vertex Group]],0),FALSE)</f>
        <v>428</v>
      </c>
    </row>
    <row r="824" spans="1:3" ht="15">
      <c r="A824" s="79" t="s">
        <v>3812</v>
      </c>
      <c r="B824" s="96" t="s">
        <v>2324</v>
      </c>
      <c r="C824" s="78">
        <f>VLOOKUP(GroupVertices[[#This Row],[Vertex]],Vertices[],MATCH("ID",Vertices[[#Headers],[Vertex]:[Vertex Group]],0),FALSE)</f>
        <v>429</v>
      </c>
    </row>
    <row r="825" spans="1:3" ht="15">
      <c r="A825" s="79" t="s">
        <v>3813</v>
      </c>
      <c r="B825" s="96" t="s">
        <v>2325</v>
      </c>
      <c r="C825" s="78">
        <f>VLOOKUP(GroupVertices[[#This Row],[Vertex]],Vertices[],MATCH("ID",Vertices[[#Headers],[Vertex]:[Vertex Group]],0),FALSE)</f>
        <v>430</v>
      </c>
    </row>
    <row r="826" spans="1:3" ht="15">
      <c r="A826" s="79" t="s">
        <v>3814</v>
      </c>
      <c r="B826" s="96" t="s">
        <v>2326</v>
      </c>
      <c r="C826" s="78">
        <f>VLOOKUP(GroupVertices[[#This Row],[Vertex]],Vertices[],MATCH("ID",Vertices[[#Headers],[Vertex]:[Vertex Group]],0),FALSE)</f>
        <v>431</v>
      </c>
    </row>
    <row r="827" spans="1:3" ht="15">
      <c r="A827" s="79" t="s">
        <v>1673</v>
      </c>
      <c r="B827" s="96" t="s">
        <v>573</v>
      </c>
      <c r="C827" s="78">
        <f>VLOOKUP(GroupVertices[[#This Row],[Vertex]],Vertices[],MATCH("ID",Vertices[[#Headers],[Vertex]:[Vertex Group]],0),FALSE)</f>
        <v>665</v>
      </c>
    </row>
    <row r="828" spans="1:3" ht="15">
      <c r="A828" s="79" t="s">
        <v>1674</v>
      </c>
      <c r="B828" s="96" t="s">
        <v>574</v>
      </c>
      <c r="C828" s="78">
        <f>VLOOKUP(GroupVertices[[#This Row],[Vertex]],Vertices[],MATCH("ID",Vertices[[#Headers],[Vertex]:[Vertex Group]],0),FALSE)</f>
        <v>666</v>
      </c>
    </row>
    <row r="829" spans="1:3" ht="15">
      <c r="A829" s="79" t="s">
        <v>1672</v>
      </c>
      <c r="B829" s="96" t="s">
        <v>571</v>
      </c>
      <c r="C829" s="78">
        <f>VLOOKUP(GroupVertices[[#This Row],[Vertex]],Vertices[],MATCH("ID",Vertices[[#Headers],[Vertex]:[Vertex Group]],0),FALSE)</f>
        <v>667</v>
      </c>
    </row>
    <row r="830" spans="1:3" ht="15">
      <c r="A830" s="79" t="s">
        <v>4468</v>
      </c>
      <c r="B830" s="96" t="s">
        <v>295</v>
      </c>
      <c r="C830" s="78">
        <f>VLOOKUP(GroupVertices[[#This Row],[Vertex]],Vertices[],MATCH("ID",Vertices[[#Headers],[Vertex]:[Vertex Group]],0),FALSE)</f>
        <v>138</v>
      </c>
    </row>
    <row r="831" spans="1:3" ht="15">
      <c r="A831" s="79" t="s">
        <v>1547</v>
      </c>
      <c r="B831" s="96" t="s">
        <v>296</v>
      </c>
      <c r="C831" s="78">
        <f>VLOOKUP(GroupVertices[[#This Row],[Vertex]],Vertices[],MATCH("ID",Vertices[[#Headers],[Vertex]:[Vertex Group]],0),FALSE)</f>
        <v>139</v>
      </c>
    </row>
    <row r="832" spans="1:3" ht="15">
      <c r="A832" s="79" t="s">
        <v>3718</v>
      </c>
      <c r="B832" s="96" t="s">
        <v>2156</v>
      </c>
      <c r="C832" s="78">
        <f>VLOOKUP(GroupVertices[[#This Row],[Vertex]],Vertices[],MATCH("ID",Vertices[[#Headers],[Vertex]:[Vertex Group]],0),FALSE)</f>
        <v>140</v>
      </c>
    </row>
    <row r="833" spans="1:3" ht="15">
      <c r="A833" s="79" t="s">
        <v>1548</v>
      </c>
      <c r="B833" s="96" t="s">
        <v>297</v>
      </c>
      <c r="C833" s="78">
        <f>VLOOKUP(GroupVertices[[#This Row],[Vertex]],Vertices[],MATCH("ID",Vertices[[#Headers],[Vertex]:[Vertex Group]],0),FALSE)</f>
        <v>141</v>
      </c>
    </row>
    <row r="834" spans="1:3" ht="15">
      <c r="A834" s="79" t="s">
        <v>1549</v>
      </c>
      <c r="B834" s="96" t="s">
        <v>298</v>
      </c>
      <c r="C834" s="78">
        <f>VLOOKUP(GroupVertices[[#This Row],[Vertex]],Vertices[],MATCH("ID",Vertices[[#Headers],[Vertex]:[Vertex Group]],0),FALSE)</f>
        <v>143</v>
      </c>
    </row>
    <row r="835" spans="1:3" ht="15">
      <c r="A835" s="79" t="s">
        <v>1550</v>
      </c>
      <c r="B835" s="96" t="s">
        <v>299</v>
      </c>
      <c r="C835" s="78">
        <f>VLOOKUP(GroupVertices[[#This Row],[Vertex]],Vertices[],MATCH("ID",Vertices[[#Headers],[Vertex]:[Vertex Group]],0),FALSE)</f>
        <v>144</v>
      </c>
    </row>
    <row r="836" spans="1:3" ht="15">
      <c r="A836" s="79" t="s">
        <v>1552</v>
      </c>
      <c r="B836" s="96" t="s">
        <v>301</v>
      </c>
      <c r="C836" s="78">
        <f>VLOOKUP(GroupVertices[[#This Row],[Vertex]],Vertices[],MATCH("ID",Vertices[[#Headers],[Vertex]:[Vertex Group]],0),FALSE)</f>
        <v>146</v>
      </c>
    </row>
    <row r="837" spans="1:3" ht="15">
      <c r="A837" s="79" t="s">
        <v>1553</v>
      </c>
      <c r="B837" s="96" t="s">
        <v>302</v>
      </c>
      <c r="C837" s="78">
        <f>VLOOKUP(GroupVertices[[#This Row],[Vertex]],Vertices[],MATCH("ID",Vertices[[#Headers],[Vertex]:[Vertex Group]],0),FALSE)</f>
        <v>147</v>
      </c>
    </row>
    <row r="838" spans="1:3" ht="15">
      <c r="A838" s="79" t="s">
        <v>1554</v>
      </c>
      <c r="B838" s="96" t="s">
        <v>303</v>
      </c>
      <c r="C838" s="78">
        <f>VLOOKUP(GroupVertices[[#This Row],[Vertex]],Vertices[],MATCH("ID",Vertices[[#Headers],[Vertex]:[Vertex Group]],0),FALSE)</f>
        <v>148</v>
      </c>
    </row>
    <row r="839" spans="1:3" ht="15">
      <c r="A839" s="79" t="s">
        <v>1555</v>
      </c>
      <c r="B839" s="96" t="s">
        <v>304</v>
      </c>
      <c r="C839" s="78">
        <f>VLOOKUP(GroupVertices[[#This Row],[Vertex]],Vertices[],MATCH("ID",Vertices[[#Headers],[Vertex]:[Vertex Group]],0),FALSE)</f>
        <v>149</v>
      </c>
    </row>
    <row r="840" spans="1:3" ht="15">
      <c r="A840" s="79" t="s">
        <v>1556</v>
      </c>
      <c r="B840" s="96" t="s">
        <v>305</v>
      </c>
      <c r="C840" s="78">
        <f>VLOOKUP(GroupVertices[[#This Row],[Vertex]],Vertices[],MATCH("ID",Vertices[[#Headers],[Vertex]:[Vertex Group]],0),FALSE)</f>
        <v>150</v>
      </c>
    </row>
    <row r="841" spans="1:3" ht="15">
      <c r="A841" s="79" t="s">
        <v>1639</v>
      </c>
      <c r="B841" s="96" t="s">
        <v>232</v>
      </c>
      <c r="C841" s="78">
        <f>VLOOKUP(GroupVertices[[#This Row],[Vertex]],Vertices[],MATCH("ID",Vertices[[#Headers],[Vertex]:[Vertex Group]],0),FALSE)</f>
        <v>34</v>
      </c>
    </row>
    <row r="842" spans="1:3" ht="15">
      <c r="A842" s="79" t="s">
        <v>3784</v>
      </c>
      <c r="B842" s="96" t="s">
        <v>2285</v>
      </c>
      <c r="C842" s="78">
        <f>VLOOKUP(GroupVertices[[#This Row],[Vertex]],Vertices[],MATCH("ID",Vertices[[#Headers],[Vertex]:[Vertex Group]],0),FALSE)</f>
        <v>342</v>
      </c>
    </row>
    <row r="843" spans="1:3" ht="15">
      <c r="A843" s="79" t="s">
        <v>1641</v>
      </c>
      <c r="B843" s="96" t="s">
        <v>470</v>
      </c>
      <c r="C843" s="78">
        <f>VLOOKUP(GroupVertices[[#This Row],[Vertex]],Vertices[],MATCH("ID",Vertices[[#Headers],[Vertex]:[Vertex Group]],0),FALSE)</f>
        <v>343</v>
      </c>
    </row>
    <row r="844" spans="1:3" ht="15">
      <c r="A844" s="79" t="s">
        <v>3785</v>
      </c>
      <c r="B844" s="96" t="s">
        <v>2286</v>
      </c>
      <c r="C844" s="78">
        <f>VLOOKUP(GroupVertices[[#This Row],[Vertex]],Vertices[],MATCH("ID",Vertices[[#Headers],[Vertex]:[Vertex Group]],0),FALSE)</f>
        <v>344</v>
      </c>
    </row>
    <row r="845" spans="1:3" ht="15">
      <c r="A845" s="79" t="s">
        <v>1642</v>
      </c>
      <c r="B845" s="96" t="s">
        <v>471</v>
      </c>
      <c r="C845" s="78">
        <f>VLOOKUP(GroupVertices[[#This Row],[Vertex]],Vertices[],MATCH("ID",Vertices[[#Headers],[Vertex]:[Vertex Group]],0),FALSE)</f>
        <v>345</v>
      </c>
    </row>
    <row r="846" spans="1:3" ht="15">
      <c r="A846" s="79" t="s">
        <v>1640</v>
      </c>
      <c r="B846" s="96" t="s">
        <v>469</v>
      </c>
      <c r="C846" s="78">
        <f>VLOOKUP(GroupVertices[[#This Row],[Vertex]],Vertices[],MATCH("ID",Vertices[[#Headers],[Vertex]:[Vertex Group]],0),FALSE)</f>
        <v>346</v>
      </c>
    </row>
    <row r="847" spans="1:3" ht="15">
      <c r="A847" s="79" t="s">
        <v>1643</v>
      </c>
      <c r="B847" s="96" t="s">
        <v>472</v>
      </c>
      <c r="C847" s="78">
        <f>VLOOKUP(GroupVertices[[#This Row],[Vertex]],Vertices[],MATCH("ID",Vertices[[#Headers],[Vertex]:[Vertex Group]],0),FALSE)</f>
        <v>347</v>
      </c>
    </row>
    <row r="848" spans="1:3" ht="15">
      <c r="A848" s="79" t="s">
        <v>3739</v>
      </c>
      <c r="B848" s="96" t="s">
        <v>2195</v>
      </c>
      <c r="C848" s="78">
        <f>VLOOKUP(GroupVertices[[#This Row],[Vertex]],Vertices[],MATCH("ID",Vertices[[#Headers],[Vertex]:[Vertex Group]],0),FALSE)</f>
        <v>212</v>
      </c>
    </row>
    <row r="849" spans="1:3" ht="15">
      <c r="A849" s="79" t="s">
        <v>3740</v>
      </c>
      <c r="B849" s="96" t="s">
        <v>2196</v>
      </c>
      <c r="C849" s="78">
        <f>VLOOKUP(GroupVertices[[#This Row],[Vertex]],Vertices[],MATCH("ID",Vertices[[#Headers],[Vertex]:[Vertex Group]],0),FALSE)</f>
        <v>213</v>
      </c>
    </row>
    <row r="850" spans="1:3" ht="15">
      <c r="A850" s="79" t="s">
        <v>3741</v>
      </c>
      <c r="B850" s="96" t="s">
        <v>2197</v>
      </c>
      <c r="C850" s="78">
        <f>VLOOKUP(GroupVertices[[#This Row],[Vertex]],Vertices[],MATCH("ID",Vertices[[#Headers],[Vertex]:[Vertex Group]],0),FALSE)</f>
        <v>214</v>
      </c>
    </row>
    <row r="851" spans="1:3" ht="15">
      <c r="A851" s="79" t="s">
        <v>3742</v>
      </c>
      <c r="B851" s="96" t="s">
        <v>2198</v>
      </c>
      <c r="C851" s="78">
        <f>VLOOKUP(GroupVertices[[#This Row],[Vertex]],Vertices[],MATCH("ID",Vertices[[#Headers],[Vertex]:[Vertex Group]],0),FALSE)</f>
        <v>215</v>
      </c>
    </row>
    <row r="852" spans="1:3" ht="15">
      <c r="A852" s="79" t="s">
        <v>3743</v>
      </c>
      <c r="B852" s="96" t="s">
        <v>2199</v>
      </c>
      <c r="C852" s="78">
        <f>VLOOKUP(GroupVertices[[#This Row],[Vertex]],Vertices[],MATCH("ID",Vertices[[#Headers],[Vertex]:[Vertex Group]],0),FALSE)</f>
        <v>216</v>
      </c>
    </row>
    <row r="853" spans="1:3" ht="15">
      <c r="A853" s="79" t="s">
        <v>3744</v>
      </c>
      <c r="B853" s="96" t="s">
        <v>2200</v>
      </c>
      <c r="C853" s="78">
        <f>VLOOKUP(GroupVertices[[#This Row],[Vertex]],Vertices[],MATCH("ID",Vertices[[#Headers],[Vertex]:[Vertex Group]],0),FALSE)</f>
        <v>217</v>
      </c>
    </row>
    <row r="854" spans="1:3" ht="15">
      <c r="A854" s="79" t="s">
        <v>3745</v>
      </c>
      <c r="B854" s="96" t="s">
        <v>2201</v>
      </c>
      <c r="C854" s="78">
        <f>VLOOKUP(GroupVertices[[#This Row],[Vertex]],Vertices[],MATCH("ID",Vertices[[#Headers],[Vertex]:[Vertex Group]],0),FALSE)</f>
        <v>218</v>
      </c>
    </row>
    <row r="855" spans="1:3" ht="15">
      <c r="A855" s="79" t="s">
        <v>3747</v>
      </c>
      <c r="B855" s="96" t="s">
        <v>2204</v>
      </c>
      <c r="C855" s="78">
        <f>VLOOKUP(GroupVertices[[#This Row],[Vertex]],Vertices[],MATCH("ID",Vertices[[#Headers],[Vertex]:[Vertex Group]],0),FALSE)</f>
        <v>221</v>
      </c>
    </row>
    <row r="856" spans="1:3" ht="15">
      <c r="A856" s="79" t="s">
        <v>3748</v>
      </c>
      <c r="B856" s="96" t="s">
        <v>2205</v>
      </c>
      <c r="C856" s="78">
        <f>VLOOKUP(GroupVertices[[#This Row],[Vertex]],Vertices[],MATCH("ID",Vertices[[#Headers],[Vertex]:[Vertex Group]],0),FALSE)</f>
        <v>222</v>
      </c>
    </row>
    <row r="857" spans="1:3" ht="15">
      <c r="A857" s="79" t="s">
        <v>1504</v>
      </c>
      <c r="B857" s="96" t="s">
        <v>2206</v>
      </c>
      <c r="C857" s="78">
        <f>VLOOKUP(GroupVertices[[#This Row],[Vertex]],Vertices[],MATCH("ID",Vertices[[#Headers],[Vertex]:[Vertex Group]],0),FALSE)</f>
        <v>223</v>
      </c>
    </row>
    <row r="858" spans="1:3" ht="15">
      <c r="A858" s="79" t="s">
        <v>3750</v>
      </c>
      <c r="B858" s="96" t="s">
        <v>2209</v>
      </c>
      <c r="C858" s="78">
        <f>VLOOKUP(GroupVertices[[#This Row],[Vertex]],Vertices[],MATCH("ID",Vertices[[#Headers],[Vertex]:[Vertex Group]],0),FALSE)</f>
        <v>226</v>
      </c>
    </row>
    <row r="859" spans="1:3" ht="15">
      <c r="A859" s="79" t="s">
        <v>3751</v>
      </c>
      <c r="B859" s="96" t="s">
        <v>2210</v>
      </c>
      <c r="C859" s="78">
        <f>VLOOKUP(GroupVertices[[#This Row],[Vertex]],Vertices[],MATCH("ID",Vertices[[#Headers],[Vertex]:[Vertex Group]],0),FALSE)</f>
        <v>227</v>
      </c>
    </row>
    <row r="860" spans="1:3" ht="15">
      <c r="A860" s="79" t="s">
        <v>3752</v>
      </c>
      <c r="B860" s="96" t="s">
        <v>2211</v>
      </c>
      <c r="C860" s="78">
        <f>VLOOKUP(GroupVertices[[#This Row],[Vertex]],Vertices[],MATCH("ID",Vertices[[#Headers],[Vertex]:[Vertex Group]],0),FALSE)</f>
        <v>228</v>
      </c>
    </row>
    <row r="861" spans="1:3" ht="15">
      <c r="A861" s="79" t="s">
        <v>3753</v>
      </c>
      <c r="B861" s="96" t="s">
        <v>2216</v>
      </c>
      <c r="C861" s="78">
        <f>VLOOKUP(GroupVertices[[#This Row],[Vertex]],Vertices[],MATCH("ID",Vertices[[#Headers],[Vertex]:[Vertex Group]],0),FALSE)</f>
        <v>243</v>
      </c>
    </row>
    <row r="862" spans="1:3" ht="15">
      <c r="A862" s="79" t="s">
        <v>3949</v>
      </c>
      <c r="B862" s="96" t="s">
        <v>2558</v>
      </c>
      <c r="C862" s="78">
        <f>VLOOKUP(GroupVertices[[#This Row],[Vertex]],Vertices[],MATCH("ID",Vertices[[#Headers],[Vertex]:[Vertex Group]],0),FALSE)</f>
        <v>817</v>
      </c>
    </row>
    <row r="863" spans="1:3" ht="15">
      <c r="A863" s="79" t="s">
        <v>3950</v>
      </c>
      <c r="B863" s="96" t="s">
        <v>2559</v>
      </c>
      <c r="C863" s="78">
        <f>VLOOKUP(GroupVertices[[#This Row],[Vertex]],Vertices[],MATCH("ID",Vertices[[#Headers],[Vertex]:[Vertex Group]],0),FALSE)</f>
        <v>818</v>
      </c>
    </row>
    <row r="864" spans="1:3" ht="15">
      <c r="A864" s="79" t="s">
        <v>3951</v>
      </c>
      <c r="B864" s="96" t="s">
        <v>2560</v>
      </c>
      <c r="C864" s="78">
        <f>VLOOKUP(GroupVertices[[#This Row],[Vertex]],Vertices[],MATCH("ID",Vertices[[#Headers],[Vertex]:[Vertex Group]],0),FALSE)</f>
        <v>819</v>
      </c>
    </row>
    <row r="865" spans="1:3" ht="15">
      <c r="A865" s="79" t="s">
        <v>3952</v>
      </c>
      <c r="B865" s="96" t="s">
        <v>2561</v>
      </c>
      <c r="C865" s="78">
        <f>VLOOKUP(GroupVertices[[#This Row],[Vertex]],Vertices[],MATCH("ID",Vertices[[#Headers],[Vertex]:[Vertex Group]],0),FALSE)</f>
        <v>820</v>
      </c>
    </row>
    <row r="866" spans="1:3" ht="15">
      <c r="A866" s="79" t="s">
        <v>3953</v>
      </c>
      <c r="B866" s="96" t="s">
        <v>2562</v>
      </c>
      <c r="C866" s="78">
        <f>VLOOKUP(GroupVertices[[#This Row],[Vertex]],Vertices[],MATCH("ID",Vertices[[#Headers],[Vertex]:[Vertex Group]],0),FALSE)</f>
        <v>821</v>
      </c>
    </row>
    <row r="867" spans="1:3" ht="15">
      <c r="A867" s="79" t="s">
        <v>3954</v>
      </c>
      <c r="B867" s="96" t="s">
        <v>2563</v>
      </c>
      <c r="C867" s="78">
        <f>VLOOKUP(GroupVertices[[#This Row],[Vertex]],Vertices[],MATCH("ID",Vertices[[#Headers],[Vertex]:[Vertex Group]],0),FALSE)</f>
        <v>822</v>
      </c>
    </row>
    <row r="868" spans="1:3" ht="15">
      <c r="A868" s="79" t="s">
        <v>3955</v>
      </c>
      <c r="B868" s="96" t="s">
        <v>2564</v>
      </c>
      <c r="C868" s="78">
        <f>VLOOKUP(GroupVertices[[#This Row],[Vertex]],Vertices[],MATCH("ID",Vertices[[#Headers],[Vertex]:[Vertex Group]],0),FALSE)</f>
        <v>823</v>
      </c>
    </row>
    <row r="869" spans="1:3" ht="15">
      <c r="A869" s="79" t="s">
        <v>3956</v>
      </c>
      <c r="B869" s="96" t="s">
        <v>2565</v>
      </c>
      <c r="C869" s="78">
        <f>VLOOKUP(GroupVertices[[#This Row],[Vertex]],Vertices[],MATCH("ID",Vertices[[#Headers],[Vertex]:[Vertex Group]],0),FALSE)</f>
        <v>824</v>
      </c>
    </row>
    <row r="870" spans="1:3" ht="15">
      <c r="A870" s="79" t="s">
        <v>3957</v>
      </c>
      <c r="B870" s="96" t="s">
        <v>2566</v>
      </c>
      <c r="C870" s="78">
        <f>VLOOKUP(GroupVertices[[#This Row],[Vertex]],Vertices[],MATCH("ID",Vertices[[#Headers],[Vertex]:[Vertex Group]],0),FALSE)</f>
        <v>825</v>
      </c>
    </row>
    <row r="871" spans="1:3" ht="15">
      <c r="A871" s="79" t="s">
        <v>1677</v>
      </c>
      <c r="B871" s="96" t="s">
        <v>2567</v>
      </c>
      <c r="C871" s="78">
        <f>VLOOKUP(GroupVertices[[#This Row],[Vertex]],Vertices[],MATCH("ID",Vertices[[#Headers],[Vertex]:[Vertex Group]],0),FALSE)</f>
        <v>826</v>
      </c>
    </row>
    <row r="872" spans="1:3" ht="15">
      <c r="A872" s="79" t="s">
        <v>3958</v>
      </c>
      <c r="B872" s="96" t="s">
        <v>2568</v>
      </c>
      <c r="C872" s="78">
        <f>VLOOKUP(GroupVertices[[#This Row],[Vertex]],Vertices[],MATCH("ID",Vertices[[#Headers],[Vertex]:[Vertex Group]],0),FALSE)</f>
        <v>827</v>
      </c>
    </row>
    <row r="873" spans="1:3" ht="15">
      <c r="A873" s="79" t="s">
        <v>3959</v>
      </c>
      <c r="B873" s="96" t="s">
        <v>2570</v>
      </c>
      <c r="C873" s="78">
        <f>VLOOKUP(GroupVertices[[#This Row],[Vertex]],Vertices[],MATCH("ID",Vertices[[#Headers],[Vertex]:[Vertex Group]],0),FALSE)</f>
        <v>829</v>
      </c>
    </row>
    <row r="874" spans="1:3" ht="15">
      <c r="A874" s="79" t="s">
        <v>1544</v>
      </c>
      <c r="B874" s="96" t="s">
        <v>2571</v>
      </c>
      <c r="C874" s="78">
        <f>VLOOKUP(GroupVertices[[#This Row],[Vertex]],Vertices[],MATCH("ID",Vertices[[#Headers],[Vertex]:[Vertex Group]],0),FALSE)</f>
        <v>830</v>
      </c>
    </row>
    <row r="875" spans="1:3" ht="15">
      <c r="A875" s="79" t="s">
        <v>3960</v>
      </c>
      <c r="B875" s="96" t="s">
        <v>2572</v>
      </c>
      <c r="C875" s="78">
        <f>VLOOKUP(GroupVertices[[#This Row],[Vertex]],Vertices[],MATCH("ID",Vertices[[#Headers],[Vertex]:[Vertex Group]],0),FALSE)</f>
        <v>831</v>
      </c>
    </row>
    <row r="876" spans="1:3" ht="15">
      <c r="A876" s="79" t="s">
        <v>3828</v>
      </c>
      <c r="B876" s="96" t="s">
        <v>2359</v>
      </c>
      <c r="C876" s="78">
        <f>VLOOKUP(GroupVertices[[#This Row],[Vertex]],Vertices[],MATCH("ID",Vertices[[#Headers],[Vertex]:[Vertex Group]],0),FALSE)</f>
        <v>528</v>
      </c>
    </row>
    <row r="877" spans="1:3" ht="15">
      <c r="A877" s="79" t="s">
        <v>3832</v>
      </c>
      <c r="B877" s="96" t="s">
        <v>2364</v>
      </c>
      <c r="C877" s="78">
        <f>VLOOKUP(GroupVertices[[#This Row],[Vertex]],Vertices[],MATCH("ID",Vertices[[#Headers],[Vertex]:[Vertex Group]],0),FALSE)</f>
        <v>533</v>
      </c>
    </row>
    <row r="878" spans="1:3" ht="15">
      <c r="A878" s="79" t="s">
        <v>3834</v>
      </c>
      <c r="B878" s="96" t="s">
        <v>2369</v>
      </c>
      <c r="C878" s="78">
        <f>VLOOKUP(GroupVertices[[#This Row],[Vertex]],Vertices[],MATCH("ID",Vertices[[#Headers],[Vertex]:[Vertex Group]],0),FALSE)</f>
        <v>538</v>
      </c>
    </row>
    <row r="879" spans="1:3" ht="15">
      <c r="A879" s="79" t="s">
        <v>3835</v>
      </c>
      <c r="B879" s="96" t="s">
        <v>2370</v>
      </c>
      <c r="C879" s="78">
        <f>VLOOKUP(GroupVertices[[#This Row],[Vertex]],Vertices[],MATCH("ID",Vertices[[#Headers],[Vertex]:[Vertex Group]],0),FALSE)</f>
        <v>539</v>
      </c>
    </row>
    <row r="880" spans="1:3" ht="15">
      <c r="A880" s="79" t="s">
        <v>3836</v>
      </c>
      <c r="B880" s="96" t="s">
        <v>2371</v>
      </c>
      <c r="C880" s="78">
        <f>VLOOKUP(GroupVertices[[#This Row],[Vertex]],Vertices[],MATCH("ID",Vertices[[#Headers],[Vertex]:[Vertex Group]],0),FALSE)</f>
        <v>540</v>
      </c>
    </row>
    <row r="881" spans="1:3" ht="15">
      <c r="A881" s="79" t="s">
        <v>3837</v>
      </c>
      <c r="B881" s="96" t="s">
        <v>2372</v>
      </c>
      <c r="C881" s="78">
        <f>VLOOKUP(GroupVertices[[#This Row],[Vertex]],Vertices[],MATCH("ID",Vertices[[#Headers],[Vertex]:[Vertex Group]],0),FALSE)</f>
        <v>541</v>
      </c>
    </row>
    <row r="882" spans="1:3" ht="15">
      <c r="A882" s="79" t="s">
        <v>3838</v>
      </c>
      <c r="B882" s="96" t="s">
        <v>2373</v>
      </c>
      <c r="C882" s="78">
        <f>VLOOKUP(GroupVertices[[#This Row],[Vertex]],Vertices[],MATCH("ID",Vertices[[#Headers],[Vertex]:[Vertex Group]],0),FALSE)</f>
        <v>542</v>
      </c>
    </row>
    <row r="883" spans="1:3" ht="15">
      <c r="A883" s="79" t="s">
        <v>3840</v>
      </c>
      <c r="B883" s="96" t="s">
        <v>2375</v>
      </c>
      <c r="C883" s="78">
        <f>VLOOKUP(GroupVertices[[#This Row],[Vertex]],Vertices[],MATCH("ID",Vertices[[#Headers],[Vertex]:[Vertex Group]],0),FALSE)</f>
        <v>544</v>
      </c>
    </row>
    <row r="884" spans="1:3" ht="15">
      <c r="A884" s="79" t="s">
        <v>3841</v>
      </c>
      <c r="B884" s="96" t="s">
        <v>2376</v>
      </c>
      <c r="C884" s="78">
        <f>VLOOKUP(GroupVertices[[#This Row],[Vertex]],Vertices[],MATCH("ID",Vertices[[#Headers],[Vertex]:[Vertex Group]],0),FALSE)</f>
        <v>545</v>
      </c>
    </row>
    <row r="885" spans="1:3" ht="15">
      <c r="A885" s="79" t="s">
        <v>3842</v>
      </c>
      <c r="B885" s="96" t="s">
        <v>2377</v>
      </c>
      <c r="C885" s="78">
        <f>VLOOKUP(GroupVertices[[#This Row],[Vertex]],Vertices[],MATCH("ID",Vertices[[#Headers],[Vertex]:[Vertex Group]],0),FALSE)</f>
        <v>546</v>
      </c>
    </row>
    <row r="886" spans="1:3" ht="15">
      <c r="A886" s="79" t="s">
        <v>3843</v>
      </c>
      <c r="B886" s="96" t="s">
        <v>2378</v>
      </c>
      <c r="C886" s="78">
        <f>VLOOKUP(GroupVertices[[#This Row],[Vertex]],Vertices[],MATCH("ID",Vertices[[#Headers],[Vertex]:[Vertex Group]],0),FALSE)</f>
        <v>547</v>
      </c>
    </row>
    <row r="887" spans="1:3" ht="15">
      <c r="A887" s="79" t="s">
        <v>1613</v>
      </c>
      <c r="B887" s="96" t="s">
        <v>436</v>
      </c>
      <c r="C887" s="78">
        <f>VLOOKUP(GroupVertices[[#This Row],[Vertex]],Vertices[],MATCH("ID",Vertices[[#Headers],[Vertex]:[Vertex Group]],0),FALSE)</f>
        <v>386</v>
      </c>
    </row>
    <row r="888" spans="1:3" ht="15">
      <c r="A888" s="79" t="s">
        <v>1615</v>
      </c>
      <c r="B888" s="96" t="s">
        <v>439</v>
      </c>
      <c r="C888" s="78">
        <f>VLOOKUP(GroupVertices[[#This Row],[Vertex]],Vertices[],MATCH("ID",Vertices[[#Headers],[Vertex]:[Vertex Group]],0),FALSE)</f>
        <v>389</v>
      </c>
    </row>
    <row r="889" spans="1:3" ht="15">
      <c r="A889" s="79" t="s">
        <v>1611</v>
      </c>
      <c r="B889" s="96" t="s">
        <v>432</v>
      </c>
      <c r="C889" s="78">
        <f>VLOOKUP(GroupVertices[[#This Row],[Vertex]],Vertices[],MATCH("ID",Vertices[[#Headers],[Vertex]:[Vertex Group]],0),FALSE)</f>
        <v>390</v>
      </c>
    </row>
    <row r="890" spans="1:3" ht="15">
      <c r="A890" s="79" t="s">
        <v>1617</v>
      </c>
      <c r="B890" s="96" t="s">
        <v>441</v>
      </c>
      <c r="C890" s="78">
        <f>VLOOKUP(GroupVertices[[#This Row],[Vertex]],Vertices[],MATCH("ID",Vertices[[#Headers],[Vertex]:[Vertex Group]],0),FALSE)</f>
        <v>391</v>
      </c>
    </row>
    <row r="891" spans="1:3" ht="15">
      <c r="A891" s="79" t="s">
        <v>1616</v>
      </c>
      <c r="B891" s="96" t="s">
        <v>440</v>
      </c>
      <c r="C891" s="78">
        <f>VLOOKUP(GroupVertices[[#This Row],[Vertex]],Vertices[],MATCH("ID",Vertices[[#Headers],[Vertex]:[Vertex Group]],0),FALSE)</f>
        <v>392</v>
      </c>
    </row>
    <row r="892" spans="1:3" ht="15">
      <c r="A892" s="79" t="s">
        <v>1619</v>
      </c>
      <c r="B892" s="96" t="s">
        <v>445</v>
      </c>
      <c r="C892" s="78">
        <f>VLOOKUP(GroupVertices[[#This Row],[Vertex]],Vertices[],MATCH("ID",Vertices[[#Headers],[Vertex]:[Vertex Group]],0),FALSE)</f>
        <v>397</v>
      </c>
    </row>
  </sheetData>
  <dataValidations count="3" xWindow="58" yWindow="226">
    <dataValidation allowBlank="1" showInputMessage="1" showErrorMessage="1" promptTitle="Group Name" prompt="Enter the name of the group.  The group name must also be entered on the Groups worksheet." sqref="A2:A892"/>
    <dataValidation allowBlank="1" showInputMessage="1" showErrorMessage="1" promptTitle="Vertex Name" prompt="Enter the name of a vertex to include in the group." sqref="B2:B892"/>
    <dataValidation allowBlank="1" showInputMessage="1" promptTitle="Vertex ID" prompt="This is the value of the hidden ID cell in the Vertices worksheet.  It gets filled in by the items on the NodeXL, Analysis, Groups menu." sqref="C2:C8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C28" sqref="C2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2094</v>
      </c>
      <c r="B2" s="34" t="s">
        <v>192</v>
      </c>
      <c r="D2" s="31">
        <f>MIN(Vertices[Degree])</f>
        <v>0</v>
      </c>
      <c r="E2" s="3">
        <f>COUNTIF(Vertices[Degree],"&gt;= "&amp;D2)-COUNTIF(Vertices[Degree],"&gt;="&amp;D3)</f>
        <v>0</v>
      </c>
      <c r="F2" s="37">
        <f>MIN(Vertices[In-Degree])</f>
        <v>0</v>
      </c>
      <c r="G2" s="38">
        <f>COUNTIF(Vertices[In-Degree],"&gt;= "&amp;F2)-COUNTIF(Vertices[In-Degree],"&gt;="&amp;F3)</f>
        <v>30</v>
      </c>
      <c r="H2" s="37">
        <f>MIN(Vertices[Out-Degree])</f>
        <v>0</v>
      </c>
      <c r="I2" s="38">
        <f>COUNTIF(Vertices[Out-Degree],"&gt;= "&amp;H2)-COUNTIF(Vertices[Out-Degree],"&gt;="&amp;H3)</f>
        <v>841</v>
      </c>
      <c r="J2" s="37">
        <f>MIN(Vertices[Betweenness Centrality])</f>
        <v>0</v>
      </c>
      <c r="K2" s="38">
        <f>COUNTIF(Vertices[Betweenness Centrality],"&gt;= "&amp;J2)-COUNTIF(Vertices[Betweenness Centrality],"&gt;="&amp;J3)</f>
        <v>834</v>
      </c>
      <c r="L2" s="37">
        <f>MIN(Vertices[Closeness Centrality])</f>
        <v>0.007035</v>
      </c>
      <c r="M2" s="38">
        <f>COUNTIF(Vertices[Closeness Centrality],"&gt;= "&amp;L2)-COUNTIF(Vertices[Closeness Centrality],"&gt;="&amp;L3)</f>
        <v>99</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25">COUNTIF(INDIRECT(DynamicFilterSourceColumnRange),"&gt;= "&amp;T2)-COUNTIF(INDIRECT(DynamicFilterSourceColumnRange),"&gt;="&amp;T3)</f>
        <v>#REF!</v>
      </c>
      <c r="W2" t="s">
        <v>124</v>
      </c>
      <c r="X2">
        <f>ROWS(HistogramBins[Degree Bin])-1</f>
        <v>34</v>
      </c>
    </row>
    <row r="3" spans="1:24" ht="15">
      <c r="A3" s="108"/>
      <c r="B3" s="108"/>
      <c r="D3" s="32">
        <f aca="true" t="shared" si="1" ref="D3:D35">D2+($D$36-$D$2)/BinDivisor</f>
        <v>0</v>
      </c>
      <c r="E3" s="3">
        <f>COUNTIF(Vertices[Degree],"&gt;= "&amp;D3)-COUNTIF(Vertices[Degree],"&gt;="&amp;D4)</f>
        <v>0</v>
      </c>
      <c r="F3" s="39">
        <f aca="true" t="shared" si="2" ref="F3:F35">F2+($F$36-$F$2)/BinDivisor</f>
        <v>0.4117647058823529</v>
      </c>
      <c r="G3" s="40">
        <f>COUNTIF(Vertices[In-Degree],"&gt;= "&amp;F3)-COUNTIF(Vertices[In-Degree],"&gt;="&amp;F4)</f>
        <v>0</v>
      </c>
      <c r="H3" s="39">
        <f aca="true" t="shared" si="3" ref="H3:H35">H2+($H$36-$H$2)/BinDivisor</f>
        <v>1.4705882352941178</v>
      </c>
      <c r="I3" s="40">
        <f>COUNTIF(Vertices[Out-Degree],"&gt;= "&amp;H3)-COUNTIF(Vertices[Out-Degree],"&gt;="&amp;H4)</f>
        <v>0</v>
      </c>
      <c r="J3" s="39">
        <f aca="true" t="shared" si="4" ref="J3:J35">J2+($J$36-$J$2)/BinDivisor</f>
        <v>4107.601004352941</v>
      </c>
      <c r="K3" s="40">
        <f>COUNTIF(Vertices[Betweenness Centrality],"&gt;= "&amp;J3)-COUNTIF(Vertices[Betweenness Centrality],"&gt;="&amp;J4)</f>
        <v>11</v>
      </c>
      <c r="L3" s="39">
        <f aca="true" t="shared" si="5" ref="L3:L35">L2+($L$36-$L$2)/BinDivisor</f>
        <v>0.013955970588235294</v>
      </c>
      <c r="M3" s="40">
        <f>COUNTIF(Vertices[Closeness Centrality],"&gt;= "&amp;L3)-COUNTIF(Vertices[Closeness Centrality],"&gt;="&amp;L4)</f>
        <v>92</v>
      </c>
      <c r="N3" s="39">
        <f aca="true" t="shared" si="6" ref="N3:N35">N2+($N$36-$N$2)/BinDivisor</f>
        <v>0</v>
      </c>
      <c r="O3" s="40">
        <f>COUNTIF(Vertices[Eigenvector Centrality],"&gt;= "&amp;N3)-COUNTIF(Vertices[Eigenvector Centrality],"&gt;="&amp;N4)</f>
        <v>0</v>
      </c>
      <c r="P3" s="39">
        <f aca="true" t="shared" si="7" ref="P3:P35">P2+($P$36-$P$2)/BinDivisor</f>
        <v>0</v>
      </c>
      <c r="Q3" s="40">
        <f>COUNTIF(Vertices[PageRank],"&gt;= "&amp;P3)-COUNTIF(Vertices[PageRank],"&gt;="&amp;P4)</f>
        <v>0</v>
      </c>
      <c r="R3" s="39">
        <f aca="true" t="shared" si="8" ref="R3:R35">R2+($R$36-$R$2)/BinDivisor</f>
        <v>0</v>
      </c>
      <c r="S3" s="44">
        <f>COUNTIF(Vertices[Clustering Coefficient],"&gt;= "&amp;R3)-COUNTIF(Vertices[Clustering Coefficient],"&gt;="&amp;R4)</f>
        <v>0</v>
      </c>
      <c r="T3" s="39" t="e">
        <f aca="true" t="shared" si="9" ref="T3:T35">T2+($T$36-$T$2)/BinDivisor</f>
        <v>#REF!</v>
      </c>
      <c r="U3" s="40" t="e">
        <f ca="1" t="shared" si="0"/>
        <v>#REF!</v>
      </c>
      <c r="W3" t="s">
        <v>125</v>
      </c>
      <c r="X3" t="s">
        <v>85</v>
      </c>
    </row>
    <row r="4" spans="1:24" ht="15">
      <c r="A4" s="34" t="s">
        <v>146</v>
      </c>
      <c r="B4" s="34">
        <v>891</v>
      </c>
      <c r="D4" s="32">
        <f t="shared" si="1"/>
        <v>0</v>
      </c>
      <c r="E4" s="3">
        <f>COUNTIF(Vertices[Degree],"&gt;= "&amp;D4)-COUNTIF(Vertices[Degree],"&gt;="&amp;D5)</f>
        <v>0</v>
      </c>
      <c r="F4" s="37">
        <f t="shared" si="2"/>
        <v>0.8235294117647058</v>
      </c>
      <c r="G4" s="38">
        <f>COUNTIF(Vertices[In-Degree],"&gt;= "&amp;F4)-COUNTIF(Vertices[In-Degree],"&gt;="&amp;F5)</f>
        <v>767</v>
      </c>
      <c r="H4" s="37">
        <f t="shared" si="3"/>
        <v>2.9411764705882355</v>
      </c>
      <c r="I4" s="38">
        <f>COUNTIF(Vertices[Out-Degree],"&gt;= "&amp;H4)-COUNTIF(Vertices[Out-Degree],"&gt;="&amp;H5)</f>
        <v>0</v>
      </c>
      <c r="J4" s="37">
        <f t="shared" si="4"/>
        <v>8215.202008705883</v>
      </c>
      <c r="K4" s="38">
        <f>COUNTIF(Vertices[Betweenness Centrality],"&gt;= "&amp;J4)-COUNTIF(Vertices[Betweenness Centrality],"&gt;="&amp;J5)</f>
        <v>14</v>
      </c>
      <c r="L4" s="37">
        <f t="shared" si="5"/>
        <v>0.020876941176470588</v>
      </c>
      <c r="M4" s="38">
        <f>COUNTIF(Vertices[Closeness Centrality],"&gt;= "&amp;L4)-COUNTIF(Vertices[Closeness Centrality],"&gt;="&amp;L5)</f>
        <v>2</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08"/>
      <c r="B5" s="108"/>
      <c r="D5" s="32">
        <f t="shared" si="1"/>
        <v>0</v>
      </c>
      <c r="E5" s="3">
        <f>COUNTIF(Vertices[Degree],"&gt;= "&amp;D5)-COUNTIF(Vertices[Degree],"&gt;="&amp;D6)</f>
        <v>0</v>
      </c>
      <c r="F5" s="39">
        <f t="shared" si="2"/>
        <v>1.2352941176470589</v>
      </c>
      <c r="G5" s="40">
        <f>COUNTIF(Vertices[In-Degree],"&gt;= "&amp;F5)-COUNTIF(Vertices[In-Degree],"&gt;="&amp;F6)</f>
        <v>0</v>
      </c>
      <c r="H5" s="39">
        <f t="shared" si="3"/>
        <v>4.411764705882353</v>
      </c>
      <c r="I5" s="40">
        <f>COUNTIF(Vertices[Out-Degree],"&gt;= "&amp;H5)-COUNTIF(Vertices[Out-Degree],"&gt;="&amp;H6)</f>
        <v>0</v>
      </c>
      <c r="J5" s="39">
        <f t="shared" si="4"/>
        <v>12322.803013058823</v>
      </c>
      <c r="K5" s="40">
        <f>COUNTIF(Vertices[Betweenness Centrality],"&gt;= "&amp;J5)-COUNTIF(Vertices[Betweenness Centrality],"&gt;="&amp;J6)</f>
        <v>4</v>
      </c>
      <c r="L5" s="39">
        <f t="shared" si="5"/>
        <v>0.027797911764705883</v>
      </c>
      <c r="M5" s="40">
        <f>COUNTIF(Vertices[Closeness Centrality],"&gt;= "&amp;L5)-COUNTIF(Vertices[Closeness Centrality],"&gt;="&amp;L6)</f>
        <v>2</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t="s">
        <v>148</v>
      </c>
      <c r="B6" s="34">
        <v>1251</v>
      </c>
      <c r="D6" s="32">
        <f t="shared" si="1"/>
        <v>0</v>
      </c>
      <c r="E6" s="3">
        <f>COUNTIF(Vertices[Degree],"&gt;= "&amp;D6)-COUNTIF(Vertices[Degree],"&gt;="&amp;D7)</f>
        <v>0</v>
      </c>
      <c r="F6" s="37">
        <f t="shared" si="2"/>
        <v>1.6470588235294117</v>
      </c>
      <c r="G6" s="38">
        <f>COUNTIF(Vertices[In-Degree],"&gt;= "&amp;F6)-COUNTIF(Vertices[In-Degree],"&gt;="&amp;F7)</f>
        <v>44</v>
      </c>
      <c r="H6" s="37">
        <f t="shared" si="3"/>
        <v>5.882352941176471</v>
      </c>
      <c r="I6" s="38">
        <f>COUNTIF(Vertices[Out-Degree],"&gt;= "&amp;H6)-COUNTIF(Vertices[Out-Degree],"&gt;="&amp;H7)</f>
        <v>0</v>
      </c>
      <c r="J6" s="37">
        <f t="shared" si="4"/>
        <v>16430.404017411765</v>
      </c>
      <c r="K6" s="38">
        <f>COUNTIF(Vertices[Betweenness Centrality],"&gt;= "&amp;J6)-COUNTIF(Vertices[Betweenness Centrality],"&gt;="&amp;J7)</f>
        <v>0</v>
      </c>
      <c r="L6" s="37">
        <f t="shared" si="5"/>
        <v>0.034718882352941176</v>
      </c>
      <c r="M6" s="38">
        <f>COUNTIF(Vertices[Closeness Centrality],"&gt;= "&amp;L6)-COUNTIF(Vertices[Closeness Centrality],"&gt;="&amp;L7)</f>
        <v>1</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0</v>
      </c>
      <c r="D7" s="32">
        <f t="shared" si="1"/>
        <v>0</v>
      </c>
      <c r="E7" s="3">
        <f>COUNTIF(Vertices[Degree],"&gt;= "&amp;D7)-COUNTIF(Vertices[Degree],"&gt;="&amp;D8)</f>
        <v>0</v>
      </c>
      <c r="F7" s="39">
        <f t="shared" si="2"/>
        <v>2.0588235294117645</v>
      </c>
      <c r="G7" s="40">
        <f>COUNTIF(Vertices[In-Degree],"&gt;= "&amp;F7)-COUNTIF(Vertices[In-Degree],"&gt;="&amp;F8)</f>
        <v>0</v>
      </c>
      <c r="H7" s="39">
        <f t="shared" si="3"/>
        <v>7.352941176470589</v>
      </c>
      <c r="I7" s="40">
        <f>COUNTIF(Vertices[Out-Degree],"&gt;= "&amp;H7)-COUNTIF(Vertices[Out-Degree],"&gt;="&amp;H8)</f>
        <v>0</v>
      </c>
      <c r="J7" s="39">
        <f t="shared" si="4"/>
        <v>20538.005021764708</v>
      </c>
      <c r="K7" s="40">
        <f>COUNTIF(Vertices[Betweenness Centrality],"&gt;= "&amp;J7)-COUNTIF(Vertices[Betweenness Centrality],"&gt;="&amp;J8)</f>
        <v>4</v>
      </c>
      <c r="L7" s="39">
        <f t="shared" si="5"/>
        <v>0.04163985294117647</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150</v>
      </c>
      <c r="B8" s="34">
        <v>1251</v>
      </c>
      <c r="D8" s="32">
        <f t="shared" si="1"/>
        <v>0</v>
      </c>
      <c r="E8" s="3">
        <f>COUNTIF(Vertices[Degree],"&gt;= "&amp;D8)-COUNTIF(Vertices[Degree],"&gt;="&amp;D9)</f>
        <v>0</v>
      </c>
      <c r="F8" s="37">
        <f t="shared" si="2"/>
        <v>2.4705882352941173</v>
      </c>
      <c r="G8" s="38">
        <f>COUNTIF(Vertices[In-Degree],"&gt;= "&amp;F8)-COUNTIF(Vertices[In-Degree],"&gt;="&amp;F9)</f>
        <v>0</v>
      </c>
      <c r="H8" s="37">
        <f t="shared" si="3"/>
        <v>8.823529411764707</v>
      </c>
      <c r="I8" s="38">
        <f>COUNTIF(Vertices[Out-Degree],"&gt;= "&amp;H8)-COUNTIF(Vertices[Out-Degree],"&gt;="&amp;H9)</f>
        <v>0</v>
      </c>
      <c r="J8" s="37">
        <f t="shared" si="4"/>
        <v>24645.60602611765</v>
      </c>
      <c r="K8" s="38">
        <f>COUNTIF(Vertices[Betweenness Centrality],"&gt;= "&amp;J8)-COUNTIF(Vertices[Betweenness Centrality],"&gt;="&amp;J9)</f>
        <v>3</v>
      </c>
      <c r="L8" s="37">
        <f t="shared" si="5"/>
        <v>0.04856082352941176</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08"/>
      <c r="B9" s="108"/>
      <c r="D9" s="32">
        <f t="shared" si="1"/>
        <v>0</v>
      </c>
      <c r="E9" s="3">
        <f>COUNTIF(Vertices[Degree],"&gt;= "&amp;D9)-COUNTIF(Vertices[Degree],"&gt;="&amp;D10)</f>
        <v>0</v>
      </c>
      <c r="F9" s="39">
        <f t="shared" si="2"/>
        <v>2.88235294117647</v>
      </c>
      <c r="G9" s="40">
        <f>COUNTIF(Vertices[In-Degree],"&gt;= "&amp;F9)-COUNTIF(Vertices[In-Degree],"&gt;="&amp;F10)</f>
        <v>11</v>
      </c>
      <c r="H9" s="39">
        <f t="shared" si="3"/>
        <v>10.294117647058824</v>
      </c>
      <c r="I9" s="40">
        <f>COUNTIF(Vertices[Out-Degree],"&gt;= "&amp;H9)-COUNTIF(Vertices[Out-Degree],"&gt;="&amp;H10)</f>
        <v>0</v>
      </c>
      <c r="J9" s="39">
        <f t="shared" si="4"/>
        <v>28753.207030470592</v>
      </c>
      <c r="K9" s="40">
        <f>COUNTIF(Vertices[Betweenness Centrality],"&gt;= "&amp;J9)-COUNTIF(Vertices[Betweenness Centrality],"&gt;="&amp;J10)</f>
        <v>0</v>
      </c>
      <c r="L9" s="39">
        <f t="shared" si="5"/>
        <v>0.05548179411764705</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3.294117647058823</v>
      </c>
      <c r="G10" s="38">
        <f>COUNTIF(Vertices[In-Degree],"&gt;= "&amp;F10)-COUNTIF(Vertices[In-Degree],"&gt;="&amp;F11)</f>
        <v>0</v>
      </c>
      <c r="H10" s="37">
        <f t="shared" si="3"/>
        <v>11.764705882352942</v>
      </c>
      <c r="I10" s="38">
        <f>COUNTIF(Vertices[Out-Degree],"&gt;= "&amp;H10)-COUNTIF(Vertices[Out-Degree],"&gt;="&amp;H11)</f>
        <v>8</v>
      </c>
      <c r="J10" s="37">
        <f t="shared" si="4"/>
        <v>32860.80803482353</v>
      </c>
      <c r="K10" s="38">
        <f>COUNTIF(Vertices[Betweenness Centrality],"&gt;= "&amp;J10)-COUNTIF(Vertices[Betweenness Centrality],"&gt;="&amp;J11)</f>
        <v>0</v>
      </c>
      <c r="L10" s="37">
        <f t="shared" si="5"/>
        <v>0.062402764705882345</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08"/>
      <c r="B11" s="108"/>
      <c r="D11" s="32">
        <f t="shared" si="1"/>
        <v>0</v>
      </c>
      <c r="E11" s="3">
        <f>COUNTIF(Vertices[Degree],"&gt;= "&amp;D11)-COUNTIF(Vertices[Degree],"&gt;="&amp;D12)</f>
        <v>0</v>
      </c>
      <c r="F11" s="39">
        <f t="shared" si="2"/>
        <v>3.7058823529411757</v>
      </c>
      <c r="G11" s="40">
        <f>COUNTIF(Vertices[In-Degree],"&gt;= "&amp;F11)-COUNTIF(Vertices[In-Degree],"&gt;="&amp;F12)</f>
        <v>3</v>
      </c>
      <c r="H11" s="39">
        <f t="shared" si="3"/>
        <v>13.23529411764706</v>
      </c>
      <c r="I11" s="40">
        <f>COUNTIF(Vertices[Out-Degree],"&gt;= "&amp;H11)-COUNTIF(Vertices[Out-Degree],"&gt;="&amp;H12)</f>
        <v>2</v>
      </c>
      <c r="J11" s="39">
        <f t="shared" si="4"/>
        <v>36968.40903917647</v>
      </c>
      <c r="K11" s="40">
        <f>COUNTIF(Vertices[Betweenness Centrality],"&gt;= "&amp;J11)-COUNTIF(Vertices[Betweenness Centrality],"&gt;="&amp;J12)</f>
        <v>2</v>
      </c>
      <c r="L11" s="39">
        <f t="shared" si="5"/>
        <v>0.06932373529411764</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170</v>
      </c>
      <c r="B12" s="34">
        <v>0.0032076984763432237</v>
      </c>
      <c r="D12" s="32">
        <f t="shared" si="1"/>
        <v>0</v>
      </c>
      <c r="E12" s="3">
        <f>COUNTIF(Vertices[Degree],"&gt;= "&amp;D12)-COUNTIF(Vertices[Degree],"&gt;="&amp;D13)</f>
        <v>0</v>
      </c>
      <c r="F12" s="37">
        <f t="shared" si="2"/>
        <v>4.117647058823529</v>
      </c>
      <c r="G12" s="38">
        <f>COUNTIF(Vertices[In-Degree],"&gt;= "&amp;F12)-COUNTIF(Vertices[In-Degree],"&gt;="&amp;F13)</f>
        <v>0</v>
      </c>
      <c r="H12" s="37">
        <f t="shared" si="3"/>
        <v>14.705882352941178</v>
      </c>
      <c r="I12" s="38">
        <f>COUNTIF(Vertices[Out-Degree],"&gt;= "&amp;H12)-COUNTIF(Vertices[Out-Degree],"&gt;="&amp;H13)</f>
        <v>4</v>
      </c>
      <c r="J12" s="37">
        <f t="shared" si="4"/>
        <v>41076.01004352941</v>
      </c>
      <c r="K12" s="38">
        <f>COUNTIF(Vertices[Betweenness Centrality],"&gt;= "&amp;J12)-COUNTIF(Vertices[Betweenness Centrality],"&gt;="&amp;J13)</f>
        <v>1</v>
      </c>
      <c r="L12" s="37">
        <f t="shared" si="5"/>
        <v>0.07624470588235294</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171</v>
      </c>
      <c r="B13" s="34">
        <v>0.006394884092725819</v>
      </c>
      <c r="D13" s="32">
        <f t="shared" si="1"/>
        <v>0</v>
      </c>
      <c r="E13" s="3">
        <f>COUNTIF(Vertices[Degree],"&gt;= "&amp;D13)-COUNTIF(Vertices[Degree],"&gt;="&amp;D14)</f>
        <v>0</v>
      </c>
      <c r="F13" s="39">
        <f t="shared" si="2"/>
        <v>4.529411764705882</v>
      </c>
      <c r="G13" s="40">
        <f>COUNTIF(Vertices[In-Degree],"&gt;= "&amp;F13)-COUNTIF(Vertices[In-Degree],"&gt;="&amp;F14)</f>
        <v>0</v>
      </c>
      <c r="H13" s="39">
        <f t="shared" si="3"/>
        <v>16.176470588235297</v>
      </c>
      <c r="I13" s="40">
        <f>COUNTIF(Vertices[Out-Degree],"&gt;= "&amp;H13)-COUNTIF(Vertices[Out-Degree],"&gt;="&amp;H14)</f>
        <v>4</v>
      </c>
      <c r="J13" s="39">
        <f t="shared" si="4"/>
        <v>45183.61104788235</v>
      </c>
      <c r="K13" s="40">
        <f>COUNTIF(Vertices[Betweenness Centrality],"&gt;= "&amp;J13)-COUNTIF(Vertices[Betweenness Centrality],"&gt;="&amp;J14)</f>
        <v>1</v>
      </c>
      <c r="L13" s="39">
        <f t="shared" si="5"/>
        <v>0.08316567647058823</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108"/>
      <c r="B14" s="108"/>
      <c r="D14" s="32">
        <f t="shared" si="1"/>
        <v>0</v>
      </c>
      <c r="E14" s="3">
        <f>COUNTIF(Vertices[Degree],"&gt;= "&amp;D14)-COUNTIF(Vertices[Degree],"&gt;="&amp;D15)</f>
        <v>0</v>
      </c>
      <c r="F14" s="37">
        <f t="shared" si="2"/>
        <v>4.9411764705882355</v>
      </c>
      <c r="G14" s="38">
        <f>COUNTIF(Vertices[In-Degree],"&gt;= "&amp;F14)-COUNTIF(Vertices[In-Degree],"&gt;="&amp;F15)</f>
        <v>4</v>
      </c>
      <c r="H14" s="37">
        <f t="shared" si="3"/>
        <v>17.647058823529413</v>
      </c>
      <c r="I14" s="38">
        <f>COUNTIF(Vertices[Out-Degree],"&gt;= "&amp;H14)-COUNTIF(Vertices[Out-Degree],"&gt;="&amp;H15)</f>
        <v>3</v>
      </c>
      <c r="J14" s="37">
        <f t="shared" si="4"/>
        <v>49291.212052235285</v>
      </c>
      <c r="K14" s="38">
        <f>COUNTIF(Vertices[Betweenness Centrality],"&gt;= "&amp;J14)-COUNTIF(Vertices[Betweenness Centrality],"&gt;="&amp;J15)</f>
        <v>3</v>
      </c>
      <c r="L14" s="37">
        <f t="shared" si="5"/>
        <v>0.09008664705882352</v>
      </c>
      <c r="M14" s="38">
        <f>COUNTIF(Vertices[Closeness Centrality],"&gt;= "&amp;L14)-COUNTIF(Vertices[Closeness Centrality],"&gt;="&amp;L15)</f>
        <v>1</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t="s">
        <v>152</v>
      </c>
      <c r="B15" s="34">
        <v>10</v>
      </c>
      <c r="D15" s="32">
        <f t="shared" si="1"/>
        <v>0</v>
      </c>
      <c r="E15" s="3">
        <f>COUNTIF(Vertices[Degree],"&gt;= "&amp;D15)-COUNTIF(Vertices[Degree],"&gt;="&amp;D16)</f>
        <v>0</v>
      </c>
      <c r="F15" s="39">
        <f t="shared" si="2"/>
        <v>5.352941176470589</v>
      </c>
      <c r="G15" s="40">
        <f>COUNTIF(Vertices[In-Degree],"&gt;= "&amp;F15)-COUNTIF(Vertices[In-Degree],"&gt;="&amp;F16)</f>
        <v>0</v>
      </c>
      <c r="H15" s="39">
        <f t="shared" si="3"/>
        <v>19.11764705882353</v>
      </c>
      <c r="I15" s="40">
        <f>COUNTIF(Vertices[Out-Degree],"&gt;= "&amp;H15)-COUNTIF(Vertices[Out-Degree],"&gt;="&amp;H16)</f>
        <v>10</v>
      </c>
      <c r="J15" s="39">
        <f t="shared" si="4"/>
        <v>53398.813056588224</v>
      </c>
      <c r="K15" s="40">
        <f>COUNTIF(Vertices[Betweenness Centrality],"&gt;= "&amp;J15)-COUNTIF(Vertices[Betweenness Centrality],"&gt;="&amp;J16)</f>
        <v>2</v>
      </c>
      <c r="L15" s="39">
        <f t="shared" si="5"/>
        <v>0.09700761764705881</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5.764705882352942</v>
      </c>
      <c r="G16" s="38">
        <f>COUNTIF(Vertices[In-Degree],"&gt;= "&amp;F16)-COUNTIF(Vertices[In-Degree],"&gt;="&amp;F17)</f>
        <v>3</v>
      </c>
      <c r="H16" s="37">
        <f t="shared" si="3"/>
        <v>20.588235294117645</v>
      </c>
      <c r="I16" s="38">
        <f>COUNTIF(Vertices[Out-Degree],"&gt;= "&amp;H16)-COUNTIF(Vertices[Out-Degree],"&gt;="&amp;H17)</f>
        <v>2</v>
      </c>
      <c r="J16" s="37">
        <f t="shared" si="4"/>
        <v>57506.41406094116</v>
      </c>
      <c r="K16" s="38">
        <f>COUNTIF(Vertices[Betweenness Centrality],"&gt;= "&amp;J16)-COUNTIF(Vertices[Betweenness Centrality],"&gt;="&amp;J17)</f>
        <v>0</v>
      </c>
      <c r="L16" s="37">
        <f t="shared" si="5"/>
        <v>0.1039285882352941</v>
      </c>
      <c r="M16" s="38">
        <f>COUNTIF(Vertices[Closeness Centrality],"&gt;= "&amp;L16)-COUNTIF(Vertices[Closeness Centrality],"&gt;="&amp;L17)</f>
        <v>65</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t="s">
        <v>154</v>
      </c>
      <c r="B17" s="34">
        <v>695</v>
      </c>
      <c r="D17" s="32">
        <f t="shared" si="1"/>
        <v>0</v>
      </c>
      <c r="E17" s="3">
        <f>COUNTIF(Vertices[Degree],"&gt;= "&amp;D17)-COUNTIF(Vertices[Degree],"&gt;="&amp;D18)</f>
        <v>0</v>
      </c>
      <c r="F17" s="39">
        <f t="shared" si="2"/>
        <v>6.176470588235295</v>
      </c>
      <c r="G17" s="40">
        <f>COUNTIF(Vertices[In-Degree],"&gt;= "&amp;F17)-COUNTIF(Vertices[In-Degree],"&gt;="&amp;F18)</f>
        <v>0</v>
      </c>
      <c r="H17" s="39">
        <f t="shared" si="3"/>
        <v>22.05882352941176</v>
      </c>
      <c r="I17" s="40">
        <f>COUNTIF(Vertices[Out-Degree],"&gt;= "&amp;H17)-COUNTIF(Vertices[Out-Degree],"&gt;="&amp;H18)</f>
        <v>0</v>
      </c>
      <c r="J17" s="39">
        <f t="shared" si="4"/>
        <v>61614.0150652941</v>
      </c>
      <c r="K17" s="40">
        <f>COUNTIF(Vertices[Betweenness Centrality],"&gt;= "&amp;J17)-COUNTIF(Vertices[Betweenness Centrality],"&gt;="&amp;J18)</f>
        <v>1</v>
      </c>
      <c r="L17" s="39">
        <f t="shared" si="5"/>
        <v>0.1108495588235294</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155</v>
      </c>
      <c r="B18" s="34">
        <v>1064</v>
      </c>
      <c r="D18" s="32">
        <f t="shared" si="1"/>
        <v>0</v>
      </c>
      <c r="E18" s="3">
        <f>COUNTIF(Vertices[Degree],"&gt;= "&amp;D18)-COUNTIF(Vertices[Degree],"&gt;="&amp;D19)</f>
        <v>0</v>
      </c>
      <c r="F18" s="37">
        <f t="shared" si="2"/>
        <v>6.5882352941176485</v>
      </c>
      <c r="G18" s="38">
        <f>COUNTIF(Vertices[In-Degree],"&gt;= "&amp;F18)-COUNTIF(Vertices[In-Degree],"&gt;="&amp;F19)</f>
        <v>0</v>
      </c>
      <c r="H18" s="37">
        <f t="shared" si="3"/>
        <v>23.529411764705877</v>
      </c>
      <c r="I18" s="38">
        <f>COUNTIF(Vertices[Out-Degree],"&gt;= "&amp;H18)-COUNTIF(Vertices[Out-Degree],"&gt;="&amp;H19)</f>
        <v>0</v>
      </c>
      <c r="J18" s="37">
        <f t="shared" si="4"/>
        <v>65721.61606964705</v>
      </c>
      <c r="K18" s="38">
        <f>COUNTIF(Vertices[Betweenness Centrality],"&gt;= "&amp;J18)-COUNTIF(Vertices[Betweenness Centrality],"&gt;="&amp;J19)</f>
        <v>1</v>
      </c>
      <c r="L18" s="37">
        <f t="shared" si="5"/>
        <v>0.11777052941176469</v>
      </c>
      <c r="M18" s="38">
        <f>COUNTIF(Vertices[Closeness Centrality],"&gt;= "&amp;L18)-COUNTIF(Vertices[Closeness Centrality],"&gt;="&amp;L19)</f>
        <v>53</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108"/>
      <c r="B19" s="108"/>
      <c r="D19" s="32">
        <f t="shared" si="1"/>
        <v>0</v>
      </c>
      <c r="E19" s="3">
        <f>COUNTIF(Vertices[Degree],"&gt;= "&amp;D19)-COUNTIF(Vertices[Degree],"&gt;="&amp;D20)</f>
        <v>0</v>
      </c>
      <c r="F19" s="39">
        <f t="shared" si="2"/>
        <v>7.000000000000002</v>
      </c>
      <c r="G19" s="40">
        <f>COUNTIF(Vertices[In-Degree],"&gt;= "&amp;F19)-COUNTIF(Vertices[In-Degree],"&gt;="&amp;F20)</f>
        <v>0</v>
      </c>
      <c r="H19" s="39">
        <f t="shared" si="3"/>
        <v>24.999999999999993</v>
      </c>
      <c r="I19" s="40">
        <f>COUNTIF(Vertices[Out-Degree],"&gt;= "&amp;H19)-COUNTIF(Vertices[Out-Degree],"&gt;="&amp;H20)</f>
        <v>1</v>
      </c>
      <c r="J19" s="39">
        <f t="shared" si="4"/>
        <v>69829.21707399999</v>
      </c>
      <c r="K19" s="40">
        <f>COUNTIF(Vertices[Betweenness Centrality],"&gt;= "&amp;J19)-COUNTIF(Vertices[Betweenness Centrality],"&gt;="&amp;J20)</f>
        <v>0</v>
      </c>
      <c r="L19" s="39">
        <f t="shared" si="5"/>
        <v>0.12469149999999998</v>
      </c>
      <c r="M19" s="40">
        <f>COUNTIF(Vertices[Closeness Centrality],"&gt;= "&amp;L19)-COUNTIF(Vertices[Closeness Centrality],"&gt;="&amp;L20)</f>
        <v>5</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t="s">
        <v>156</v>
      </c>
      <c r="B20" s="34">
        <v>12</v>
      </c>
      <c r="D20" s="32">
        <f t="shared" si="1"/>
        <v>0</v>
      </c>
      <c r="E20" s="3">
        <f>COUNTIF(Vertices[Degree],"&gt;= "&amp;D20)-COUNTIF(Vertices[Degree],"&gt;="&amp;D21)</f>
        <v>0</v>
      </c>
      <c r="F20" s="37">
        <f t="shared" si="2"/>
        <v>7.411764705882355</v>
      </c>
      <c r="G20" s="38">
        <f>COUNTIF(Vertices[In-Degree],"&gt;= "&amp;F20)-COUNTIF(Vertices[In-Degree],"&gt;="&amp;F21)</f>
        <v>0</v>
      </c>
      <c r="H20" s="37">
        <f t="shared" si="3"/>
        <v>26.47058823529411</v>
      </c>
      <c r="I20" s="38">
        <f>COUNTIF(Vertices[Out-Degree],"&gt;= "&amp;H20)-COUNTIF(Vertices[Out-Degree],"&gt;="&amp;H21)</f>
        <v>0</v>
      </c>
      <c r="J20" s="37">
        <f t="shared" si="4"/>
        <v>73936.81807835292</v>
      </c>
      <c r="K20" s="38">
        <f>COUNTIF(Vertices[Betweenness Centrality],"&gt;= "&amp;J20)-COUNTIF(Vertices[Betweenness Centrality],"&gt;="&amp;J21)</f>
        <v>3</v>
      </c>
      <c r="L20" s="37">
        <f t="shared" si="5"/>
        <v>0.13161247058823528</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157</v>
      </c>
      <c r="B21" s="34">
        <v>5.043249</v>
      </c>
      <c r="D21" s="32">
        <f t="shared" si="1"/>
        <v>0</v>
      </c>
      <c r="E21" s="3">
        <f>COUNTIF(Vertices[Degree],"&gt;= "&amp;D21)-COUNTIF(Vertices[Degree],"&gt;="&amp;D22)</f>
        <v>0</v>
      </c>
      <c r="F21" s="39">
        <f t="shared" si="2"/>
        <v>7.823529411764708</v>
      </c>
      <c r="G21" s="40">
        <f>COUNTIF(Vertices[In-Degree],"&gt;= "&amp;F21)-COUNTIF(Vertices[In-Degree],"&gt;="&amp;F22)</f>
        <v>3</v>
      </c>
      <c r="H21" s="39">
        <f t="shared" si="3"/>
        <v>27.941176470588225</v>
      </c>
      <c r="I21" s="40">
        <f>COUNTIF(Vertices[Out-Degree],"&gt;= "&amp;H21)-COUNTIF(Vertices[Out-Degree],"&gt;="&amp;H22)</f>
        <v>1</v>
      </c>
      <c r="J21" s="39">
        <f t="shared" si="4"/>
        <v>78044.41908270586</v>
      </c>
      <c r="K21" s="40">
        <f>COUNTIF(Vertices[Betweenness Centrality],"&gt;= "&amp;J21)-COUNTIF(Vertices[Betweenness Centrality],"&gt;="&amp;J22)</f>
        <v>0</v>
      </c>
      <c r="L21" s="39">
        <f t="shared" si="5"/>
        <v>0.13853344117647057</v>
      </c>
      <c r="M21" s="40">
        <f>COUNTIF(Vertices[Closeness Centrality],"&gt;= "&amp;L21)-COUNTIF(Vertices[Closeness Centrality],"&gt;="&amp;L22)</f>
        <v>80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108"/>
      <c r="B22" s="108"/>
      <c r="D22" s="32">
        <f t="shared" si="1"/>
        <v>0</v>
      </c>
      <c r="E22" s="3">
        <f>COUNTIF(Vertices[Degree],"&gt;= "&amp;D22)-COUNTIF(Vertices[Degree],"&gt;="&amp;D23)</f>
        <v>0</v>
      </c>
      <c r="F22" s="37">
        <f t="shared" si="2"/>
        <v>8.235294117647062</v>
      </c>
      <c r="G22" s="38">
        <f>COUNTIF(Vertices[In-Degree],"&gt;= "&amp;F22)-COUNTIF(Vertices[In-Degree],"&gt;="&amp;F23)</f>
        <v>0</v>
      </c>
      <c r="H22" s="37">
        <f t="shared" si="3"/>
        <v>29.41176470588234</v>
      </c>
      <c r="I22" s="38">
        <f>COUNTIF(Vertices[Out-Degree],"&gt;= "&amp;H22)-COUNTIF(Vertices[Out-Degree],"&gt;="&amp;H23)</f>
        <v>2</v>
      </c>
      <c r="J22" s="37">
        <f t="shared" si="4"/>
        <v>82152.0200870588</v>
      </c>
      <c r="K22" s="38">
        <f>COUNTIF(Vertices[Betweenness Centrality],"&gt;= "&amp;J22)-COUNTIF(Vertices[Betweenness Centrality],"&gt;="&amp;J23)</f>
        <v>2</v>
      </c>
      <c r="L22" s="37">
        <f t="shared" si="5"/>
        <v>0.14545441176470586</v>
      </c>
      <c r="M22" s="38">
        <f>COUNTIF(Vertices[Closeness Centrality],"&gt;= "&amp;L22)-COUNTIF(Vertices[Closeness Centrality],"&gt;="&amp;L23)</f>
        <v>47</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158</v>
      </c>
      <c r="B23" s="34">
        <v>0.0015775734876858473</v>
      </c>
      <c r="D23" s="32">
        <f t="shared" si="1"/>
        <v>0</v>
      </c>
      <c r="E23" s="3">
        <f>COUNTIF(Vertices[Degree],"&gt;= "&amp;D23)-COUNTIF(Vertices[Degree],"&gt;="&amp;D24)</f>
        <v>0</v>
      </c>
      <c r="F23" s="39">
        <f t="shared" si="2"/>
        <v>8.647058823529415</v>
      </c>
      <c r="G23" s="40">
        <f>COUNTIF(Vertices[In-Degree],"&gt;= "&amp;F23)-COUNTIF(Vertices[In-Degree],"&gt;="&amp;F24)</f>
        <v>11</v>
      </c>
      <c r="H23" s="39">
        <f t="shared" si="3"/>
        <v>30.882352941176457</v>
      </c>
      <c r="I23" s="40">
        <f>COUNTIF(Vertices[Out-Degree],"&gt;= "&amp;H23)-COUNTIF(Vertices[Out-Degree],"&gt;="&amp;H24)</f>
        <v>1</v>
      </c>
      <c r="J23" s="39">
        <f t="shared" si="4"/>
        <v>86259.62109141174</v>
      </c>
      <c r="K23" s="40">
        <f>COUNTIF(Vertices[Betweenness Centrality],"&gt;= "&amp;J23)-COUNTIF(Vertices[Betweenness Centrality],"&gt;="&amp;J24)</f>
        <v>1</v>
      </c>
      <c r="L23" s="39">
        <f t="shared" si="5"/>
        <v>0.15237538235294115</v>
      </c>
      <c r="M23" s="40">
        <f>COUNTIF(Vertices[Closeness Centrality],"&gt;= "&amp;L23)-COUNTIF(Vertices[Closeness Centrality],"&gt;="&amp;L24)</f>
        <v>63</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2095</v>
      </c>
      <c r="B24" s="34" t="s">
        <v>2111</v>
      </c>
      <c r="D24" s="32">
        <f t="shared" si="1"/>
        <v>0</v>
      </c>
      <c r="E24" s="3">
        <f>COUNTIF(Vertices[Degree],"&gt;= "&amp;D24)-COUNTIF(Vertices[Degree],"&gt;="&amp;D25)</f>
        <v>0</v>
      </c>
      <c r="F24" s="37">
        <f t="shared" si="2"/>
        <v>9.058823529411768</v>
      </c>
      <c r="G24" s="38">
        <f>COUNTIF(Vertices[In-Degree],"&gt;= "&amp;F24)-COUNTIF(Vertices[In-Degree],"&gt;="&amp;F25)</f>
        <v>0</v>
      </c>
      <c r="H24" s="37">
        <f t="shared" si="3"/>
        <v>32.35294117647057</v>
      </c>
      <c r="I24" s="38">
        <f>COUNTIF(Vertices[Out-Degree],"&gt;= "&amp;H24)-COUNTIF(Vertices[Out-Degree],"&gt;="&amp;H25)</f>
        <v>0</v>
      </c>
      <c r="J24" s="37">
        <f t="shared" si="4"/>
        <v>90367.22209576468</v>
      </c>
      <c r="K24" s="38">
        <f>COUNTIF(Vertices[Betweenness Centrality],"&gt;= "&amp;J24)-COUNTIF(Vertices[Betweenness Centrality],"&gt;="&amp;J25)</f>
        <v>0</v>
      </c>
      <c r="L24" s="37">
        <f t="shared" si="5"/>
        <v>0.15929635294117644</v>
      </c>
      <c r="M24" s="38">
        <f>COUNTIF(Vertices[Closeness Centrality],"&gt;= "&amp;L24)-COUNTIF(Vertices[Closeness Centrality],"&gt;="&amp;L25)</f>
        <v>21</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08"/>
      <c r="B25" s="108"/>
      <c r="D25" s="32">
        <f t="shared" si="1"/>
        <v>0</v>
      </c>
      <c r="E25" s="3">
        <f>COUNTIF(Vertices[Degree],"&gt;= "&amp;D25)-COUNTIF(Vertices[Degree],"&gt;="&amp;D26)</f>
        <v>0</v>
      </c>
      <c r="F25" s="39">
        <f t="shared" si="2"/>
        <v>9.470588235294121</v>
      </c>
      <c r="G25" s="40">
        <f>COUNTIF(Vertices[In-Degree],"&gt;= "&amp;F25)-COUNTIF(Vertices[In-Degree],"&gt;="&amp;F26)</f>
        <v>0</v>
      </c>
      <c r="H25" s="39">
        <f t="shared" si="3"/>
        <v>33.82352941176469</v>
      </c>
      <c r="I25" s="40">
        <f>COUNTIF(Vertices[Out-Degree],"&gt;= "&amp;H25)-COUNTIF(Vertices[Out-Degree],"&gt;="&amp;H26)</f>
        <v>0</v>
      </c>
      <c r="J25" s="39">
        <f t="shared" si="4"/>
        <v>94474.82310011762</v>
      </c>
      <c r="K25" s="40">
        <f>COUNTIF(Vertices[Betweenness Centrality],"&gt;= "&amp;J25)-COUNTIF(Vertices[Betweenness Centrality],"&gt;="&amp;J26)</f>
        <v>1</v>
      </c>
      <c r="L25" s="39">
        <f t="shared" si="5"/>
        <v>0.16621732352941174</v>
      </c>
      <c r="M25" s="40">
        <f>COUNTIF(Vertices[Closeness Centrality],"&gt;= "&amp;L25)-COUNTIF(Vertices[Closeness Centrality],"&gt;="&amp;L26)</f>
        <v>130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2096</v>
      </c>
      <c r="B26" s="34" t="s">
        <v>2112</v>
      </c>
      <c r="D26" s="32">
        <f t="shared" si="1"/>
        <v>0</v>
      </c>
      <c r="E26" s="3">
        <f>COUNTIF(Vertices[Degree],"&gt;= "&amp;D26)-COUNTIF(Vertices[Degree],"&gt;="&amp;D27)</f>
        <v>0</v>
      </c>
      <c r="F26" s="37">
        <f t="shared" si="2"/>
        <v>9.882352941176475</v>
      </c>
      <c r="G26" s="38">
        <f>COUNTIF(Vertices[In-Degree],"&gt;= "&amp;F26)-COUNTIF(Vertices[In-Degree],"&gt;="&amp;F27)</f>
        <v>2</v>
      </c>
      <c r="H26" s="37">
        <f t="shared" si="3"/>
        <v>35.294117647058805</v>
      </c>
      <c r="I26" s="38">
        <f>COUNTIF(Vertices[Out-Degree],"&gt;= "&amp;H26)-COUNTIF(Vertices[Out-Degree],"&gt;="&amp;H27)</f>
        <v>0</v>
      </c>
      <c r="J26" s="37">
        <f t="shared" si="4"/>
        <v>98582.42410447056</v>
      </c>
      <c r="K26" s="38">
        <f>COUNTIF(Vertices[Betweenness Centrality],"&gt;= "&amp;J26)-COUNTIF(Vertices[Betweenness Centrality],"&gt;="&amp;J27)</f>
        <v>0</v>
      </c>
      <c r="L26" s="37">
        <f t="shared" si="5"/>
        <v>0.17313829411764703</v>
      </c>
      <c r="M26" s="38">
        <f>COUNTIF(Vertices[Closeness Centrality],"&gt;= "&amp;L26)-COUNTIF(Vertices[Closeness Centrality],"&gt;="&amp;L27)</f>
        <v>45</v>
      </c>
      <c r="N26" s="37">
        <f t="shared" si="6"/>
        <v>0</v>
      </c>
      <c r="O26" s="38">
        <f>COUNTIF(Vertices[Eigenvector Centrality],"&gt;= "&amp;N26)-COUNTIF(Vertices[Eigenvector Centrality],"&gt;="&amp;N27)</f>
        <v>0</v>
      </c>
      <c r="P26" s="37">
        <f t="shared" si="7"/>
        <v>0</v>
      </c>
      <c r="Q26" s="38">
        <f>COUNTIF(Vertices[PageRank],"&gt;= "&amp;P26)-COUNTIF(Vertices[PageRank],"&gt;="&amp;P27)</f>
        <v>0</v>
      </c>
      <c r="R26" s="37">
        <f t="shared" si="8"/>
        <v>0</v>
      </c>
      <c r="S26" s="43">
        <f>COUNTIF(Vertices[Clustering Coefficient],"&gt;= "&amp;R26)-COUNTIF(Vertices[Clustering Coefficient],"&gt;="&amp;R27)</f>
        <v>0</v>
      </c>
      <c r="T26" s="37" t="e">
        <f ca="1" t="shared" si="9"/>
        <v>#REF!</v>
      </c>
      <c r="U26" s="38" t="e">
        <f aca="true" t="shared" si="10" ref="U26:U35">COUNTIF(INDIRECT(DynamicFilterSourceColumnRange),"&gt;= "&amp;T26)-COUNTIF(INDIRECT(DynamicFilterSourceColumnRange),"&gt;="&amp;T27)</f>
        <v>#REF!</v>
      </c>
    </row>
    <row r="27" spans="1:21" ht="15">
      <c r="A27" s="108"/>
      <c r="B27" s="108"/>
      <c r="D27" s="32">
        <f t="shared" si="1"/>
        <v>0</v>
      </c>
      <c r="E27" s="3">
        <f>COUNTIF(Vertices[Degree],"&gt;= "&amp;D27)-COUNTIF(Vertices[Degree],"&gt;="&amp;D28)</f>
        <v>0</v>
      </c>
      <c r="F27" s="39">
        <f t="shared" si="2"/>
        <v>10.294117647058828</v>
      </c>
      <c r="G27" s="40">
        <f>COUNTIF(Vertices[In-Degree],"&gt;= "&amp;F27)-COUNTIF(Vertices[In-Degree],"&gt;="&amp;F28)</f>
        <v>0</v>
      </c>
      <c r="H27" s="39">
        <f t="shared" si="3"/>
        <v>36.76470588235292</v>
      </c>
      <c r="I27" s="40">
        <f>COUNTIF(Vertices[Out-Degree],"&gt;= "&amp;H27)-COUNTIF(Vertices[Out-Degree],"&gt;="&amp;H28)</f>
        <v>3</v>
      </c>
      <c r="J27" s="39">
        <f t="shared" si="4"/>
        <v>102690.0251088235</v>
      </c>
      <c r="K27" s="40">
        <f>COUNTIF(Vertices[Betweenness Centrality],"&gt;= "&amp;J27)-COUNTIF(Vertices[Betweenness Centrality],"&gt;="&amp;J28)</f>
        <v>1</v>
      </c>
      <c r="L27" s="39">
        <f t="shared" si="5"/>
        <v>0.18005926470588232</v>
      </c>
      <c r="M27" s="40">
        <f>COUNTIF(Vertices[Closeness Centrality],"&gt;= "&amp;L27)-COUNTIF(Vertices[Closeness Centrality],"&gt;="&amp;L28)</f>
        <v>155</v>
      </c>
      <c r="N27" s="39">
        <f t="shared" si="6"/>
        <v>0</v>
      </c>
      <c r="O27" s="40">
        <f>COUNTIF(Vertices[Eigenvector Centrality],"&gt;= "&amp;N27)-COUNTIF(Vertices[Eigenvector Centrality],"&gt;="&amp;N28)</f>
        <v>0</v>
      </c>
      <c r="P27" s="39">
        <f t="shared" si="7"/>
        <v>0</v>
      </c>
      <c r="Q27" s="40">
        <f>COUNTIF(Vertices[PageRank],"&gt;= "&amp;P27)-COUNTIF(Vertices[PageRank],"&gt;="&amp;P28)</f>
        <v>0</v>
      </c>
      <c r="R27" s="39">
        <f t="shared" si="8"/>
        <v>0</v>
      </c>
      <c r="S27" s="44">
        <f>COUNTIF(Vertices[Clustering Coefficient],"&gt;= "&amp;R27)-COUNTIF(Vertices[Clustering Coefficient],"&gt;="&amp;R28)</f>
        <v>0</v>
      </c>
      <c r="T27" s="39" t="e">
        <f ca="1" t="shared" si="9"/>
        <v>#REF!</v>
      </c>
      <c r="U27" s="40" t="e">
        <f ca="1" t="shared" si="10"/>
        <v>#REF!</v>
      </c>
    </row>
    <row r="28" spans="1:21" ht="15">
      <c r="A28" s="34" t="s">
        <v>2097</v>
      </c>
      <c r="B28" s="34" t="s">
        <v>4541</v>
      </c>
      <c r="D28" s="32">
        <f t="shared" si="1"/>
        <v>0</v>
      </c>
      <c r="E28" s="3">
        <f>COUNTIF(Vertices[Degree],"&gt;= "&amp;D28)-COUNTIF(Vertices[Degree],"&gt;="&amp;D29)</f>
        <v>0</v>
      </c>
      <c r="F28" s="37">
        <f t="shared" si="2"/>
        <v>10.705882352941181</v>
      </c>
      <c r="G28" s="38">
        <f>COUNTIF(Vertices[In-Degree],"&gt;= "&amp;F28)-COUNTIF(Vertices[In-Degree],"&gt;="&amp;F29)</f>
        <v>4</v>
      </c>
      <c r="H28" s="37">
        <f t="shared" si="3"/>
        <v>38.23529411764704</v>
      </c>
      <c r="I28" s="38">
        <f>COUNTIF(Vertices[Out-Degree],"&gt;= "&amp;H28)-COUNTIF(Vertices[Out-Degree],"&gt;="&amp;H29)</f>
        <v>0</v>
      </c>
      <c r="J28" s="37">
        <f t="shared" si="4"/>
        <v>106797.62611317643</v>
      </c>
      <c r="K28" s="38">
        <f>COUNTIF(Vertices[Betweenness Centrality],"&gt;= "&amp;J28)-COUNTIF(Vertices[Betweenness Centrality],"&gt;="&amp;J29)</f>
        <v>0</v>
      </c>
      <c r="L28" s="37">
        <f t="shared" si="5"/>
        <v>0.1869802352941176</v>
      </c>
      <c r="M28" s="38">
        <f>COUNTIF(Vertices[Closeness Centrality],"&gt;= "&amp;L28)-COUNTIF(Vertices[Closeness Centrality],"&gt;="&amp;L29)</f>
        <v>6</v>
      </c>
      <c r="N28" s="37">
        <f t="shared" si="6"/>
        <v>0</v>
      </c>
      <c r="O28" s="38">
        <f>COUNTIF(Vertices[Eigenvector Centrality],"&gt;= "&amp;N28)-COUNTIF(Vertices[Eigenvector Centrality],"&gt;="&amp;N29)</f>
        <v>0</v>
      </c>
      <c r="P28" s="37">
        <f t="shared" si="7"/>
        <v>0</v>
      </c>
      <c r="Q28" s="38">
        <f>COUNTIF(Vertices[PageRank],"&gt;= "&amp;P28)-COUNTIF(Vertices[PageRank],"&gt;="&amp;P29)</f>
        <v>0</v>
      </c>
      <c r="R28" s="37">
        <f t="shared" si="8"/>
        <v>0</v>
      </c>
      <c r="S28" s="43">
        <f>COUNTIF(Vertices[Clustering Coefficient],"&gt;= "&amp;R28)-COUNTIF(Vertices[Clustering Coefficient],"&gt;="&amp;R29)</f>
        <v>0</v>
      </c>
      <c r="T28" s="37" t="e">
        <f ca="1" t="shared" si="9"/>
        <v>#REF!</v>
      </c>
      <c r="U28" s="38" t="e">
        <f ca="1" t="shared" si="10"/>
        <v>#REF!</v>
      </c>
    </row>
    <row r="29" spans="1:21" ht="15">
      <c r="A29" s="34" t="s">
        <v>2098</v>
      </c>
      <c r="B29" s="34" t="s">
        <v>4542</v>
      </c>
      <c r="D29" s="32">
        <f t="shared" si="1"/>
        <v>0</v>
      </c>
      <c r="E29" s="3">
        <f>COUNTIF(Vertices[Degree],"&gt;= "&amp;D29)-COUNTIF(Vertices[Degree],"&gt;="&amp;D30)</f>
        <v>0</v>
      </c>
      <c r="F29" s="39">
        <f t="shared" si="2"/>
        <v>11.117647058823534</v>
      </c>
      <c r="G29" s="40">
        <f>COUNTIF(Vertices[In-Degree],"&gt;= "&amp;F29)-COUNTIF(Vertices[In-Degree],"&gt;="&amp;F30)</f>
        <v>0</v>
      </c>
      <c r="H29" s="39">
        <f t="shared" si="3"/>
        <v>39.70588235294115</v>
      </c>
      <c r="I29" s="40">
        <f>COUNTIF(Vertices[Out-Degree],"&gt;= "&amp;H29)-COUNTIF(Vertices[Out-Degree],"&gt;="&amp;H30)</f>
        <v>1</v>
      </c>
      <c r="J29" s="39">
        <f t="shared" si="4"/>
        <v>110905.22711752937</v>
      </c>
      <c r="K29" s="40">
        <f>COUNTIF(Vertices[Betweenness Centrality],"&gt;= "&amp;J29)-COUNTIF(Vertices[Betweenness Centrality],"&gt;="&amp;J30)</f>
        <v>0</v>
      </c>
      <c r="L29" s="39">
        <f t="shared" si="5"/>
        <v>0.1939012058823529</v>
      </c>
      <c r="M29" s="40">
        <f>COUNTIF(Vertices[Closeness Centrality],"&gt;= "&amp;L29)-COUNTIF(Vertices[Closeness Centrality],"&gt;="&amp;L30)</f>
        <v>10</v>
      </c>
      <c r="N29" s="39">
        <f t="shared" si="6"/>
        <v>0</v>
      </c>
      <c r="O29" s="40">
        <f>COUNTIF(Vertices[Eigenvector Centrality],"&gt;= "&amp;N29)-COUNTIF(Vertices[Eigenvector Centrality],"&gt;="&amp;N30)</f>
        <v>0</v>
      </c>
      <c r="P29" s="39">
        <f t="shared" si="7"/>
        <v>0</v>
      </c>
      <c r="Q29" s="40">
        <f>COUNTIF(Vertices[PageRank],"&gt;= "&amp;P29)-COUNTIF(Vertices[PageRank],"&gt;="&amp;P30)</f>
        <v>0</v>
      </c>
      <c r="R29" s="39">
        <f t="shared" si="8"/>
        <v>0</v>
      </c>
      <c r="S29" s="44">
        <f>COUNTIF(Vertices[Clustering Coefficient],"&gt;= "&amp;R29)-COUNTIF(Vertices[Clustering Coefficient],"&gt;="&amp;R30)</f>
        <v>0</v>
      </c>
      <c r="T29" s="39" t="e">
        <f ca="1" t="shared" si="9"/>
        <v>#REF!</v>
      </c>
      <c r="U29" s="40" t="e">
        <f ca="1" t="shared" si="10"/>
        <v>#REF!</v>
      </c>
    </row>
    <row r="30" spans="1:21" ht="15">
      <c r="A30" s="108"/>
      <c r="B30" s="108"/>
      <c r="D30" s="32">
        <f t="shared" si="1"/>
        <v>0</v>
      </c>
      <c r="E30" s="3">
        <f>COUNTIF(Vertices[Degree],"&gt;= "&amp;D30)-COUNTIF(Vertices[Degree],"&gt;="&amp;D31)</f>
        <v>0</v>
      </c>
      <c r="F30" s="37">
        <f t="shared" si="2"/>
        <v>11.529411764705888</v>
      </c>
      <c r="G30" s="38">
        <f>COUNTIF(Vertices[In-Degree],"&gt;= "&amp;F30)-COUNTIF(Vertices[In-Degree],"&gt;="&amp;F31)</f>
        <v>0</v>
      </c>
      <c r="H30" s="37">
        <f t="shared" si="3"/>
        <v>41.17647058823527</v>
      </c>
      <c r="I30" s="38">
        <f>COUNTIF(Vertices[Out-Degree],"&gt;= "&amp;H30)-COUNTIF(Vertices[Out-Degree],"&gt;="&amp;H31)</f>
        <v>0</v>
      </c>
      <c r="J30" s="37">
        <f t="shared" si="4"/>
        <v>115012.82812188231</v>
      </c>
      <c r="K30" s="38">
        <f>COUNTIF(Vertices[Betweenness Centrality],"&gt;= "&amp;J30)-COUNTIF(Vertices[Betweenness Centrality],"&gt;="&amp;J31)</f>
        <v>1</v>
      </c>
      <c r="L30" s="37">
        <f t="shared" si="5"/>
        <v>0.2008221764705882</v>
      </c>
      <c r="M30" s="38">
        <f>COUNTIF(Vertices[Closeness Centrality],"&gt;= "&amp;L30)-COUNTIF(Vertices[Closeness Centrality],"&gt;="&amp;L31)</f>
        <v>3</v>
      </c>
      <c r="N30" s="37">
        <f t="shared" si="6"/>
        <v>0</v>
      </c>
      <c r="O30" s="38">
        <f>COUNTIF(Vertices[Eigenvector Centrality],"&gt;= "&amp;N30)-COUNTIF(Vertices[Eigenvector Centrality],"&gt;="&amp;N31)</f>
        <v>0</v>
      </c>
      <c r="P30" s="37">
        <f t="shared" si="7"/>
        <v>0</v>
      </c>
      <c r="Q30" s="38">
        <f>COUNTIF(Vertices[PageRank],"&gt;= "&amp;P30)-COUNTIF(Vertices[PageRank],"&gt;="&amp;P31)</f>
        <v>0</v>
      </c>
      <c r="R30" s="37">
        <f t="shared" si="8"/>
        <v>0</v>
      </c>
      <c r="S30" s="43">
        <f>COUNTIF(Vertices[Clustering Coefficient],"&gt;= "&amp;R30)-COUNTIF(Vertices[Clustering Coefficient],"&gt;="&amp;R31)</f>
        <v>0</v>
      </c>
      <c r="T30" s="37" t="e">
        <f ca="1" t="shared" si="9"/>
        <v>#REF!</v>
      </c>
      <c r="U30" s="38" t="e">
        <f ca="1" t="shared" si="10"/>
        <v>#REF!</v>
      </c>
    </row>
    <row r="31" spans="1:21" ht="15">
      <c r="A31" s="34" t="s">
        <v>2099</v>
      </c>
      <c r="B31" s="34" t="s">
        <v>4518</v>
      </c>
      <c r="D31" s="32">
        <f t="shared" si="1"/>
        <v>0</v>
      </c>
      <c r="E31" s="3">
        <f>COUNTIF(Vertices[Degree],"&gt;= "&amp;D31)-COUNTIF(Vertices[Degree],"&gt;="&amp;D32)</f>
        <v>0</v>
      </c>
      <c r="F31" s="39">
        <f t="shared" si="2"/>
        <v>11.94117647058824</v>
      </c>
      <c r="G31" s="40">
        <f>COUNTIF(Vertices[In-Degree],"&gt;= "&amp;F31)-COUNTIF(Vertices[In-Degree],"&gt;="&amp;F32)</f>
        <v>0</v>
      </c>
      <c r="H31" s="39">
        <f t="shared" si="3"/>
        <v>42.647058823529385</v>
      </c>
      <c r="I31" s="40">
        <f>COUNTIF(Vertices[Out-Degree],"&gt;= "&amp;H31)-COUNTIF(Vertices[Out-Degree],"&gt;="&amp;H32)</f>
        <v>0</v>
      </c>
      <c r="J31" s="39">
        <f t="shared" si="4"/>
        <v>119120.42912623525</v>
      </c>
      <c r="K31" s="40">
        <f>COUNTIF(Vertices[Betweenness Centrality],"&gt;= "&amp;J31)-COUNTIF(Vertices[Betweenness Centrality],"&gt;="&amp;J32)</f>
        <v>0</v>
      </c>
      <c r="L31" s="39">
        <f t="shared" si="5"/>
        <v>0.2077431470588235</v>
      </c>
      <c r="M31" s="40">
        <f>COUNTIF(Vertices[Closeness Centrality],"&gt;= "&amp;L31)-COUNTIF(Vertices[Closeness Centrality],"&gt;="&amp;L32)</f>
        <v>2</v>
      </c>
      <c r="N31" s="39">
        <f t="shared" si="6"/>
        <v>0</v>
      </c>
      <c r="O31" s="40">
        <f>COUNTIF(Vertices[Eigenvector Centrality],"&gt;= "&amp;N31)-COUNTIF(Vertices[Eigenvector Centrality],"&gt;="&amp;N32)</f>
        <v>0</v>
      </c>
      <c r="P31" s="39">
        <f t="shared" si="7"/>
        <v>0</v>
      </c>
      <c r="Q31" s="40">
        <f>COUNTIF(Vertices[PageRank],"&gt;= "&amp;P31)-COUNTIF(Vertices[PageRank],"&gt;="&amp;P32)</f>
        <v>0</v>
      </c>
      <c r="R31" s="39">
        <f t="shared" si="8"/>
        <v>0</v>
      </c>
      <c r="S31" s="44">
        <f>COUNTIF(Vertices[Clustering Coefficient],"&gt;= "&amp;R31)-COUNTIF(Vertices[Clustering Coefficient],"&gt;="&amp;R32)</f>
        <v>0</v>
      </c>
      <c r="T31" s="39" t="e">
        <f ca="1" t="shared" si="9"/>
        <v>#REF!</v>
      </c>
      <c r="U31" s="40" t="e">
        <f ca="1" t="shared" si="10"/>
        <v>#REF!</v>
      </c>
    </row>
    <row r="32" spans="1:21" ht="15">
      <c r="A32" s="34" t="s">
        <v>2100</v>
      </c>
      <c r="B32" s="34" t="s">
        <v>4519</v>
      </c>
      <c r="D32" s="32">
        <f t="shared" si="1"/>
        <v>0</v>
      </c>
      <c r="E32" s="3">
        <f>COUNTIF(Vertices[Degree],"&gt;= "&amp;D32)-COUNTIF(Vertices[Degree],"&gt;="&amp;D33)</f>
        <v>0</v>
      </c>
      <c r="F32" s="37">
        <f t="shared" si="2"/>
        <v>12.352941176470594</v>
      </c>
      <c r="G32" s="38">
        <f>COUNTIF(Vertices[In-Degree],"&gt;= "&amp;F32)-COUNTIF(Vertices[In-Degree],"&gt;="&amp;F33)</f>
        <v>0</v>
      </c>
      <c r="H32" s="37">
        <f t="shared" si="3"/>
        <v>44.1176470588235</v>
      </c>
      <c r="I32" s="38">
        <f>COUNTIF(Vertices[Out-Degree],"&gt;= "&amp;H32)-COUNTIF(Vertices[Out-Degree],"&gt;="&amp;H33)</f>
        <v>0</v>
      </c>
      <c r="J32" s="37">
        <f t="shared" si="4"/>
        <v>123228.03013058819</v>
      </c>
      <c r="K32" s="38">
        <f>COUNTIF(Vertices[Betweenness Centrality],"&gt;= "&amp;J32)-COUNTIF(Vertices[Betweenness Centrality],"&gt;="&amp;J33)</f>
        <v>0</v>
      </c>
      <c r="L32" s="37">
        <f t="shared" si="5"/>
        <v>0.21466411764705878</v>
      </c>
      <c r="M32" s="38">
        <f>COUNTIF(Vertices[Closeness Centrality],"&gt;= "&amp;L32)-COUNTIF(Vertices[Closeness Centrality],"&gt;="&amp;L33)</f>
        <v>3</v>
      </c>
      <c r="N32" s="37">
        <f t="shared" si="6"/>
        <v>0</v>
      </c>
      <c r="O32" s="38">
        <f>COUNTIF(Vertices[Eigenvector Centrality],"&gt;= "&amp;N32)-COUNTIF(Vertices[Eigenvector Centrality],"&gt;="&amp;N33)</f>
        <v>0</v>
      </c>
      <c r="P32" s="37">
        <f t="shared" si="7"/>
        <v>0</v>
      </c>
      <c r="Q32" s="38">
        <f>COUNTIF(Vertices[PageRank],"&gt;= "&amp;P32)-COUNTIF(Vertices[PageRank],"&gt;="&amp;P33)</f>
        <v>0</v>
      </c>
      <c r="R32" s="37">
        <f t="shared" si="8"/>
        <v>0</v>
      </c>
      <c r="S32" s="43">
        <f>COUNTIF(Vertices[Clustering Coefficient],"&gt;= "&amp;R32)-COUNTIF(Vertices[Clustering Coefficient],"&gt;="&amp;R33)</f>
        <v>0</v>
      </c>
      <c r="T32" s="37" t="e">
        <f ca="1" t="shared" si="9"/>
        <v>#REF!</v>
      </c>
      <c r="U32" s="38" t="e">
        <f ca="1" t="shared" si="10"/>
        <v>#REF!</v>
      </c>
    </row>
    <row r="33" spans="1:21" ht="409.5">
      <c r="A33" s="34" t="s">
        <v>2101</v>
      </c>
      <c r="B33" s="53" t="s">
        <v>4520</v>
      </c>
      <c r="D33" s="32">
        <f t="shared" si="1"/>
        <v>0</v>
      </c>
      <c r="E33" s="3">
        <f>COUNTIF(Vertices[Degree],"&gt;= "&amp;D33)-COUNTIF(Vertices[Degree],"&gt;="&amp;D34)</f>
        <v>0</v>
      </c>
      <c r="F33" s="39">
        <f t="shared" si="2"/>
        <v>12.764705882352947</v>
      </c>
      <c r="G33" s="40">
        <f>COUNTIF(Vertices[In-Degree],"&gt;= "&amp;F33)-COUNTIF(Vertices[In-Degree],"&gt;="&amp;F34)</f>
        <v>0</v>
      </c>
      <c r="H33" s="39">
        <f t="shared" si="3"/>
        <v>45.58823529411762</v>
      </c>
      <c r="I33" s="40">
        <f>COUNTIF(Vertices[Out-Degree],"&gt;= "&amp;H33)-COUNTIF(Vertices[Out-Degree],"&gt;="&amp;H34)</f>
        <v>1</v>
      </c>
      <c r="J33" s="39">
        <f t="shared" si="4"/>
        <v>127335.63113494113</v>
      </c>
      <c r="K33" s="40">
        <f>COUNTIF(Vertices[Betweenness Centrality],"&gt;= "&amp;J33)-COUNTIF(Vertices[Betweenness Centrality],"&gt;="&amp;J34)</f>
        <v>0</v>
      </c>
      <c r="L33" s="39">
        <f t="shared" si="5"/>
        <v>0.22158508823529408</v>
      </c>
      <c r="M33" s="40">
        <f>COUNTIF(Vertices[Closeness Centrality],"&gt;= "&amp;L33)-COUNTIF(Vertices[Closeness Centrality],"&gt;="&amp;L34)</f>
        <v>0</v>
      </c>
      <c r="N33" s="39">
        <f t="shared" si="6"/>
        <v>0</v>
      </c>
      <c r="O33" s="40">
        <f>COUNTIF(Vertices[Eigenvector Centrality],"&gt;= "&amp;N33)-COUNTIF(Vertices[Eigenvector Centrality],"&gt;="&amp;N34)</f>
        <v>0</v>
      </c>
      <c r="P33" s="39">
        <f t="shared" si="7"/>
        <v>0</v>
      </c>
      <c r="Q33" s="40">
        <f>COUNTIF(Vertices[PageRank],"&gt;= "&amp;P33)-COUNTIF(Vertices[PageRank],"&gt;="&amp;P34)</f>
        <v>0</v>
      </c>
      <c r="R33" s="39">
        <f t="shared" si="8"/>
        <v>0</v>
      </c>
      <c r="S33" s="44">
        <f>COUNTIF(Vertices[Clustering Coefficient],"&gt;= "&amp;R33)-COUNTIF(Vertices[Clustering Coefficient],"&gt;="&amp;R34)</f>
        <v>0</v>
      </c>
      <c r="T33" s="39" t="e">
        <f ca="1" t="shared" si="9"/>
        <v>#REF!</v>
      </c>
      <c r="U33" s="40" t="e">
        <f ca="1" t="shared" si="10"/>
        <v>#REF!</v>
      </c>
    </row>
    <row r="34" spans="1:21" ht="15">
      <c r="A34" s="34" t="s">
        <v>2102</v>
      </c>
      <c r="B34" s="34" t="s">
        <v>4521</v>
      </c>
      <c r="D34" s="32">
        <f t="shared" si="1"/>
        <v>0</v>
      </c>
      <c r="E34" s="3">
        <f>COUNTIF(Vertices[Degree],"&gt;= "&amp;D34)-COUNTIF(Vertices[Degree],"&gt;="&amp;D35)</f>
        <v>0</v>
      </c>
      <c r="F34" s="37">
        <f t="shared" si="2"/>
        <v>13.1764705882353</v>
      </c>
      <c r="G34" s="38">
        <f>COUNTIF(Vertices[In-Degree],"&gt;= "&amp;F34)-COUNTIF(Vertices[In-Degree],"&gt;="&amp;F35)</f>
        <v>0</v>
      </c>
      <c r="H34" s="37">
        <f t="shared" si="3"/>
        <v>47.05882352941173</v>
      </c>
      <c r="I34" s="38">
        <f>COUNTIF(Vertices[Out-Degree],"&gt;= "&amp;H34)-COUNTIF(Vertices[Out-Degree],"&gt;="&amp;H35)</f>
        <v>0</v>
      </c>
      <c r="J34" s="37">
        <f t="shared" si="4"/>
        <v>131443.23213929406</v>
      </c>
      <c r="K34" s="38">
        <f>COUNTIF(Vertices[Betweenness Centrality],"&gt;= "&amp;J34)-COUNTIF(Vertices[Betweenness Centrality],"&gt;="&amp;J35)</f>
        <v>0</v>
      </c>
      <c r="L34" s="37">
        <f t="shared" si="5"/>
        <v>0.22850605882352937</v>
      </c>
      <c r="M34" s="38">
        <f>COUNTIF(Vertices[Closeness Centrality],"&gt;= "&amp;L34)-COUNTIF(Vertices[Closeness Centrality],"&gt;="&amp;L35)</f>
        <v>2</v>
      </c>
      <c r="N34" s="37">
        <f t="shared" si="6"/>
        <v>0</v>
      </c>
      <c r="O34" s="38">
        <f>COUNTIF(Vertices[Eigenvector Centrality],"&gt;= "&amp;N34)-COUNTIF(Vertices[Eigenvector Centrality],"&gt;="&amp;N35)</f>
        <v>0</v>
      </c>
      <c r="P34" s="37">
        <f t="shared" si="7"/>
        <v>0</v>
      </c>
      <c r="Q34" s="38">
        <f>COUNTIF(Vertices[PageRank],"&gt;= "&amp;P34)-COUNTIF(Vertices[PageRank],"&gt;="&amp;P35)</f>
        <v>0</v>
      </c>
      <c r="R34" s="37">
        <f t="shared" si="8"/>
        <v>0</v>
      </c>
      <c r="S34" s="43">
        <f>COUNTIF(Vertices[Clustering Coefficient],"&gt;= "&amp;R34)-COUNTIF(Vertices[Clustering Coefficient],"&gt;="&amp;R35)</f>
        <v>0</v>
      </c>
      <c r="T34" s="37" t="e">
        <f ca="1" t="shared" si="9"/>
        <v>#REF!</v>
      </c>
      <c r="U34" s="38" t="e">
        <f ca="1" t="shared" si="10"/>
        <v>#REF!</v>
      </c>
    </row>
    <row r="35" spans="1:21" ht="15">
      <c r="A35" s="34" t="s">
        <v>2103</v>
      </c>
      <c r="B35" s="34" t="s">
        <v>4522</v>
      </c>
      <c r="D35" s="32">
        <f t="shared" si="1"/>
        <v>0</v>
      </c>
      <c r="E35" s="3">
        <f>COUNTIF(Vertices[Degree],"&gt;= "&amp;D35)-COUNTIF(Vertices[Degree],"&gt;="&amp;D36)</f>
        <v>0</v>
      </c>
      <c r="F35" s="39">
        <f t="shared" si="2"/>
        <v>13.588235294117654</v>
      </c>
      <c r="G35" s="40">
        <f>COUNTIF(Vertices[In-Degree],"&gt;= "&amp;F35)-COUNTIF(Vertices[In-Degree],"&gt;="&amp;F36)</f>
        <v>0</v>
      </c>
      <c r="H35" s="39">
        <f t="shared" si="3"/>
        <v>48.52941176470585</v>
      </c>
      <c r="I35" s="40">
        <f>COUNTIF(Vertices[Out-Degree],"&gt;= "&amp;H35)-COUNTIF(Vertices[Out-Degree],"&gt;="&amp;H36)</f>
        <v>0</v>
      </c>
      <c r="J35" s="39">
        <f t="shared" si="4"/>
        <v>135550.833143647</v>
      </c>
      <c r="K35" s="40">
        <f>COUNTIF(Vertices[Betweenness Centrality],"&gt;= "&amp;J35)-COUNTIF(Vertices[Betweenness Centrality],"&gt;="&amp;J36)</f>
        <v>0</v>
      </c>
      <c r="L35" s="39">
        <f t="shared" si="5"/>
        <v>0.23542702941176466</v>
      </c>
      <c r="M35" s="40">
        <f>COUNTIF(Vertices[Closeness Centrality],"&gt;= "&amp;L35)-COUNTIF(Vertices[Closeness Centrality],"&gt;="&amp;L36)</f>
        <v>3</v>
      </c>
      <c r="N35" s="39">
        <f t="shared" si="6"/>
        <v>0</v>
      </c>
      <c r="O35" s="40">
        <f>COUNTIF(Vertices[Eigenvector Centrality],"&gt;= "&amp;N35)-COUNTIF(Vertices[Eigenvector Centrality],"&gt;="&amp;N36)</f>
        <v>0</v>
      </c>
      <c r="P35" s="39">
        <f t="shared" si="7"/>
        <v>0</v>
      </c>
      <c r="Q35" s="40">
        <f>COUNTIF(Vertices[PageRank],"&gt;= "&amp;P35)-COUNTIF(Vertices[PageRank],"&gt;="&amp;P36)</f>
        <v>0</v>
      </c>
      <c r="R35" s="39">
        <f t="shared" si="8"/>
        <v>0</v>
      </c>
      <c r="S35" s="44">
        <f>COUNTIF(Vertices[Clustering Coefficient],"&gt;= "&amp;R35)-COUNTIF(Vertices[Clustering Coefficient],"&gt;="&amp;R36)</f>
        <v>0</v>
      </c>
      <c r="T35" s="39" t="e">
        <f ca="1" t="shared" si="9"/>
        <v>#REF!</v>
      </c>
      <c r="U35" s="40" t="e">
        <f ca="1" t="shared" si="10"/>
        <v>#REF!</v>
      </c>
    </row>
    <row r="36" spans="1:21" ht="15">
      <c r="A36" s="34" t="s">
        <v>2104</v>
      </c>
      <c r="B36" s="34" t="s">
        <v>2093</v>
      </c>
      <c r="D36" s="32">
        <f>MAX(Vertices[Degree])</f>
        <v>0</v>
      </c>
      <c r="E36" s="3">
        <f>COUNTIF(Vertices[Degree],"&gt;= "&amp;D36)-COUNTIF(Vertices[Degree],"&gt;="&amp;#REF!)</f>
        <v>0</v>
      </c>
      <c r="F36" s="41">
        <f>MAX(Vertices[In-Degree])</f>
        <v>14</v>
      </c>
      <c r="G36" s="42">
        <f>COUNTIF(Vertices[In-Degree],"&gt;= "&amp;F36)-COUNTIF(Vertices[In-Degree],"&gt;="&amp;#REF!)</f>
        <v>9</v>
      </c>
      <c r="H36" s="41">
        <f>MAX(Vertices[Out-Degree])</f>
        <v>50</v>
      </c>
      <c r="I36" s="42">
        <f>COUNTIF(Vertices[Out-Degree],"&gt;= "&amp;H36)-COUNTIF(Vertices[Out-Degree],"&gt;="&amp;#REF!)</f>
        <v>7</v>
      </c>
      <c r="J36" s="41">
        <f>MAX(Vertices[Betweenness Centrality])</f>
        <v>139658.434148</v>
      </c>
      <c r="K36" s="42">
        <f>COUNTIF(Vertices[Betweenness Centrality],"&gt;= "&amp;J36)-COUNTIF(Vertices[Betweenness Centrality],"&gt;="&amp;#REF!)</f>
        <v>1</v>
      </c>
      <c r="L36" s="41">
        <f>MAX(Vertices[Closeness Centrality])</f>
        <v>0.242348</v>
      </c>
      <c r="M36" s="42">
        <f>COUNTIF(Vertices[Closeness Centrality],"&gt;= "&amp;L36)-COUNTIF(Vertices[Closeness Centrality],"&gt;="&amp;#REF!)</f>
        <v>1</v>
      </c>
      <c r="N36" s="41">
        <f>MAX(Vertices[Eigenvector Centrality])</f>
        <v>0</v>
      </c>
      <c r="O36" s="42">
        <f>COUNTIF(Vertices[Eigenvector Centrality],"&gt;= "&amp;N36)-COUNTIF(Vertices[Eigenvector Centrality],"&gt;="&amp;#REF!)</f>
        <v>0</v>
      </c>
      <c r="P36" s="41">
        <f>MAX(Vertices[PageRank])</f>
        <v>0</v>
      </c>
      <c r="Q36" s="42">
        <f>COUNTIF(Vertices[PageRank],"&gt;= "&amp;P36)-COUNTIF(Vertices[PageRank],"&gt;="&amp;#REF!)</f>
        <v>0</v>
      </c>
      <c r="R36" s="41">
        <f>MAX(Vertices[Clustering Coefficient])</f>
        <v>0</v>
      </c>
      <c r="S36" s="45">
        <f>COUNTIF(Vertices[Clustering Coefficient],"&gt;= "&amp;R36)-COUNTIF(Vertices[Clustering Coefficient],"&gt;="&amp;#REF!)</f>
        <v>0</v>
      </c>
      <c r="T36" s="41" t="e">
        <f ca="1">MAX(INDIRECT(DynamicFilterSourceColumnRange))</f>
        <v>#REF!</v>
      </c>
      <c r="U36" s="42" t="e">
        <f ca="1">COUNTIF(INDIRECT(DynamicFilterSourceColumnRange),"&gt;= "&amp;T36)-COUNTIF(INDIRECT(DynamicFilterSourceColumnRange),"&gt;="&amp;#REF!)</f>
        <v>#REF!</v>
      </c>
    </row>
    <row r="37" spans="1:2" ht="15">
      <c r="A37" s="34" t="s">
        <v>2105</v>
      </c>
      <c r="B37" s="34" t="s">
        <v>165</v>
      </c>
    </row>
    <row r="38" spans="1:2" ht="15">
      <c r="A38" s="34" t="s">
        <v>2106</v>
      </c>
      <c r="B38" s="34" t="s">
        <v>2093</v>
      </c>
    </row>
    <row r="39" spans="1:2" ht="15">
      <c r="A39" s="34" t="s">
        <v>2107</v>
      </c>
      <c r="B39" s="34" t="s">
        <v>32</v>
      </c>
    </row>
    <row r="40" spans="1:2" ht="15">
      <c r="A40" s="34" t="s">
        <v>21</v>
      </c>
      <c r="B40" s="34"/>
    </row>
    <row r="41" spans="1:2" ht="15">
      <c r="A41" s="34" t="s">
        <v>2108</v>
      </c>
      <c r="B41" s="34" t="s">
        <v>33</v>
      </c>
    </row>
    <row r="42" spans="1:2" ht="15">
      <c r="A42" s="34" t="s">
        <v>2109</v>
      </c>
      <c r="B42" s="34"/>
    </row>
    <row r="43" spans="1:2" ht="15">
      <c r="A43" s="34" t="s">
        <v>2110</v>
      </c>
      <c r="B43" s="34"/>
    </row>
    <row r="60" spans="1:2" ht="15">
      <c r="A60" t="s">
        <v>163</v>
      </c>
      <c r="B60" t="s">
        <v>17</v>
      </c>
    </row>
    <row r="61" spans="1:2" ht="15">
      <c r="A61" s="33"/>
      <c r="B61" s="33"/>
    </row>
    <row r="74" spans="1:2" ht="15">
      <c r="A74" s="33" t="s">
        <v>81</v>
      </c>
      <c r="B74" s="46" t="str">
        <f>IF(COUNT(Vertices[Degree])&gt;0,D2,NoMetricMessage)</f>
        <v>Not Available</v>
      </c>
    </row>
    <row r="75" spans="1:2" ht="15">
      <c r="A75" s="33" t="s">
        <v>82</v>
      </c>
      <c r="B75" s="46" t="str">
        <f>IF(COUNT(Vertices[Degree])&gt;0,D36,NoMetricMessage)</f>
        <v>Not Available</v>
      </c>
    </row>
    <row r="76" spans="1:2" ht="15">
      <c r="A76" s="33" t="s">
        <v>83</v>
      </c>
      <c r="B76" s="47" t="str">
        <f>_xlfn.IFERROR(AVERAGE(Vertices[Degree]),NoMetricMessage)</f>
        <v>Not Available</v>
      </c>
    </row>
    <row r="77" spans="1:2" ht="15">
      <c r="A77" s="33" t="s">
        <v>84</v>
      </c>
      <c r="B77" s="47" t="str">
        <f>_xlfn.IFERROR(MEDIAN(Vertices[Degree]),NoMetricMessage)</f>
        <v>Not Available</v>
      </c>
    </row>
    <row r="88" spans="1:2" ht="15">
      <c r="A88" s="33" t="s">
        <v>88</v>
      </c>
      <c r="B88" s="46">
        <f>IF(COUNT(Vertices[In-Degree])&gt;0,F2,NoMetricMessage)</f>
        <v>0</v>
      </c>
    </row>
    <row r="89" spans="1:2" ht="15">
      <c r="A89" s="33" t="s">
        <v>89</v>
      </c>
      <c r="B89" s="46">
        <f>IF(COUNT(Vertices[In-Degree])&gt;0,F36,NoMetricMessage)</f>
        <v>14</v>
      </c>
    </row>
    <row r="90" spans="1:2" ht="15">
      <c r="A90" s="33" t="s">
        <v>90</v>
      </c>
      <c r="B90" s="47">
        <f>_xlfn.IFERROR(AVERAGE(Vertices[In-Degree]),NoMetricMessage)</f>
        <v>1.404040404040404</v>
      </c>
    </row>
    <row r="91" spans="1:2" ht="15">
      <c r="A91" s="33" t="s">
        <v>91</v>
      </c>
      <c r="B91" s="47">
        <f>_xlfn.IFERROR(MEDIAN(Vertices[In-Degree]),NoMetricMessage)</f>
        <v>1</v>
      </c>
    </row>
    <row r="102" spans="1:2" ht="15">
      <c r="A102" s="33" t="s">
        <v>94</v>
      </c>
      <c r="B102" s="46">
        <f>IF(COUNT(Vertices[Out-Degree])&gt;0,H2,NoMetricMessage)</f>
        <v>0</v>
      </c>
    </row>
    <row r="103" spans="1:2" ht="15">
      <c r="A103" s="33" t="s">
        <v>95</v>
      </c>
      <c r="B103" s="46">
        <f>IF(COUNT(Vertices[Out-Degree])&gt;0,H36,NoMetricMessage)</f>
        <v>50</v>
      </c>
    </row>
    <row r="104" spans="1:2" ht="15">
      <c r="A104" s="33" t="s">
        <v>96</v>
      </c>
      <c r="B104" s="47">
        <f>_xlfn.IFERROR(AVERAGE(Vertices[Out-Degree]),NoMetricMessage)</f>
        <v>1.404040404040404</v>
      </c>
    </row>
    <row r="105" spans="1:2" ht="15">
      <c r="A105" s="33" t="s">
        <v>97</v>
      </c>
      <c r="B105" s="47">
        <f>_xlfn.IFERROR(MEDIAN(Vertices[Out-Degree]),NoMetricMessage)</f>
        <v>0</v>
      </c>
    </row>
    <row r="116" spans="1:2" ht="15">
      <c r="A116" s="33" t="s">
        <v>100</v>
      </c>
      <c r="B116" s="47">
        <f>IF(COUNT(Vertices[Betweenness Centrality])&gt;0,J2,NoMetricMessage)</f>
        <v>0</v>
      </c>
    </row>
    <row r="117" spans="1:2" ht="15">
      <c r="A117" s="33" t="s">
        <v>101</v>
      </c>
      <c r="B117" s="47">
        <f>IF(COUNT(Vertices[Betweenness Centrality])&gt;0,J36,NoMetricMessage)</f>
        <v>139658.434148</v>
      </c>
    </row>
    <row r="118" spans="1:2" ht="15">
      <c r="A118" s="33" t="s">
        <v>102</v>
      </c>
      <c r="B118" s="47">
        <f>_xlfn.IFERROR(AVERAGE(Vertices[Betweenness Centrality]),NoMetricMessage)</f>
        <v>2214.390572381591</v>
      </c>
    </row>
    <row r="119" spans="1:2" ht="15">
      <c r="A119" s="33" t="s">
        <v>103</v>
      </c>
      <c r="B119" s="47">
        <f>_xlfn.IFERROR(MEDIAN(Vertices[Betweenness Centrality]),NoMetricMessage)</f>
        <v>0</v>
      </c>
    </row>
    <row r="130" spans="1:2" ht="15">
      <c r="A130" s="33" t="s">
        <v>106</v>
      </c>
      <c r="B130" s="47">
        <f>IF(COUNT(Vertices[Closeness Centrality])&gt;0,L2,NoMetricMessage)</f>
        <v>0.007035</v>
      </c>
    </row>
    <row r="131" spans="1:2" ht="15">
      <c r="A131" s="33" t="s">
        <v>107</v>
      </c>
      <c r="B131" s="47">
        <f>IF(COUNT(Vertices[Closeness Centrality])&gt;0,L36,NoMetricMessage)</f>
        <v>0.242348</v>
      </c>
    </row>
    <row r="132" spans="1:2" ht="15">
      <c r="A132" s="33" t="s">
        <v>108</v>
      </c>
      <c r="B132" s="47">
        <f>_xlfn.IFERROR(AVERAGE(Vertices[Closeness Centrality]),NoMetricMessage)</f>
        <v>0.12672701122334504</v>
      </c>
    </row>
    <row r="133" spans="1:2" ht="15">
      <c r="A133" s="33" t="s">
        <v>109</v>
      </c>
      <c r="B133" s="47">
        <f>_xlfn.IFERROR(MEDIAN(Vertices[Closeness Centrality]),NoMetricMessage)</f>
        <v>0.152055</v>
      </c>
    </row>
    <row r="144" spans="1:2" ht="15">
      <c r="A144" s="33" t="s">
        <v>112</v>
      </c>
      <c r="B144" s="47" t="str">
        <f>IF(COUNT(Vertices[Eigenvector Centrality])&gt;0,N2,NoMetricMessage)</f>
        <v>Not Available</v>
      </c>
    </row>
    <row r="145" spans="1:2" ht="15">
      <c r="A145" s="33" t="s">
        <v>113</v>
      </c>
      <c r="B145" s="47" t="str">
        <f>IF(COUNT(Vertices[Eigenvector Centrality])&gt;0,N36,NoMetricMessage)</f>
        <v>Not Available</v>
      </c>
    </row>
    <row r="146" spans="1:2" ht="15">
      <c r="A146" s="33" t="s">
        <v>114</v>
      </c>
      <c r="B146" s="47" t="str">
        <f>_xlfn.IFERROR(AVERAGE(Vertices[Eigenvector Centrality]),NoMetricMessage)</f>
        <v>Not Available</v>
      </c>
    </row>
    <row r="147" spans="1:2" ht="15">
      <c r="A147" s="33" t="s">
        <v>115</v>
      </c>
      <c r="B147" s="47" t="str">
        <f>_xlfn.IFERROR(MEDIAN(Vertices[Eigenvector Centrality]),NoMetricMessage)</f>
        <v>Not Available</v>
      </c>
    </row>
    <row r="158" spans="1:2" ht="15">
      <c r="A158" s="33" t="s">
        <v>140</v>
      </c>
      <c r="B158" s="47" t="str">
        <f>IF(COUNT(Vertices[PageRank])&gt;0,P2,NoMetricMessage)</f>
        <v>Not Available</v>
      </c>
    </row>
    <row r="159" spans="1:2" ht="15">
      <c r="A159" s="33" t="s">
        <v>141</v>
      </c>
      <c r="B159" s="47" t="str">
        <f>IF(COUNT(Vertices[PageRank])&gt;0,P36,NoMetricMessage)</f>
        <v>Not Available</v>
      </c>
    </row>
    <row r="160" spans="1:2" ht="15">
      <c r="A160" s="33" t="s">
        <v>142</v>
      </c>
      <c r="B160" s="47" t="str">
        <f>_xlfn.IFERROR(AVERAGE(Vertices[PageRank]),NoMetricMessage)</f>
        <v>Not Available</v>
      </c>
    </row>
    <row r="161" spans="1:2" ht="15">
      <c r="A161" s="33" t="s">
        <v>143</v>
      </c>
      <c r="B161" s="47" t="str">
        <f>_xlfn.IFERROR(MEDIAN(Vertices[PageRank]),NoMetricMessage)</f>
        <v>Not Available</v>
      </c>
    </row>
    <row r="172" spans="1:2" ht="15">
      <c r="A172" s="33" t="s">
        <v>118</v>
      </c>
      <c r="B172" s="47" t="str">
        <f>IF(COUNT(Vertices[Clustering Coefficient])&gt;0,R2,NoMetricMessage)</f>
        <v>Not Available</v>
      </c>
    </row>
    <row r="173" spans="1:2" ht="15">
      <c r="A173" s="33" t="s">
        <v>119</v>
      </c>
      <c r="B173" s="47" t="str">
        <f>IF(COUNT(Vertices[Clustering Coefficient])&gt;0,R36,NoMetricMessage)</f>
        <v>Not Available</v>
      </c>
    </row>
    <row r="174" spans="1:2" ht="15">
      <c r="A174" s="33" t="s">
        <v>120</v>
      </c>
      <c r="B174" s="47" t="str">
        <f>_xlfn.IFERROR(AVERAGE(Vertices[Clustering Coefficient]),NoMetricMessage)</f>
        <v>Not Available</v>
      </c>
    </row>
    <row r="175" spans="1:2" ht="15">
      <c r="A175" s="33" t="s">
        <v>121</v>
      </c>
      <c r="B175"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4446</v>
      </c>
    </row>
    <row r="6" spans="1:18" ht="409.5">
      <c r="A6">
        <v>0</v>
      </c>
      <c r="B6" s="1" t="s">
        <v>136</v>
      </c>
      <c r="C6">
        <v>1</v>
      </c>
      <c r="D6" t="s">
        <v>59</v>
      </c>
      <c r="E6" t="s">
        <v>59</v>
      </c>
      <c r="F6">
        <v>0</v>
      </c>
      <c r="H6" t="s">
        <v>71</v>
      </c>
      <c r="J6" t="s">
        <v>173</v>
      </c>
      <c r="K6" s="13" t="s">
        <v>4523</v>
      </c>
      <c r="R6" t="s">
        <v>129</v>
      </c>
    </row>
    <row r="7" spans="1:11" ht="409.5">
      <c r="A7">
        <v>2</v>
      </c>
      <c r="B7">
        <v>1</v>
      </c>
      <c r="C7">
        <v>0</v>
      </c>
      <c r="D7" t="s">
        <v>60</v>
      </c>
      <c r="E7" t="s">
        <v>60</v>
      </c>
      <c r="F7">
        <v>2</v>
      </c>
      <c r="H7" t="s">
        <v>72</v>
      </c>
      <c r="J7" t="s">
        <v>174</v>
      </c>
      <c r="K7" s="13" t="s">
        <v>4524</v>
      </c>
    </row>
    <row r="8" spans="1:11" ht="409.5">
      <c r="A8"/>
      <c r="B8">
        <v>2</v>
      </c>
      <c r="C8">
        <v>2</v>
      </c>
      <c r="D8" t="s">
        <v>61</v>
      </c>
      <c r="E8" t="s">
        <v>61</v>
      </c>
      <c r="H8" t="s">
        <v>73</v>
      </c>
      <c r="J8" t="s">
        <v>175</v>
      </c>
      <c r="K8" s="13" t="s">
        <v>4525</v>
      </c>
    </row>
    <row r="9" spans="1:11" ht="409.5">
      <c r="A9"/>
      <c r="B9">
        <v>3</v>
      </c>
      <c r="C9">
        <v>4</v>
      </c>
      <c r="D9" t="s">
        <v>62</v>
      </c>
      <c r="E9" t="s">
        <v>62</v>
      </c>
      <c r="H9" t="s">
        <v>74</v>
      </c>
      <c r="J9" t="s">
        <v>176</v>
      </c>
      <c r="K9" s="13" t="s">
        <v>4526</v>
      </c>
    </row>
    <row r="10" spans="1:11" ht="15">
      <c r="A10"/>
      <c r="B10">
        <v>4</v>
      </c>
      <c r="D10" t="s">
        <v>63</v>
      </c>
      <c r="E10" t="s">
        <v>63</v>
      </c>
      <c r="H10" t="s">
        <v>75</v>
      </c>
      <c r="J10" t="s">
        <v>177</v>
      </c>
      <c r="K10" t="s">
        <v>4527</v>
      </c>
    </row>
    <row r="11" spans="1:11" ht="15">
      <c r="A11"/>
      <c r="B11">
        <v>5</v>
      </c>
      <c r="D11" t="s">
        <v>46</v>
      </c>
      <c r="E11">
        <v>1</v>
      </c>
      <c r="H11" t="s">
        <v>76</v>
      </c>
      <c r="J11" t="s">
        <v>178</v>
      </c>
      <c r="K11" t="s">
        <v>4528</v>
      </c>
    </row>
    <row r="12" spans="1:11" ht="15">
      <c r="A12"/>
      <c r="B12"/>
      <c r="D12" t="s">
        <v>64</v>
      </c>
      <c r="E12">
        <v>2</v>
      </c>
      <c r="H12">
        <v>0</v>
      </c>
      <c r="J12" t="s">
        <v>179</v>
      </c>
      <c r="K12" t="s">
        <v>4529</v>
      </c>
    </row>
    <row r="13" spans="1:11" ht="15">
      <c r="A13"/>
      <c r="B13"/>
      <c r="D13">
        <v>1</v>
      </c>
      <c r="E13">
        <v>3</v>
      </c>
      <c r="H13">
        <v>1</v>
      </c>
      <c r="J13" t="s">
        <v>180</v>
      </c>
      <c r="K13" t="s">
        <v>4530</v>
      </c>
    </row>
    <row r="14" spans="4:11" ht="15">
      <c r="D14">
        <v>2</v>
      </c>
      <c r="E14">
        <v>4</v>
      </c>
      <c r="H14">
        <v>2</v>
      </c>
      <c r="J14" t="s">
        <v>181</v>
      </c>
      <c r="K14" t="s">
        <v>4531</v>
      </c>
    </row>
    <row r="15" spans="4:11" ht="15">
      <c r="D15">
        <v>3</v>
      </c>
      <c r="E15">
        <v>5</v>
      </c>
      <c r="H15">
        <v>3</v>
      </c>
      <c r="J15" t="s">
        <v>182</v>
      </c>
      <c r="K15" t="s">
        <v>4532</v>
      </c>
    </row>
    <row r="16" spans="4:11" ht="15">
      <c r="D16">
        <v>4</v>
      </c>
      <c r="E16">
        <v>6</v>
      </c>
      <c r="H16">
        <v>4</v>
      </c>
      <c r="J16" t="s">
        <v>183</v>
      </c>
      <c r="K16" t="s">
        <v>4533</v>
      </c>
    </row>
    <row r="17" spans="4:11" ht="15">
      <c r="D17">
        <v>5</v>
      </c>
      <c r="E17">
        <v>7</v>
      </c>
      <c r="H17">
        <v>5</v>
      </c>
      <c r="J17" t="s">
        <v>184</v>
      </c>
      <c r="K17" t="s">
        <v>4534</v>
      </c>
    </row>
    <row r="18" spans="4:11" ht="15">
      <c r="D18">
        <v>6</v>
      </c>
      <c r="E18">
        <v>8</v>
      </c>
      <c r="H18">
        <v>6</v>
      </c>
      <c r="J18" t="s">
        <v>185</v>
      </c>
      <c r="K18" t="s">
        <v>4535</v>
      </c>
    </row>
    <row r="19" spans="4:11" ht="15">
      <c r="D19">
        <v>7</v>
      </c>
      <c r="E19">
        <v>9</v>
      </c>
      <c r="H19">
        <v>7</v>
      </c>
      <c r="J19" t="s">
        <v>186</v>
      </c>
      <c r="K19" t="s">
        <v>4536</v>
      </c>
    </row>
    <row r="20" spans="4:11" ht="15">
      <c r="D20">
        <v>8</v>
      </c>
      <c r="H20">
        <v>8</v>
      </c>
      <c r="J20" t="s">
        <v>187</v>
      </c>
      <c r="K20" t="s">
        <v>4537</v>
      </c>
    </row>
    <row r="21" spans="4:11" ht="409.5">
      <c r="D21">
        <v>9</v>
      </c>
      <c r="H21">
        <v>9</v>
      </c>
      <c r="J21" t="s">
        <v>188</v>
      </c>
      <c r="K21" s="13" t="s">
        <v>4538</v>
      </c>
    </row>
    <row r="22" spans="4:11" ht="409.5">
      <c r="D22">
        <v>10</v>
      </c>
      <c r="J22" t="s">
        <v>189</v>
      </c>
      <c r="K22" s="13" t="s">
        <v>4539</v>
      </c>
    </row>
    <row r="23" spans="4:11" ht="409.5">
      <c r="D23">
        <v>11</v>
      </c>
      <c r="J23" t="s">
        <v>190</v>
      </c>
      <c r="K23" s="13" t="s">
        <v>4540</v>
      </c>
    </row>
    <row r="24" spans="10:11" ht="15">
      <c r="J24" t="s">
        <v>191</v>
      </c>
      <c r="K24">
        <v>19</v>
      </c>
    </row>
    <row r="25" spans="10:11" ht="15">
      <c r="J25" t="s">
        <v>193</v>
      </c>
      <c r="K25" t="s">
        <v>4445</v>
      </c>
    </row>
    <row r="26" spans="10:11" ht="409.5">
      <c r="J26" t="s">
        <v>194</v>
      </c>
      <c r="K26" s="13" t="s">
        <v>4517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341B4-8312-4EA3-92B1-49CEDABC9A4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2113</v>
      </c>
      <c r="B1" s="13" t="s">
        <v>17</v>
      </c>
    </row>
    <row r="2" spans="1:2" ht="15">
      <c r="A2" s="78" t="s">
        <v>2114</v>
      </c>
      <c r="B2" s="78" t="s">
        <v>2120</v>
      </c>
    </row>
    <row r="3" spans="1:2" ht="15">
      <c r="A3" s="79" t="s">
        <v>2115</v>
      </c>
      <c r="B3" s="78" t="s">
        <v>2121</v>
      </c>
    </row>
    <row r="4" spans="1:2" ht="15">
      <c r="A4" s="79" t="s">
        <v>2116</v>
      </c>
      <c r="B4" s="78" t="s">
        <v>2122</v>
      </c>
    </row>
    <row r="5" spans="1:2" ht="15">
      <c r="A5" s="79" t="s">
        <v>2117</v>
      </c>
      <c r="B5" s="78" t="s">
        <v>2123</v>
      </c>
    </row>
    <row r="6" spans="1:2" ht="15">
      <c r="A6" s="79" t="s">
        <v>2118</v>
      </c>
      <c r="B6" s="78" t="s">
        <v>2124</v>
      </c>
    </row>
    <row r="7" spans="1:2" ht="15">
      <c r="A7" s="79" t="s">
        <v>2119</v>
      </c>
      <c r="B7" s="78"/>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DF4AEA5-C525-405C-939E-4511908C30B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2023-05-17T14:00:20Z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