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6327"/>
  <workbookPr codeName="ThisWorkbook" defaultThemeVersion="124226"/>
  <bookViews>
    <workbookView xWindow="65416" yWindow="65416" windowWidth="29040" windowHeight="15840" activeTab="0"/>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<sst xmlns="http://schemas.openxmlformats.org/spreadsheetml/2006/main" count="321" uniqueCount="212">
  <si>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</si>
  <si>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</si>
  <si>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</si>
  <si>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</si>
  <si>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</si>
  <si>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</si>
  <si>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</si>
  <si>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</si>
  <si>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</si>
  <si>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</si>
  <si>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</si>
  <si>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</si>
  <si>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</si>
  <si>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</si>
  <si>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</si>
  <si>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</si>
  <si>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</si>
  <si>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</si>
  <si>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</si>
  <si>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</si>
  <si>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</si>
  <si>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</si>
  <si>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</si>
  <si>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</si>
  <si>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</si>
  <si>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</si>
  <si>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</si>
  <si>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</si>
  <si>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</si>
  <si>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</si>
  <si>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</si>
  <si>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</si>
  <si>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</si>
  <si>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</si>
  <si>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</si>
  <si>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</si>
  <si>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</si>
  <si>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</si>
  <si>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</si>
  <si>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</si>
  <si>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</si>
  <si>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</si>
  <si>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</si>
  <si>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</si>
  <si>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</si>
  <si>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</si>
  <si>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</si>
  <si>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</si>
  <si>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</si>
  <si>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</si>
  <si>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</si>
  <si>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</si>
  <si>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</si>
  <si>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</si>
  <si>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</si>
  <si>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</si>
  <si>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</si>
  <si>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</si>
  <si>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</si>
  <si>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</si>
  <si>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</si>
  <si>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</si>
  <si>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</si>
  <si>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</si>
  <si>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</si>
  <si>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</si>
  <si>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</si>
  <si>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</si>
  <si>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</si>
  <si>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</si>
  <si>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</si>
  <si>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</si>
  <si>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</si>
  <si>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</si>
  <si>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</si>
  <si>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</si>
  <si>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</si>
  <si>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</si>
  <si>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</si>
  <si>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</si>
  <si>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</si>
  <si>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</si>
  <si>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</si>
  <si>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</si>
  <si>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</si>
  <si>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</si>
  <si>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</si>
  <si>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</si>
  <si>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</si>
  <si>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</si>
  <si>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</si>
  <si>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</si>
  <si>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</si>
  <si>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</si>
  <si>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</si>
  <si>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</si>
  <si>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</si>
  <si>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</si>
  <si>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</si>
  <si>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</si>
  <si>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</si>
  <si>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</si>
  <si>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</si>
  <si>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</si>
  <si>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</si>
  <si>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</si>
  <si>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</si>
  <si>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</si>
  <si>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</si>
  <si>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</si>
  <si>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</si>
  <si>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</si>
  <si>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</si>
  <si>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</si>
  <si>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</si>
  <si>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</si>
  <si>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</si>
  <si>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</si>
  <si>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</si>
  <si>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</si>
  <si>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</si>
  <si>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</si>
  <si>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</si>
  <si>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</si>
  <si>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</si>
  <si>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</si>
  <si>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</si>
  <si>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</si>
  <si>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</si>
  <si>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</si>
  <si>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</si>
  <si>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</si>
  <si>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</si>
  <si>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</si>
  <si>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</si>
  <si>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</si>
  <si>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</si>
  <si>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</si>
  <si>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</si>
  <si>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</si>
  <si>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</si>
  <si>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</si>
  <si>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</si>
  <si>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</si>
  <si>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</si>
  <si>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</si>
  <si>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</si>
  <si>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</si>
  <si>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</si>
  <si>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</si>
  <si>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</si>
  <si>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</si>
  <si>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</si>
  <si>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</si>
  <si>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</si>
  <si>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</si>
  <si>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</si>
  <si>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</si>
  <si>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</si>
  <si>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</si>
  <si>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</si>
  <si>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</si>
  <si>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</si>
  <si>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</si>
  <si>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</si>
  <si>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</si>
  <si>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</si>
  <si>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</si>
  <si>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</si>
  <si>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</si>
  <si>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</si>
  <si>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</si>
  <si>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</si>
  <si>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</si>
  <si>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SPD</t>
  </si>
  <si>
    <t>CDU/CSU</t>
  </si>
  <si>
    <t>AfD</t>
  </si>
  <si>
    <t>FDP</t>
  </si>
  <si>
    <t>Die Linke</t>
  </si>
  <si>
    <t>Graph History</t>
  </si>
  <si>
    <t>Autofill Workbook Results</t>
  </si>
  <si>
    <t>Workbook Settings 2</t>
  </si>
  <si>
    <t>Directed</t>
  </si>
  <si>
    <t>Workbook Settings 3</t>
  </si>
  <si>
    <t>LayoutAlgorithm░The graph was laid out using the Circle layout algorithm.▓GraphDirectedness░The graph is directed.</t>
  </si>
  <si>
    <t>128, 128, 128</t>
  </si>
  <si>
    <t>Red</t>
  </si>
  <si>
    <t>&lt;?xml version="1.0" encoding="utf-8"?&gt;
&lt;configuration&gt;
  &lt;configSections&gt;
    &lt;sectionGroup name="userSettings" type="System.Configuration.UserSettingsGroup, System, Version=2.0.0.0, Culture=neutral, PublicKeyToken=b77a5c561934e089"&gt;
      &lt;section name="MergeDuplicateEdgesUserSettings"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&lt;/sectionGroup&gt;
  &lt;/configSections&gt;
  &lt;userSettings&gt;
    &lt;MergeDuplicateEdgesUserSettings&gt;
      &lt;setting name="ThirdColumnNameForDuplicateDetection" serializeAs="String"&gt;
        &lt;value /&gt;
      &lt;/setting&gt;
      &lt;setting name="DeleteDuplicates" serializeAs="String"&gt;
        &lt;value&gt;True&lt;/value&gt;
      &lt;/setting&gt;
      &lt;setting name="CountDuplicates" serializeAs="String"&gt;
        &lt;value&gt;True&lt;/value&gt;
      &lt;/setting&gt;
    &lt;/MergeDuplicateEdgesUserSettings&gt;
    &lt;AutomatedGraphImageUserSettings&gt;
      &lt;setting name="IncludeFooter" serializeAs="String"&gt;
        &lt;value&gt;False&lt;/value&gt;
      &lt;/setting&gt;
      &lt;setting name="ImageSizePx" serializeAs="String"&gt;
        &lt;value&gt;4096, 3072&lt;/value&gt;
      &lt;/setting&gt;
      &lt;setting name="HeaderFooterFont" serializeAs="String"&gt;
        &lt;value&gt;Microsoft Sans Serif, 8.25pt&lt;/value&gt;
      &lt;/setting&gt;
      &lt;setting name="HeaderText" serializeAs="String"&gt;
        &lt;value /&gt;
      &lt;/setting&gt;
      &lt;setting name="IncludeHeader" serializeAs="String"&gt;
        &lt;value&gt;False&lt;/value&gt;
      &lt;/setting&gt;
      &lt;setting name="FooterText" serializeAs="String"&gt;
        &lt;value /&gt;
      &lt;/setting&gt;
      &lt;setting name="ImageFormat" serializeAs="String"&gt;
        &lt;value&gt;Png&lt;/value&gt;
      &lt;/setting&gt;
    &lt;/AutomatedGraphImageUserSettings&gt;
    &lt;AutomateTasksUserSettings&gt;
      &lt;setting name="AutomateThisWorkbookOnly" serializeAs="String"&gt;
        &lt;value&gt;True&lt;/value&gt;
      &lt;/setting&gt;
      &lt;setting name="FolderToAutomate" serializeAs="String"&gt;
        &lt;value /&gt;
      &lt;/setting&gt;
      &lt;setting name="TasksToRun" serializeAs="String"&gt;
        &lt;value&gt;AutoFillWorkbook, ReadWorkbook, SaveWorkbookIfNeverSaved, SaveGraphImageFile&lt;/value&gt;
      &lt;/setting&gt;
    &lt;/AutomateTasksUserSettings&gt;
    &lt;ExportToNodeXLGraphGalleryUserSettings&gt;
      &lt;setting name="Author" serializeAs="String"&gt;
        &lt;value&gt;SMRFoundation&lt;/value&gt;
      &lt;/setting&gt;
      &lt;setting name="ExportGraphML" serializeAs="String"&gt;
        &lt;value&gt;True&lt;/value&gt;
      &lt;/setting&gt;
      &lt;setting name="SpaceDelimitedTags" serializeAs="String"&gt;
        &lt;value&gt;#nxlBundestag&lt;/value&gt;
      &lt;/setting&gt;
      &lt;setting name="UseCredentials" serializeAs="String"&gt;
        &lt;value&gt;True&lt;/value&gt;
      &lt;/setting&gt;
      &lt;setting name="ExportWorkbookAndSettings" serializeAs="String"&gt;
        &lt;value&gt;True&lt;/value&gt;
      &lt;/setting&gt;
      &lt;setting name="UseFixedAspectRatio" serializeAs="String"&gt;
        &lt;value&gt;False&lt;/value&gt;
      &lt;/setting&gt;
    &lt;/ExportToNodeXLGraphGalleryUserSettings&gt;
    &lt;LayoutUserSettings&gt;
      &lt;setting name="Layout" serializeAs="String"&gt;
        &lt;value&gt;Circle&lt;/value&gt;
      &lt;/setting&gt;
    &lt;/LayoutUserSettings&gt;
    &lt;GraphImageUserSettings2&gt;
      &lt;setting name="ImageSize" serializeAs="String"&gt;
        &lt;value&gt;600, 400&lt;/value&gt;
      &lt;/setting&gt;
      &lt;setting name="UseControlSiz</t>
  </si>
  <si>
    <t>Edge Weight</t>
  </si>
  <si>
    <t>135, 121, 121</t>
  </si>
  <si>
    <t>https://pbs.twimg.com/profile_images/1407943350976647168/OGaF8xtq_400x400.jpg</t>
  </si>
  <si>
    <t>e" serializeAs="String"&gt;
        &lt;value&gt;True&lt;/value&gt;
      &lt;/setting&gt;
      &lt;setting name="HeaderFooterFont" serializeAs="String"&gt;
        &lt;value&gt;Microsoft Sans Serif, 8.25pt&lt;/value&gt;
      &lt;/setting&gt;
      &lt;setting name="HeaderText" serializeAs="String"&gt;
        &lt;value /&gt;
      &lt;/setting&gt;
      &lt;setting name="IncludeHeader" serializeAs="String"&gt;
        &lt;value&gt;False&lt;/value&gt;
      &lt;/setting&gt;
      &lt;setting name="IncludeFooter" serializeAs="String"&gt;
        &lt;value&gt;False&lt;/value&gt;
      &lt;/setting&gt;
      &lt;setting name="FooterText" serializeAs="String"&gt;
        &lt;value /&gt;
      &lt;/setting&gt;
    &lt;/GraphImageUserSettings2&gt;
    &lt;AutoFillUserSettings3&gt;
      &lt;setting name="VertexColorDetails" serializeAs="String"&gt;
        &lt;value&gt;False False 0 10 241, 137, 4 46, 7, 195 False False True&lt;/value&gt;
      &lt;/setting&gt;
      &lt;setting name="EdgeLabelSourceColumnName" serializeAs="String"&gt;
        &lt;value /&gt;
      &lt;/setting&gt;
      &lt;setting name="VertexXSourceColumnName" serializeAs="String"&gt;
        &lt;value /&gt;
      &lt;/setting&gt;
      &lt;setting name="VertexLayoutOrderSourceColumnName" serializeAs="String"&gt;
        &lt;value&gt;Degree&lt;/value&gt;
      &lt;/setting&gt;
      &lt;setting name="VertexRadiusSourceColumnName" serializeAs="String"&gt;
        &lt;value /&gt;
      &lt;/setting&gt;
      &lt;setting name="EdgeColorDetails" serializeAs="String"&gt;
        &lt;value&gt;False False 0 0 Gray Red False False True&lt;/value&gt;
      &lt;/setting&gt;
      &lt;setting name="VertexLabelFillColorDetails" serializeAs="String"&gt;
        &lt;value&gt;False False 0 10 241, 137, 4 46, 7, 195 False False True&lt;/value&gt;
      &lt;/setting&gt;
      &lt;setting name="VertexShapeSourceColumnName" serializeAs="String"&gt;
        &lt;value /&gt;
      &lt;/setting&gt;
      &lt;setting name="VertexPolarRSourceColumnName" serializeAs="String"&gt;
        &lt;value /&gt;
      &lt;/setting&gt;
      &lt;setting name="EdgeVisibilityDetails" serializeAs="String"&gt;
        &lt;value&gt;GreaterThan 0 Show Skip&lt;/value&gt;
      &lt;/setting&gt;
      &lt;setting name="VertexAlphaDetails" serializeAs="String"&gt;
        &lt;value&gt;False False 0 100 10 100 False False&lt;/value&gt;
      &lt;/setting&gt;
      &lt;setting name="VertexLabelFillColorSourceColumnName" serializeAs="String"&gt;
        &lt;value /&gt;
      &lt;/setting&gt;
      &lt;setting name="GroupCollapsedSourceColumnName" serializeAs="String"&gt;
        &lt;value /&gt;
      &lt;/setting&gt;
      &lt;setting name="VertexLabelPositionDetails" serializeAs="String"&gt;
        &lt;value&gt;GreaterThan 0 Bottom Center Nowhere&lt;/value&gt;
      &lt;/setting&gt;
      &lt;setting name="VertexShapeDetails" serializeAs="String"&gt;
        &lt;value&gt;GreaterThan 0 Solid Square Disk&lt;/value&gt;
      &lt;/setting&gt;
      &lt;setting name="GroupCollapsedDetails" serializeAs="String"&gt;
        &lt;value&gt;GreaterThan 0 Yes No&lt;/value&gt;
      &lt;/setting&gt;
      &lt;setting name="EdgeWidthDetails" serializeAs="String"&gt;
        &lt;value&gt;False False 0 0 1 10 False False&lt;/value&gt;
      &lt;/setting&gt;
      &lt;setting name="VertexPolarRDetails" serializeAs="String"&gt;
        &lt;value&gt;False False 0 0 0 1 False False&lt;/value&gt;
      &lt;/setting&gt;
      &lt;setting name="VertexAlphaSourceColumnName" serializeAs="String"&gt;
        &lt;value /&gt;
      &lt;/setting&gt;
      &lt;setting name="VertexVisibilitySourceColumnName" serializeAs="String"&gt;
        &lt;value /&gt;
      &lt;/setting&gt;
      &lt;setting name="VertexLabelSourceColumnName" serializeAs="String"&gt;
        &lt;value /&gt;
      &lt;/setting&gt;
      &lt;setting name="VertexToolTipSourceColumnName" serializeAs="String"&gt;
        &lt;value&gt;Vertex&lt;/value&gt;
      &lt;/setting&gt;
      &lt;setting name="EdgeWidthSourceColumnName" serializeAs="String"&gt;
        &lt;value&gt;Edge Weight&lt;/value&gt;
      &lt;/setting&gt;
      &lt;setting name="EdgeAlphaSourceColumnName" serializeAs="String"&gt;
        &lt;value&gt;Edge Weight&lt;/value&gt;
      &lt;/setting&gt;
      &lt;setting name="VertexPolarAngleSourceColumnName" serializeAs="String"&gt;
        &lt;value /&gt;
      &lt;/setting&gt;
      &lt;setting name="EdgeStyleSourceColumnName" serializeAs="String"&gt;
        &lt;value /&gt;
      &lt;/setting&gt;
      &lt;setting name="EdgeStyleDetails" serializeAs="String"&gt;
        &lt;value&gt;GreaterThan 0 Solid Dash&lt;/value&gt;
      &lt;/setting&gt;
      &lt;setting name="VertexPolarAngleDetails" serializeAs="String"&gt;
        &lt;value&gt;False False 0 0 0 359 False False&lt;/value&gt;
      &lt;/setting&gt;
      &lt;setting name="VertexYSourceColumnName" serializeAs="String"&gt;
        &lt;value /&gt;
      &lt;/setting&gt;
      &lt;setting name="EdgeVisibilitySourceColumnName" serializeAs="String"&gt;
        &lt;value /&gt;
      &lt;/setting&gt;
      &lt;setting name="VertexRadiusDetails" serializeAs="String"&gt;
        &lt;value&gt;False False 1 10 1.5 10 False False&lt;/value&gt;
      &lt;/setting&gt;
      &lt;setting name="EdgeColorSourceColumnName" serializeAs="String"&gt;
        &lt;value&gt;Edge Weight&lt;/value&gt;
      &lt;/setting&gt;
      &lt;setting name="VertexXDetails" serializeAs="String"&gt;
        &lt;value&gt;False False 0 0 0 9999 False False&lt;/value&gt;
      &lt;/setting&gt;
      &lt;setting name="GroupLabelSourceColumnName" serializeAs="String"&gt;
        &lt;value /&gt;
      &lt;/setting&gt;
      &lt;setting name="VertexColorSourceColumnName" serializeAs="String"&gt;
        &lt;value /&gt;
      &lt;/setting&gt;
      &lt;setting name="EdgeAlphaDetails" serializeAs="String"&gt;
        &lt;value&gt;False False 0 0 80 30 False False&lt;/value&gt;
      &lt;/setting&gt;
      &lt;setting name="VertexLabelPositionSourceColumnName" serializeAs="String"&gt;
        &lt;value /&gt;
      &lt;/setting&gt;
      &lt;setting name="VertexLayoutOrderDetails" serializeAs="String"&gt;
        &lt;value&gt;False False 0 0 1 9999 False False&lt;/value&gt;
      &lt;/setting&gt;
      &lt;setting name="VertexVisibilityDetails" serializeAs="String"&gt;
        &lt;value&gt;GreaterThan 0 Show if in an Edge Skip&lt;/value&gt;
      &lt;/setting&gt;
      &lt;setting name="VertexYDetails" serializeAs="String"&gt;
        &lt;value&gt;False False 0 0 0 9999 False False&lt;/value&gt;
      &lt;/setting&gt;
    &lt;/AutoFillUserSettings3&gt;
    &lt;ColumnGroupUserSettings&gt;
      &lt;setting name="ColumnGroupsToShow" serializeAs="String"&gt;
        &lt;value&gt;EdgeDoNotHide, EdgeVisualAttributes, EdgeGraphMetrics, EdgeOtherColumns, VertexDoNotHide, VertexVi</t>
  </si>
  <si>
    <t>sualAttributes, VertexGraphMetrics, VertexOtherColumns, GroupDoNotHide, GroupVisualAttributes, GroupGraphMetrics, GroupEdgeDoNotHide, GroupEdgeGraphMetrics&lt;/value&gt;
      &lt;/setting&gt;
    &lt;/ColumnGroupUserSettings&gt;
    &lt;GeneralUserSettings4&gt;
      &lt;setting name="ReadGroupLabels" serializeAs="String"&gt;
        &lt;value&gt;True&lt;/value&gt;
      &lt;/setting&gt;
      &lt;setting name="ReadVertexLabels" serializeAs="String"&gt;
        &lt;value&gt;True&lt;/value&gt;
      &lt;/setting&gt;
      &lt;setting name="ReadEdgeLabels" serializeAs="String"&gt;
        &lt;value&gt;True&lt;/value&gt;
      &lt;/setting&gt;
      &lt;setting name="ShowGraphLegend" serializeAs="String"&gt;
        &lt;value&gt;False&lt;/value&gt;
      &lt;/setting&gt;
      &lt;setting name="ShowGraphAxes" serializeAs="String"&gt;
        &lt;value&gt;False&lt;/value&gt;
      &lt;/setting&gt;
      &lt;setting name="EdgeColor" serializeAs="String"&gt;
        &lt;value&gt;Gray&lt;/value&gt;
      &lt;/setting&gt;
      &lt;setting name="AxisFont" serializeAs="String"&gt;
        &lt;value&gt;Microsoft Sans Serif, 8.25pt&lt;/value&gt;
      &lt;/setting&gt;
      &lt;setting name="EdgeBezierDisplacementFactor" serializeAs="String"&gt;
        &lt;value&gt;0.2&lt;/value&gt;
      &lt;/setting&gt;
      &lt;setting name="BackgroundImageUri" serializeAs="String"&gt;
        &lt;value /&gt;
      &lt;/setting&gt;
      &lt;setting name="VertexRadius" serializeAs="String"&gt;
        &lt;value&gt;1.5&lt;/value&gt;
      &lt;/setting&gt;
      &lt;setting name="EdgeWidth" serializeAs="String"&gt;
        &lt;value&gt;10&lt;/value&gt;
      &lt;/setting&gt;
      &lt;setting name="RelativeArrowSize" serializeAs="String"&gt;
        &lt;value&gt;3&lt;/value&gt;
      &lt;/setting&gt;
      &lt;setting name="VertexEffect" serializeAs="String"&gt;
        &lt;value&gt;None&lt;/value&gt;
      &lt;/setting&gt;
      &lt;setting name="VertexRelativeOuterGlowSize" serializeAs="String"&gt;
        &lt;value&gt;3&lt;/value&gt;
      &lt;/setting&gt;
      &lt;setting name="VertexColor" serializeAs="String"&gt;
        &lt;value&gt;Black&lt;/value&gt;
      &lt;/setting&gt;
      &lt;setting name="VertexAlpha" serializeAs="String"&gt;
        &lt;value&gt;100&lt;/value&gt;
      &lt;/setting&gt;
      &lt;setting name="LabelUserSettings" serializeAs="String"&gt;
        &lt;value&gt;Microsoft Sans Serif, 8.25pt White BottomCenter 2147483647 2147483647 Black True 200 Black 86 MiddleCenter Microsoft Sans Serif, 8.25pt Microsoft Sans Serif, 14.25pt&lt;/value&gt;
      &lt;/setting&gt;
      &lt;setting name="SelectedVertexColor" serializeAs="String"&gt;
        &lt;value&gt;Red&lt;/value&gt;
      &lt;/setting&gt;
      &lt;setting name="BackColor" serializeAs="String"&gt;
        &lt;value&gt;White&lt;/value&gt;
      &lt;/setting&gt;
      &lt;setting name="AutoSelect" serializeAs="String"&gt;
        &lt;value&gt;True&lt;/value&gt;
      &lt;/setting&gt;
      &lt;setting name="EdgeAlpha" serializeAs="String"&gt;
        &lt;value&gt;100&lt;/value&gt;
      &lt;/setting&gt;
      &lt;setting name="AutoReadWorkbook" serializeAs="String"&gt;
        &lt;value&gt;True&lt;/value&gt;
      &lt;/setting&gt;
      &lt;setting name="EdgeBundlerStraightening" serializeAs="String"&gt;
        &lt;value&gt;0.15&lt;/value&gt;
      &lt;/setting&gt;
      &lt;setting name="VertexImageSize" serializeAs="String"&gt;
        &lt;value&gt;100&lt;/value&gt;
      &lt;/setting&gt;
      &lt;setting name="SelectedEdgeColor" serializeAs="String"&gt;
        &lt;value&gt;Red&lt;/value&gt;
      &lt;/setting&gt;
      &lt;setting name="VertexShape" serializeAs="String"&gt;
        &lt;value&gt;Image&lt;/value&gt;
      &lt;/setting&gt;
      &lt;setting name="EdgeCurveStyle" serializeAs="String"&gt;
        &lt;value&gt;Straight&lt;/value&gt;
      &lt;/setting&gt;
      &lt;setting name="NewWorkbookGraphDirectedness" serializeAs="String"&gt;
        &lt;value&gt;Directed&lt;/value&gt;
      &lt;/setting&gt;
    &lt;/GeneralUserSettings4&gt;
    &lt;AutoScaleUserSettings&gt;
      &lt;setting name="AutoScale" serializeAs="String"&gt;
        &lt;value&gt;False&lt;/value&gt;
      &lt;/setting&gt;
    &lt;/AutoScaleUserSettings&gt;
    &lt;GraphZoomAndScaleUserSettings&gt;
      &lt;setting name="GraphScale" serializeAs="String"&gt;
        &lt;value&gt;0.7&lt;/value&gt;
      &lt;/setting&gt;
    &lt;/GraphZoomAndScaleUserSettings&gt;
    &lt;PlugInUserSettings&gt;
      &lt;setting name="PlugInFolderPath" serializeAs="String"&gt;
        &lt;value /&gt;
      &lt;/setting&gt;
    &lt;/PlugInUserSettings&gt;
  &lt;/userSettings&gt;
&lt;/configuration&gt;</t>
  </si>
  <si>
    <t>Die Grünen</t>
  </si>
  <si>
    <t>https://pbs.twimg.com/profile_images/1542787606605357059/XpgGEO9H_400x400.png</t>
  </si>
  <si>
    <t>https://pbs.twimg.com/profile_images/1531903660254437376/Lu9_l2UP_400x400.jpg</t>
  </si>
  <si>
    <t>https://pbs.twimg.com/profile_images/1566753671286775811/5yZrYHLw_400x400.jpg</t>
  </si>
  <si>
    <t>https://pbs.twimg.com/profile_images/1576833779582246913/1hLVWZku_400x400.jpg</t>
  </si>
  <si>
    <t>138, 118, 118</t>
  </si>
  <si>
    <t>148, 108, 108</t>
  </si>
  <si>
    <t>187, 69, 69</t>
  </si>
  <si>
    <t>131, 125, 125</t>
  </si>
  <si>
    <t>154, 102, 102</t>
  </si>
  <si>
    <t>177, 79, 79</t>
  </si>
  <si>
    <t>161, 95, 95</t>
  </si>
  <si>
    <t>https://pbs.twimg.com/profile_images/1625791466239889409/9-9krNKr_400x400.jpg</t>
  </si>
  <si>
    <t>181, 76, 76</t>
  </si>
  <si>
    <t>216, 39, 39</t>
  </si>
  <si>
    <t>171, 85, 85</t>
  </si>
  <si>
    <t>164, 92, 92</t>
  </si>
  <si>
    <t>141, 115, 115</t>
  </si>
  <si>
    <t>Edge Weight▓3▓209▓0▓True▓Gray▓Red▓▓Edge Weight▓3▓209▓0▓1▓10▓False▓Edge Weight▓3▓209▓0▓80▓30▓False▓▓0▓0▓0▓True▓Black▓Black▓▓▓0▓0▓0▓0▓0▓False▓▓0▓0▓0▓0▓0▓False▓▓0▓0▓0▓0▓0▓False▓▓0▓0▓0▓0▓0▓False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</si>
</sst>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General"/>
    <numFmt numFmtId="178" formatCode="#,##0.00"/>
    <numFmt numFmtId="179" formatCode="@"/>
    <numFmt numFmtId="180" formatCode="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13">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0" fontId="0" fillId="2" borderId="1" xfId="20" applyNumberFormat="1"/>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Font="1" applyFill="1" applyBorder="1"/>
    <xf numFmtId="0" fontId="0" fillId="9" borderId="5" xfId="0" applyFont="1" applyFill="1" applyBorder="1"/>
    <xf numFmtId="0" fontId="0" fillId="4" borderId="11" xfId="24" applyNumberFormat="1" applyBorder="1" applyAlignment="1">
      <alignment/>
    </xf>
    <xf numFmtId="164" fontId="0" fillId="3" borderId="1" xfId="23" applyNumberFormat="1" applyFont="1"/>
    <xf numFmtId="1" fontId="0" fillId="3" borderId="1" xfId="23" applyNumberFormat="1" applyFont="1"/>
    <xf numFmtId="1" fontId="0" fillId="4" borderId="1" xfId="24" applyNumberFormat="1" applyFont="1" applyAlignment="1">
      <alignment/>
    </xf>
    <xf numFmtId="0" fontId="0" fillId="0" borderId="0" xfId="21" applyNumberFormat="1" applyFont="1"/>
    <xf numFmtId="167" fontId="0" fillId="4" borderId="11" xfId="24" applyNumberFormat="1" applyFont="1" applyBorder="1" applyAlignment="1">
      <alignment/>
    </xf>
    <xf numFmtId="167" fontId="0" fillId="4" borderId="11" xfId="24" applyNumberFormat="1" applyBorder="1" applyAlignment="1">
      <alignment/>
    </xf>
    <xf numFmtId="0" fontId="10" fillId="3" borderId="1" xfId="28" applyNumberFormat="1" applyFill="1" applyBorder="1"/>
    <xf numFmtId="49" fontId="0" fillId="0" borderId="0" xfId="22" applyNumberFormat="1" applyFont="1" applyBorder="1"/>
    <xf numFmtId="0"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0" fillId="0" borderId="0" xfId="0" applyAlignment="1" quotePrefix="1">
      <alignment wrapText="1"/>
    </xf>
    <xf numFmtId="164" fontId="0" fillId="6" borderId="1" xfId="26" applyNumberFormat="1" applyFont="1"/>
    <xf numFmtId="165" fontId="0" fillId="6" borderId="1" xfId="26" applyNumberFormat="1" applyFont="1"/>
    <xf numFmtId="166" fontId="0" fillId="6" borderId="1" xfId="26" applyNumberFormat="1" applyFont="1"/>
    <xf numFmtId="167" fontId="0" fillId="4" borderId="1" xfId="24" applyNumberFormat="1" applyFont="1" applyAlignment="1">
      <alignment/>
    </xf>
    <xf numFmtId="167" fontId="0" fillId="4" borderId="1" xfId="24" applyNumberFormat="1" applyAlignment="1">
      <alignment/>
    </xf>
    <xf numFmtId="0" fontId="0" fillId="2" borderId="1" xfId="20" applyNumberFormat="1" applyFont="1"/>
    <xf numFmtId="0" fontId="10" fillId="3" borderId="1" xfId="28" applyNumberFormat="1" applyFill="1" applyBorder="1" applyAlignment="1">
      <alignment/>
    </xf>
    <xf numFmtId="0" fontId="0" fillId="0" borderId="7" xfId="21" applyNumberFormat="1" applyFont="1" applyBorder="1" applyAlignment="1">
      <alignment/>
    </xf>
    <xf numFmtId="1" fontId="0" fillId="4" borderId="11" xfId="24" applyNumberFormat="1" applyFont="1" applyBorder="1" applyAlignment="1">
      <alignment/>
    </xf>
    <xf numFmtId="167" fontId="0" fillId="4" borderId="11" xfId="24" applyNumberFormat="1" applyFont="1" applyBorder="1" applyAlignment="1">
      <alignment/>
    </xf>
    <xf numFmtId="0" fontId="0" fillId="3" borderId="0" xfId="23" applyNumberFormat="1" applyFont="1" applyBorder="1" applyAlignment="1">
      <alignment/>
    </xf>
    <xf numFmtId="1" fontId="0" fillId="3" borderId="0" xfId="23" applyNumberFormat="1" applyFont="1" applyBorder="1" applyAlignment="1">
      <alignment/>
    </xf>
    <xf numFmtId="49" fontId="6" fillId="5" borderId="1" xfId="25" applyNumberFormat="1" applyAlignment="1">
      <alignment/>
    </xf>
    <xf numFmtId="0" fontId="6" fillId="5" borderId="1" xfId="25" applyAlignment="1">
      <alignment/>
    </xf>
    <xf numFmtId="0" fontId="0" fillId="2" borderId="0" xfId="20" applyNumberFormat="1" applyFont="1" applyBorder="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Border="1" applyAlignment="1">
      <alignment/>
    </xf>
    <xf numFmtId="0" fontId="0" fillId="0" borderId="0" xfId="0" applyFill="1" applyBorder="1" applyAlignment="1">
      <alignment/>
    </xf>
    <xf numFmtId="0" fontId="0" fillId="4" borderId="1" xfId="24" applyNumberForma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0" borderId="0" xfId="21" applyNumberFormat="1" applyFont="1" applyAlignment="1">
      <alignment/>
    </xf>
    <xf numFmtId="0" fontId="0" fillId="2" borderId="1" xfId="20" applyNumberFormat="1" applyFont="1" applyAlignment="1">
      <alignment/>
    </xf>
    <xf numFmtId="0" fontId="0" fillId="0" borderId="0" xfId="0" applyFill="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99">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7" formatCode="General"/>
    </dxf>
    <dxf>
      <numFmt numFmtId="178" formatCode="#,##0.00"/>
    </dxf>
    <dxf>
      <alignment horizontal="general" vertical="bottom" textRotation="0" wrapText="1" shrinkToFit="1" readingOrder="0"/>
    </dxf>
    <dxf>
      <alignment horizontal="general" vertical="bottom" textRotation="0" wrapText="1" shrinkToFit="1" readingOrder="0"/>
    </dxf>
    <dxf>
      <numFmt numFmtId="177" formatCode="General"/>
    </dxf>
    <dxf>
      <numFmt numFmtId="179" formatCode="@"/>
    </dxf>
    <dxf>
      <numFmt numFmtId="179" formatCode="@"/>
    </dxf>
    <dxf>
      <numFmt numFmtId="179" formatCode="@"/>
    </dxf>
    <dxf>
      <numFmt numFmtId="179" formatCode="@"/>
    </dxf>
    <dxf>
      <numFmt numFmtId="167" formatCode="0.000"/>
    </dxf>
    <dxf>
      <numFmt numFmtId="167" formatCode="0.000"/>
    </dxf>
    <dxf>
      <numFmt numFmtId="180" formatCode="0"/>
    </dxf>
    <dxf>
      <numFmt numFmtId="180" formatCode="0"/>
    </dxf>
    <dxf>
      <numFmt numFmtId="180" formatCode="0"/>
    </dxf>
    <dxf>
      <numFmt numFmtId="180" formatCode="0"/>
    </dxf>
    <dxf>
      <numFmt numFmtId="180" formatCode="0"/>
    </dxf>
    <dxf>
      <numFmt numFmtId="180" formatCode="0"/>
    </dxf>
    <dxf>
      <numFmt numFmtId="180" formatCode="0"/>
    </dxf>
    <dxf>
      <numFmt numFmtId="180" formatCode="0"/>
    </dxf>
    <dxf>
      <numFmt numFmtId="180" formatCode="0"/>
    </dxf>
    <dxf>
      <numFmt numFmtId="180" formatCode="0"/>
    </dxf>
    <dxf>
      <numFmt numFmtId="180" formatCode="0"/>
    </dxf>
    <dxf>
      <numFmt numFmtId="180" formatCode="0"/>
    </dxf>
    <dxf>
      <numFmt numFmtId="177" formatCode="General"/>
    </dxf>
    <dxf>
      <font>
        <b val="0"/>
        <i val="0"/>
        <u val="none"/>
        <strike val="0"/>
        <sz val="11"/>
        <name val="Calibri"/>
        <color theme="1"/>
        <condense val="0"/>
        <extend val="0"/>
      </font>
      <numFmt numFmtId="177" formatCode="General"/>
    </dxf>
    <dxf>
      <numFmt numFmtId="179" formatCode="@"/>
    </dxf>
    <dxf>
      <font>
        <b val="0"/>
        <i val="0"/>
        <u val="none"/>
        <strike val="0"/>
        <sz val="11"/>
        <name val="Calibri"/>
        <color theme="1"/>
        <condense val="0"/>
        <extend val="0"/>
      </font>
      <numFmt numFmtId="177" formatCode="General"/>
    </dxf>
    <dxf>
      <numFmt numFmtId="177" formatCode="General"/>
    </dxf>
    <dxf>
      <numFmt numFmtId="177" formatCode="General"/>
    </dxf>
    <dxf>
      <numFmt numFmtId="179" formatCode="@"/>
    </dxf>
    <dxf>
      <alignment horizontal="general" vertical="bottom" textRotation="0" wrapText="1" shrinkToFit="1" readingOrder="0"/>
    </dxf>
    <dxf>
      <numFmt numFmtId="177" formatCode="General"/>
    </dxf>
    <dxf>
      <numFmt numFmtId="177" formatCode="General"/>
    </dxf>
    <dxf>
      <numFmt numFmtId="177" formatCode="General"/>
    </dxf>
    <dxf>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80" formatCode="0"/>
      <alignment horizontal="general" vertical="bottom" textRotation="0" wrapText="1" shrinkToFit="1" readingOrder="0"/>
    </dxf>
    <dxf>
      <font>
        <b val="0"/>
        <i val="0"/>
        <u val="none"/>
        <strike val="0"/>
        <sz val="11"/>
        <name val="Calibri"/>
        <color theme="1"/>
        <condense val="0"/>
        <extend val="0"/>
      </font>
      <numFmt numFmtId="180" formatCode="0"/>
      <alignment horizontal="general" vertical="bottom" textRotation="0" wrapText="1" shrinkToFit="1" readingOrder="0"/>
    </dxf>
    <dxf>
      <font>
        <b val="0"/>
        <i val="0"/>
        <u val="none"/>
        <strike val="0"/>
        <sz val="11"/>
        <name val="Calibri"/>
        <color theme="1"/>
        <condense val="0"/>
        <extend val="0"/>
      </font>
      <numFmt numFmtId="180" formatCode="0"/>
      <alignment horizontal="general" vertical="bottom" textRotation="0" wrapText="1" shrinkToFit="1" readingOrder="0"/>
    </dxf>
    <dxf>
      <font>
        <b val="0"/>
        <i val="0"/>
        <u val="none"/>
        <strike val="0"/>
        <sz val="11"/>
        <name val="Calibri"/>
        <color theme="1"/>
        <condense val="0"/>
        <extend val="0"/>
      </font>
      <numFmt numFmtId="180" formatCode="0"/>
      <alignment horizontal="general" vertical="bottom" textRotation="0" wrapText="1" shrinkToFit="1" readingOrder="0"/>
    </dxf>
    <dxf>
      <numFmt numFmtId="166" formatCode="#,##0.000"/>
    </dxf>
    <dxf>
      <numFmt numFmtId="166" formatCode="#,##0.000"/>
    </dxf>
    <dxf>
      <numFmt numFmtId="177" formatCode="General"/>
    </dxf>
    <dxf>
      <numFmt numFmtId="165" formatCode="#,##0.0"/>
    </dxf>
    <dxf>
      <numFmt numFmtId="165" formatCode="#,##0.0"/>
    </dxf>
    <dxf>
      <numFmt numFmtId="164" formatCode="0.0"/>
    </dxf>
    <dxf>
      <numFmt numFmtId="179" formatCode="@"/>
    </dxf>
    <dxf>
      <numFmt numFmtId="177" formatCode="General"/>
    </dxf>
    <dxf>
      <numFmt numFmtId="177" formatCode="General"/>
    </dxf>
    <dxf>
      <numFmt numFmtId="179" formatCode="@"/>
    </dxf>
    <dxf>
      <numFmt numFmtId="177" formatCode="General"/>
    </dxf>
    <dxf>
      <numFmt numFmtId="177" formatCode="General"/>
    </dxf>
    <dxf>
      <numFmt numFmtId="180" formatCode="0"/>
    </dxf>
    <dxf>
      <numFmt numFmtId="164" formatCode="0.0"/>
    </dxf>
    <dxf>
      <numFmt numFmtId="177" formatCode="General"/>
    </dxf>
    <dxf>
      <numFmt numFmtId="177"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9" formatCode="@"/>
      <alignment horizontal="general" vertical="bottom" textRotation="0" wrapText="1" shrinkToFit="1" readingOrder="0"/>
    </dxf>
    <dxf>
      <numFmt numFmtId="177" formatCode="General"/>
      <alignment horizontal="general" vertical="bottom" textRotation="0" wrapText="1" shrinkToFit="1" readingOrder="0"/>
    </dxf>
    <dxf>
      <numFmt numFmtId="180" formatCode="0"/>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64" formatCode="0.0"/>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border>
        <left/>
        <right style="thin">
          <color theme="0"/>
        </right>
        <top/>
        <bottom/>
      </border>
    </dxf>
    <dxf>
      <numFmt numFmtId="177"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98"/>
      <tableStyleElement type="headerRow" dxfId="97"/>
    </tableStyle>
    <tableStyle name="NodeXL Table" pivot="0" count="1">
      <tableStyleElement type="headerRow" dxfId="9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customXml" Target="../customXml/item1.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15299688"/>
        <c:axId val="41037769"/>
      </c:barChart>
      <c:catAx>
        <c:axId val="1529968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1037769"/>
        <c:crosses val="autoZero"/>
        <c:auto val="1"/>
        <c:lblOffset val="100"/>
        <c:noMultiLvlLbl val="0"/>
      </c:catAx>
      <c:valAx>
        <c:axId val="410377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29968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49244614"/>
        <c:axId val="18807663"/>
      </c:barChart>
      <c:catAx>
        <c:axId val="4924461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8807663"/>
        <c:crosses val="autoZero"/>
        <c:auto val="1"/>
        <c:lblOffset val="100"/>
        <c:noMultiLvlLbl val="0"/>
      </c:catAx>
      <c:valAx>
        <c:axId val="1880766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24461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8551316"/>
        <c:axId val="46661573"/>
      </c:barChart>
      <c:catAx>
        <c:axId val="855131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6661573"/>
        <c:crosses val="autoZero"/>
        <c:auto val="1"/>
        <c:lblOffset val="100"/>
        <c:noMultiLvlLbl val="0"/>
      </c:catAx>
      <c:valAx>
        <c:axId val="4666157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55131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11008338"/>
        <c:axId val="50806347"/>
      </c:barChart>
      <c:catAx>
        <c:axId val="1100833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0806347"/>
        <c:crosses val="autoZero"/>
        <c:auto val="1"/>
        <c:lblOffset val="100"/>
        <c:noMultiLvlLbl val="0"/>
      </c:catAx>
      <c:valAx>
        <c:axId val="5080634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00833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64097920"/>
        <c:axId val="46900353"/>
      </c:barChart>
      <c:catAx>
        <c:axId val="6409792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6900353"/>
        <c:crosses val="autoZero"/>
        <c:auto val="1"/>
        <c:lblOffset val="100"/>
        <c:noMultiLvlLbl val="0"/>
      </c:catAx>
      <c:valAx>
        <c:axId val="4690035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09792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17932958"/>
        <c:axId val="50293735"/>
      </c:barChart>
      <c:catAx>
        <c:axId val="1793295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0293735"/>
        <c:crosses val="autoZero"/>
        <c:auto val="1"/>
        <c:lblOffset val="100"/>
        <c:noMultiLvlLbl val="0"/>
      </c:catAx>
      <c:valAx>
        <c:axId val="5029373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93295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49232172"/>
        <c:axId val="18446845"/>
      </c:barChart>
      <c:catAx>
        <c:axId val="49232172"/>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8446845"/>
        <c:crosses val="autoZero"/>
        <c:auto val="1"/>
        <c:lblOffset val="100"/>
        <c:noMultiLvlLbl val="0"/>
      </c:catAx>
      <c:valAx>
        <c:axId val="1844684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23217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65196458"/>
        <c:axId val="11649091"/>
      </c:barChart>
      <c:catAx>
        <c:axId val="6519645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1649091"/>
        <c:crosses val="autoZero"/>
        <c:auto val="1"/>
        <c:lblOffset val="100"/>
        <c:noMultiLvlLbl val="0"/>
      </c:catAx>
      <c:valAx>
        <c:axId val="1164909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19645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2279320"/>
        <c:axId val="66100281"/>
      </c:barChart>
      <c:catAx>
        <c:axId val="2279320"/>
        <c:scaling>
          <c:orientation val="minMax"/>
        </c:scaling>
        <c:axPos val="b"/>
        <c:delete val="1"/>
        <c:majorTickMark val="out"/>
        <c:minorTickMark val="none"/>
        <c:tickLblPos val="none"/>
        <c:crossAx val="66100281"/>
        <c:crosses val="autoZero"/>
        <c:auto val="1"/>
        <c:lblOffset val="100"/>
        <c:noMultiLvlLbl val="0"/>
      </c:catAx>
      <c:valAx>
        <c:axId val="66100281"/>
        <c:scaling>
          <c:orientation val="minMax"/>
        </c:scaling>
        <c:axPos val="l"/>
        <c:delete val="1"/>
        <c:majorTickMark val="out"/>
        <c:minorTickMark val="none"/>
        <c:tickLblPos val="none"/>
        <c:crossAx val="227932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N28" totalsRowShown="0" headerRowDxfId="95" dataDxfId="94">
  <autoFilter ref="A2:N28"/>
  <sortState ref="A3:N28">
    <sortCondition descending="1" sortBy="value" ref="N3:N28"/>
  </sortState>
  <tableColumns count="14">
    <tableColumn id="1" name="Vertex 1" dataDxfId="93"/>
    <tableColumn id="2" name="Vertex 2" dataDxfId="92"/>
    <tableColumn id="3" name="Color" dataDxfId="91"/>
    <tableColumn id="4" name="Width" dataDxfId="90"/>
    <tableColumn id="11" name="Style" dataDxfId="89"/>
    <tableColumn id="5" name="Opacity" dataDxfId="88"/>
    <tableColumn id="6" name="Visibility" dataDxfId="87"/>
    <tableColumn id="10" name="Label" dataDxfId="86"/>
    <tableColumn id="12" name="Label Text Color" dataDxfId="85"/>
    <tableColumn id="13" name="Label Font Size" dataDxfId="84"/>
    <tableColumn id="14" name="Reciprocated?" dataDxfId="83"/>
    <tableColumn id="7" name="ID" dataDxfId="82"/>
    <tableColumn id="9" name="Dynamic Filter" dataDxfId="81"/>
    <tableColumn id="15" name="Edge Weight" dataDxfId="8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0">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2.xml><?xml version="1.0" encoding="utf-8"?>
<table xmlns="http://schemas.openxmlformats.org/spreadsheetml/2006/main" id="2" name="Vertices" displayName="Vertices" ref="A2:AC8" totalsRowShown="0" headerRowDxfId="79" dataDxfId="78">
  <autoFilter ref="A2:AC8"/>
  <sortState ref="A3:AC7">
    <sortCondition sortBy="value" ref="R3:R7"/>
  </sortState>
  <tableColumns count="29">
    <tableColumn id="1" name="Vertex" dataDxfId="77"/>
    <tableColumn id="2" name="Color" dataDxfId="76"/>
    <tableColumn id="5" name="Shape" dataDxfId="75"/>
    <tableColumn id="6" name="Size" dataDxfId="74"/>
    <tableColumn id="4" name="Opacity" dataDxfId="73"/>
    <tableColumn id="7" name="Image File" dataDxfId="72"/>
    <tableColumn id="3" name="Visibility" dataDxfId="71"/>
    <tableColumn id="10" name="Label" dataDxfId="70"/>
    <tableColumn id="16" name="Label Fill Color" dataDxfId="69"/>
    <tableColumn id="9" name="Label Position" dataDxfId="68"/>
    <tableColumn id="8" name="Tooltip" dataDxfId="67"/>
    <tableColumn id="18" name="Layout Order" dataDxfId="66"/>
    <tableColumn id="13" name="X" dataDxfId="65"/>
    <tableColumn id="14" name="Y" dataDxfId="64"/>
    <tableColumn id="12" name="Locked?" dataDxfId="63"/>
    <tableColumn id="19" name="Polar R" dataDxfId="62"/>
    <tableColumn id="20" name="Polar Angle" dataDxfId="61"/>
    <tableColumn id="21" name="Degree" dataDxfId="60"/>
    <tableColumn id="22" name="In-Degree" dataDxfId="59"/>
    <tableColumn id="23" name="Out-Degree" dataDxfId="58"/>
    <tableColumn id="24" name="Betweenness Centrality" dataDxfId="57"/>
    <tableColumn id="25" name="Closeness Centrality" dataDxfId="56"/>
    <tableColumn id="26" name="Eigenvector Centrality" dataDxfId="55"/>
    <tableColumn id="15" name="PageRank" dataDxfId="54"/>
    <tableColumn id="27" name="Clustering Coefficient" dataDxfId="53"/>
    <tableColumn id="29" name="Reciprocated Vertex Pair Ratio" dataDxfId="52"/>
    <tableColumn id="11" name="ID" dataDxfId="51"/>
    <tableColumn id="28" name="Dynamic Filter" dataDxfId="50"/>
    <tableColumn id="17" name="Add Your Own Columns Here" dataDxfId="49"/>
  </tableColumns>
  <tableStyleInfo name="NodeXL Table" showFirstColumn="0" showLastColumn="0" showRowStripes="0" showColumnStripes="0"/>
</table>
</file>

<file path=xl/tables/table3.xml><?xml version="1.0" encoding="utf-8"?>
<table xmlns="http://schemas.openxmlformats.org/spreadsheetml/2006/main" id="4" name="Groups" displayName="Groups" ref="A2:X3" insertRow="1" totalsRowShown="0" headerRowDxfId="48">
  <autoFilter ref="A2:X3"/>
  <tableColumns count="24">
    <tableColumn id="1" name="Group" dataDxfId="47"/>
    <tableColumn id="2" name="Vertex Color" dataDxfId="46"/>
    <tableColumn id="3" name="Vertex Shape" dataDxfId="45"/>
    <tableColumn id="22" name="Visibility" dataDxfId="44"/>
    <tableColumn id="4" name="Collapsed?"/>
    <tableColumn id="18" name="Label" dataDxfId="43"/>
    <tableColumn id="20" name="Collapsed X"/>
    <tableColumn id="21" name="Collapsed Y"/>
    <tableColumn id="6" name="ID" dataDxfId="42"/>
    <tableColumn id="19" name="Collapsed Properties" dataDxfId="41"/>
    <tableColumn id="5" name="Vertices" dataDxfId="40"/>
    <tableColumn id="7" name="Unique Edges" dataDxfId="39"/>
    <tableColumn id="8" name="Edges With Duplicates" dataDxfId="38"/>
    <tableColumn id="9" name="Total Edges" dataDxfId="37"/>
    <tableColumn id="10" name="Self-Loops" dataDxfId="36"/>
    <tableColumn id="24" name="Reciprocated Vertex Pair Ratio" dataDxfId="35"/>
    <tableColumn id="25" name="Reciprocated Edge Ratio" dataDxfId="34"/>
    <tableColumn id="11" name="Connected Components" dataDxfId="33"/>
    <tableColumn id="12" name="Single-Vertex Connected Components" dataDxfId="32"/>
    <tableColumn id="13" name="Maximum Vertices in a Connected Component" dataDxfId="31"/>
    <tableColumn id="14" name="Maximum Edges in a Connected Component" dataDxfId="30"/>
    <tableColumn id="15" name="Maximum Geodesic Distance (Diameter)" dataDxfId="29"/>
    <tableColumn id="16" name="Average Geodesic Distance" dataDxfId="28"/>
    <tableColumn id="17" name="Graph Density" dataDxfId="27"/>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 totalsRowShown="0" headerRowDxfId="26" dataDxfId="25">
  <autoFilter ref="A1:C2"/>
  <tableColumns count="3">
    <tableColumn id="1" name="Group" dataDxfId="24"/>
    <tableColumn id="2" name="Vertex" dataDxfId="23"/>
    <tableColumn id="3" name="Vertex ID" dataDxfId="22"/>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9" totalsRowShown="0">
  <autoFilter ref="A1:B39"/>
  <tableColumns count="2">
    <tableColumn id="1" name="Graph Metric" dataDxfId="21"/>
    <tableColumn id="2" name="Value" dataDxfId="2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19"/>
    <tableColumn id="2" name="Degree Frequency" dataDxfId="18">
      <calculatedColumnFormula>COUNTIF(Vertices[Degree], "&gt;= " &amp; D2) - COUNTIF(Vertices[Degree], "&gt;=" &amp; D3)</calculatedColumnFormula>
    </tableColumn>
    <tableColumn id="3" name="In-Degree Bin" dataDxfId="17"/>
    <tableColumn id="4" name="In-Degree Frequency" dataDxfId="16">
      <calculatedColumnFormula>COUNTIF(Vertices[In-Degree], "&gt;= " &amp; F2) - COUNTIF(Vertices[In-Degree], "&gt;=" &amp; F3)</calculatedColumnFormula>
    </tableColumn>
    <tableColumn id="5" name="Out-Degree Bin" dataDxfId="15"/>
    <tableColumn id="6" name="Out-Degree Frequency" dataDxfId="14">
      <calculatedColumnFormula>COUNTIF(Vertices[Out-Degree], "&gt;= " &amp; H2) - COUNTIF(Vertices[Out-Degree], "&gt;=" &amp; H3)</calculatedColumnFormula>
    </tableColumn>
    <tableColumn id="7" name="Betweenness Centrality Bin" dataDxfId="13"/>
    <tableColumn id="8" name="Betweenness Centrality Frequency" dataDxfId="12">
      <calculatedColumnFormula>COUNTIF(Vertices[Betweenness Centrality], "&gt;= " &amp; J2) - COUNTIF(Vertices[Betweenness Centrality], "&gt;=" &amp; J3)</calculatedColumnFormula>
    </tableColumn>
    <tableColumn id="9" name="Closeness Centrality Bin" dataDxfId="11"/>
    <tableColumn id="10" name="Closeness Centrality Frequency" dataDxfId="10">
      <calculatedColumnFormula>COUNTIF(Vertices[Closeness Centrality], "&gt;= " &amp; L2) - COUNTIF(Vertices[Closeness Centrality], "&gt;=" &amp; L3)</calculatedColumnFormula>
    </tableColumn>
    <tableColumn id="11" name="Eigenvector Centrality Bin" dataDxfId="9"/>
    <tableColumn id="12" name="Eigenvector Centrality Frequency" dataDxfId="8">
      <calculatedColumnFormula>COUNTIF(Vertices[Eigenvector Centrality], "&gt;= " &amp; N2) - COUNTIF(Vertices[Eigenvector Centrality], "&gt;=" &amp; N3)</calculatedColumnFormula>
    </tableColumn>
    <tableColumn id="18" name="PageRank Bin" dataDxfId="7"/>
    <tableColumn id="17" name="PageRank Frequency" dataDxfId="6">
      <calculatedColumnFormula>COUNTIF(Vertices[Eigenvector Centrality], "&gt;= " &amp; P2) - COUNTIF(Vertices[Eigenvector Centrality], "&gt;=" &amp; P3)</calculatedColumnFormula>
    </tableColumn>
    <tableColumn id="13" name="Clustering Coefficient Bin" dataDxfId="5"/>
    <tableColumn id="14" name="Clustering Coefficient Frequency" dataDxfId="4">
      <calculatedColumnFormula>COUNTIF(Vertices[Clustering Coefficient], "&gt;= " &amp; R2) - COUNTIF(Vertices[Clustering Coefficient], "&gt;=" &amp; R3)</calculatedColumnFormula>
    </tableColumn>
    <tableColumn id="15" name="Dynamic Filter Bin" dataDxfId="3"/>
    <tableColumn id="16" name="Dynamic Filter Frequency" dataDxfId="2">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10" totalsRowShown="0" headerRowDxfId="1">
  <autoFilter ref="J1:K10"/>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pbs.twimg.com/profile_images/1625791466239889409/9-9krNKr_400x400.jpg" TargetMode="External" /><Relationship Id="rId2" Type="http://schemas.openxmlformats.org/officeDocument/2006/relationships/hyperlink" Target="https://pbs.twimg.com/profile_images/1407943350976647168/OGaF8xtq_400x400.jpg" TargetMode="External" /><Relationship Id="rId3" Type="http://schemas.openxmlformats.org/officeDocument/2006/relationships/hyperlink" Target="https://pbs.twimg.com/profile_images/1542787606605357059/XpgGEO9H_400x400.png" TargetMode="External" /><Relationship Id="rId4" Type="http://schemas.openxmlformats.org/officeDocument/2006/relationships/hyperlink" Target="https://pbs.twimg.com/profile_images/1576833779582246913/1hLVWZku_400x400.jpg" TargetMode="External" /><Relationship Id="rId5" Type="http://schemas.openxmlformats.org/officeDocument/2006/relationships/hyperlink" Target="https://pbs.twimg.com/profile_images/1531903660254437376/Lu9_l2UP_400x400.jpg" TargetMode="External" /><Relationship Id="rId6" Type="http://schemas.openxmlformats.org/officeDocument/2006/relationships/hyperlink" Target="https://pbs.twimg.com/profile_images/1566753671286775811/5yZrYHLw_400x400.jpg" TargetMode="External" /><Relationship Id="rId7" Type="http://schemas.openxmlformats.org/officeDocument/2006/relationships/comments" Target="../comments2.xml" /><Relationship Id="rId8" Type="http://schemas.openxmlformats.org/officeDocument/2006/relationships/vmlDrawing" Target="../drawings/vmlDrawing2.vml" /><Relationship Id="rId9" Type="http://schemas.openxmlformats.org/officeDocument/2006/relationships/table" Target="../tables/table2.xml" /><Relationship Id="rId10"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28"/>
  <sheetViews>
    <sheetView tabSelected="1" zoomScale="150" zoomScaleNormal="150" workbookViewId="0" topLeftCell="A1">
      <pane xSplit="2" ySplit="2" topLeftCell="C3" activePane="bottomRight" state="frozen"/>
      <selection pane="topRight" activeCell="C1" sqref="C1"/>
      <selection pane="bottomLeft" activeCell="A3" sqref="A3"/>
      <selection pane="bottomRight" activeCell="A1" sqref="A1"/>
    </sheetView>
  </sheetViews>
  <sheetFormatPr defaultColWidth="9.140625" defaultRowHeight="15"/>
  <cols>
    <col min="1" max="2" width="21.57421875" style="1" customWidth="1"/>
    <col min="3" max="3" width="7.8515625" style="0" customWidth="1"/>
    <col min="4" max="4" width="8.7109375" style="2" customWidth="1"/>
    <col min="5" max="5" width="7.7109375" style="2" customWidth="1"/>
    <col min="6" max="6" width="9.8515625" style="2" customWidth="1"/>
    <col min="7" max="7" width="11.00390625" style="0"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4.421875" style="0" customWidth="1"/>
    <col min="15" max="15" width="17.140625" style="0" bestFit="1" customWidth="1"/>
    <col min="16" max="16" width="20.140625" style="0" bestFit="1" customWidth="1"/>
  </cols>
  <sheetData>
    <row r="1" spans="3:13" ht="15">
      <c r="C1" s="90" t="s">
        <v>39</v>
      </c>
      <c r="D1" s="91"/>
      <c r="E1" s="91"/>
      <c r="F1" s="91"/>
      <c r="G1" s="90"/>
      <c r="H1" s="92" t="s">
        <v>43</v>
      </c>
      <c r="I1" s="93"/>
      <c r="J1" s="93"/>
      <c r="K1" s="30" t="s">
        <v>42</v>
      </c>
      <c r="L1" s="94" t="s">
        <v>40</v>
      </c>
      <c r="M1" s="94"/>
    </row>
    <row r="2" spans="1:14" ht="30" customHeight="1">
      <c r="A2" s="1" t="s">
        <v>0</v>
      </c>
      <c r="B2" s="1" t="s">
        <v>1</v>
      </c>
      <c r="C2" t="s">
        <v>2</v>
      </c>
      <c r="D2" t="s">
        <v>3</v>
      </c>
      <c r="E2" t="s">
        <v>130</v>
      </c>
      <c r="F2" t="s">
        <v>4</v>
      </c>
      <c r="G2" t="s">
        <v>11</v>
      </c>
      <c r="H2" s="1" t="s">
        <v>46</v>
      </c>
      <c r="I2" t="s">
        <v>160</v>
      </c>
      <c r="J2" t="s">
        <v>161</v>
      </c>
      <c r="K2" t="s">
        <v>165</v>
      </c>
      <c r="L2" t="s">
        <v>12</v>
      </c>
      <c r="M2" t="s">
        <v>38</v>
      </c>
      <c r="N2" t="s">
        <v>188</v>
      </c>
    </row>
    <row r="3" spans="1:14" ht="15">
      <c r="A3" s="110" t="s">
        <v>175</v>
      </c>
      <c r="B3" s="101" t="s">
        <v>177</v>
      </c>
      <c r="C3" s="95" t="s">
        <v>186</v>
      </c>
      <c r="D3" s="96">
        <v>10</v>
      </c>
      <c r="E3" s="97"/>
      <c r="F3" s="98">
        <v>30</v>
      </c>
      <c r="G3" s="95"/>
      <c r="H3" s="92"/>
      <c r="I3" s="99"/>
      <c r="J3" s="99"/>
      <c r="K3" s="30"/>
      <c r="L3" s="100">
        <v>3</v>
      </c>
      <c r="M3" s="100"/>
      <c r="N3" s="112">
        <v>209</v>
      </c>
    </row>
    <row r="4" spans="1:14" ht="15">
      <c r="A4" s="110" t="s">
        <v>175</v>
      </c>
      <c r="B4" s="101" t="s">
        <v>193</v>
      </c>
      <c r="C4" s="95" t="s">
        <v>207</v>
      </c>
      <c r="D4" s="96">
        <v>7.29126213592233</v>
      </c>
      <c r="E4" s="97"/>
      <c r="F4" s="98">
        <v>45.04854368932039</v>
      </c>
      <c r="G4" s="95"/>
      <c r="H4" s="92"/>
      <c r="I4" s="99"/>
      <c r="J4" s="99"/>
      <c r="K4" s="30"/>
      <c r="L4" s="100">
        <v>4</v>
      </c>
      <c r="M4" s="100"/>
      <c r="N4" s="112">
        <v>147</v>
      </c>
    </row>
    <row r="5" spans="1:14" ht="15">
      <c r="A5" s="110" t="s">
        <v>193</v>
      </c>
      <c r="B5" s="101" t="s">
        <v>174</v>
      </c>
      <c r="C5" s="95" t="s">
        <v>207</v>
      </c>
      <c r="D5" s="96">
        <v>7.160194174757281</v>
      </c>
      <c r="E5" s="97"/>
      <c r="F5" s="98">
        <v>45.77669902912621</v>
      </c>
      <c r="G5" s="95"/>
      <c r="H5" s="92"/>
      <c r="I5" s="99"/>
      <c r="J5" s="99"/>
      <c r="K5" s="30"/>
      <c r="L5" s="100">
        <v>5</v>
      </c>
      <c r="M5" s="100"/>
      <c r="N5" s="112">
        <v>144</v>
      </c>
    </row>
    <row r="6" spans="1:14" ht="15">
      <c r="A6" s="110" t="s">
        <v>193</v>
      </c>
      <c r="B6" s="101" t="s">
        <v>175</v>
      </c>
      <c r="C6" s="95" t="s">
        <v>200</v>
      </c>
      <c r="D6" s="96">
        <v>5.237864077669903</v>
      </c>
      <c r="E6" s="97"/>
      <c r="F6" s="98">
        <v>56.45631067961165</v>
      </c>
      <c r="G6" s="95"/>
      <c r="H6" s="92"/>
      <c r="I6" s="99"/>
      <c r="J6" s="99"/>
      <c r="K6" s="30"/>
      <c r="L6" s="100">
        <v>6</v>
      </c>
      <c r="M6" s="100"/>
      <c r="N6" s="102">
        <v>100</v>
      </c>
    </row>
    <row r="7" spans="1:14" ht="15">
      <c r="A7" s="110" t="s">
        <v>176</v>
      </c>
      <c r="B7" s="101" t="s">
        <v>193</v>
      </c>
      <c r="C7" s="95" t="s">
        <v>206</v>
      </c>
      <c r="D7" s="96">
        <v>4.757281553398059</v>
      </c>
      <c r="E7" s="97"/>
      <c r="F7" s="98">
        <v>59.126213592233015</v>
      </c>
      <c r="G7" s="95"/>
      <c r="H7" s="92"/>
      <c r="I7" s="99"/>
      <c r="J7" s="99"/>
      <c r="K7" s="30"/>
      <c r="L7" s="100">
        <v>7</v>
      </c>
      <c r="M7" s="100"/>
      <c r="N7" s="112">
        <v>89</v>
      </c>
    </row>
    <row r="8" spans="1:14" ht="15">
      <c r="A8" s="110" t="s">
        <v>177</v>
      </c>
      <c r="B8" s="101" t="s">
        <v>175</v>
      </c>
      <c r="C8" s="95" t="s">
        <v>203</v>
      </c>
      <c r="D8" s="96">
        <v>4.538834951456311</v>
      </c>
      <c r="E8" s="97"/>
      <c r="F8" s="98">
        <v>60.33980582524272</v>
      </c>
      <c r="G8" s="95"/>
      <c r="H8" s="92"/>
      <c r="I8" s="99"/>
      <c r="J8" s="99"/>
      <c r="K8" s="30"/>
      <c r="L8" s="100">
        <v>8</v>
      </c>
      <c r="M8" s="100"/>
      <c r="N8" s="102">
        <v>84</v>
      </c>
    </row>
    <row r="9" spans="1:14" ht="15">
      <c r="A9" s="110" t="s">
        <v>176</v>
      </c>
      <c r="B9" s="101" t="s">
        <v>177</v>
      </c>
      <c r="C9" s="95" t="s">
        <v>208</v>
      </c>
      <c r="D9" s="96">
        <v>4.014563106796117</v>
      </c>
      <c r="E9" s="97"/>
      <c r="F9" s="98">
        <v>63.252427184466015</v>
      </c>
      <c r="G9" s="95"/>
      <c r="H9" s="92"/>
      <c r="I9" s="99"/>
      <c r="J9" s="99"/>
      <c r="K9" s="30"/>
      <c r="L9" s="100">
        <v>9</v>
      </c>
      <c r="M9" s="100"/>
      <c r="N9" s="112">
        <v>72</v>
      </c>
    </row>
    <row r="10" spans="1:14" ht="15">
      <c r="A10" s="110" t="s">
        <v>175</v>
      </c>
      <c r="B10" s="101" t="s">
        <v>174</v>
      </c>
      <c r="C10" s="95" t="s">
        <v>209</v>
      </c>
      <c r="D10" s="96">
        <v>3.5776699029126213</v>
      </c>
      <c r="E10" s="97"/>
      <c r="F10" s="98">
        <v>65.67961165048544</v>
      </c>
      <c r="G10" s="95"/>
      <c r="H10" s="92"/>
      <c r="I10" s="99"/>
      <c r="J10" s="99"/>
      <c r="K10" s="30"/>
      <c r="L10" s="100">
        <v>10</v>
      </c>
      <c r="M10" s="100"/>
      <c r="N10" s="112">
        <v>62</v>
      </c>
    </row>
    <row r="11" spans="1:14" ht="15">
      <c r="A11" s="110" t="s">
        <v>177</v>
      </c>
      <c r="B11" s="101" t="s">
        <v>174</v>
      </c>
      <c r="C11" s="95" t="s">
        <v>204</v>
      </c>
      <c r="D11" s="96">
        <v>3.4466019417475726</v>
      </c>
      <c r="E11" s="97"/>
      <c r="F11" s="98">
        <v>66.40776699029126</v>
      </c>
      <c r="G11" s="95"/>
      <c r="H11" s="92"/>
      <c r="I11" s="99"/>
      <c r="J11" s="99"/>
      <c r="K11" s="30"/>
      <c r="L11" s="100">
        <v>11</v>
      </c>
      <c r="M11" s="100"/>
      <c r="N11" s="112">
        <v>59</v>
      </c>
    </row>
    <row r="12" spans="1:14" ht="15">
      <c r="A12" s="110" t="s">
        <v>174</v>
      </c>
      <c r="B12" s="101" t="s">
        <v>193</v>
      </c>
      <c r="C12" s="95" t="s">
        <v>204</v>
      </c>
      <c r="D12" s="96">
        <v>3.2718446601941746</v>
      </c>
      <c r="E12" s="97"/>
      <c r="F12" s="98">
        <v>67.37864077669903</v>
      </c>
      <c r="G12" s="95"/>
      <c r="H12" s="92"/>
      <c r="I12" s="99"/>
      <c r="J12" s="99"/>
      <c r="K12" s="30"/>
      <c r="L12" s="100">
        <v>12</v>
      </c>
      <c r="M12" s="100"/>
      <c r="N12" s="112">
        <v>55</v>
      </c>
    </row>
    <row r="13" spans="1:14" ht="15">
      <c r="A13" s="110" t="s">
        <v>174</v>
      </c>
      <c r="B13" s="101" t="s">
        <v>177</v>
      </c>
      <c r="C13" s="95" t="s">
        <v>202</v>
      </c>
      <c r="D13" s="96">
        <v>3.0097087378640777</v>
      </c>
      <c r="E13" s="97"/>
      <c r="F13" s="98">
        <v>68.83495145631068</v>
      </c>
      <c r="G13" s="95"/>
      <c r="H13" s="92"/>
      <c r="I13" s="99"/>
      <c r="J13" s="99"/>
      <c r="K13" s="30"/>
      <c r="L13" s="100">
        <v>13</v>
      </c>
      <c r="M13" s="100"/>
      <c r="N13" s="112">
        <v>49</v>
      </c>
    </row>
    <row r="14" spans="1:14" ht="15">
      <c r="A14" s="110" t="s">
        <v>176</v>
      </c>
      <c r="B14" s="101" t="s">
        <v>174</v>
      </c>
      <c r="C14" s="95" t="s">
        <v>199</v>
      </c>
      <c r="D14" s="96">
        <v>2.4854368932038833</v>
      </c>
      <c r="E14" s="97"/>
      <c r="F14" s="98">
        <v>71.74757281553399</v>
      </c>
      <c r="G14" s="95"/>
      <c r="H14" s="92"/>
      <c r="I14" s="99"/>
      <c r="J14" s="99"/>
      <c r="K14" s="30"/>
      <c r="L14" s="100">
        <v>14</v>
      </c>
      <c r="M14" s="100"/>
      <c r="N14" s="112">
        <v>37</v>
      </c>
    </row>
    <row r="15" spans="1:14" ht="15">
      <c r="A15" s="110" t="s">
        <v>174</v>
      </c>
      <c r="B15" s="101" t="s">
        <v>175</v>
      </c>
      <c r="C15" s="95" t="s">
        <v>199</v>
      </c>
      <c r="D15" s="96">
        <v>2.3980582524271847</v>
      </c>
      <c r="E15" s="97"/>
      <c r="F15" s="98">
        <v>72.23300970873787</v>
      </c>
      <c r="G15" s="95"/>
      <c r="H15" s="92"/>
      <c r="I15" s="99"/>
      <c r="J15" s="99"/>
      <c r="K15" s="30"/>
      <c r="L15" s="100">
        <v>15</v>
      </c>
      <c r="M15" s="100"/>
      <c r="N15" s="112">
        <v>35</v>
      </c>
    </row>
    <row r="16" spans="1:14" ht="15">
      <c r="A16" s="110" t="s">
        <v>178</v>
      </c>
      <c r="B16" s="101" t="s">
        <v>193</v>
      </c>
      <c r="C16" s="95" t="s">
        <v>210</v>
      </c>
      <c r="D16" s="96">
        <v>2.0048543689320386</v>
      </c>
      <c r="E16" s="97"/>
      <c r="F16" s="98">
        <v>74.41747572815534</v>
      </c>
      <c r="G16" s="95"/>
      <c r="H16" s="92"/>
      <c r="I16" s="99"/>
      <c r="J16" s="99"/>
      <c r="K16" s="30"/>
      <c r="L16" s="100">
        <v>16</v>
      </c>
      <c r="M16" s="100"/>
      <c r="N16" s="112">
        <v>26</v>
      </c>
    </row>
    <row r="17" spans="1:14" ht="15">
      <c r="A17" s="110" t="s">
        <v>178</v>
      </c>
      <c r="B17" s="101" t="s">
        <v>174</v>
      </c>
      <c r="C17" s="95" t="s">
        <v>198</v>
      </c>
      <c r="D17" s="96">
        <v>1.8300970873786406</v>
      </c>
      <c r="E17" s="97"/>
      <c r="F17" s="98">
        <v>75.3883495145631</v>
      </c>
      <c r="G17" s="95"/>
      <c r="H17" s="92"/>
      <c r="I17" s="99"/>
      <c r="J17" s="99"/>
      <c r="K17" s="30"/>
      <c r="L17" s="100">
        <v>17</v>
      </c>
      <c r="M17" s="100"/>
      <c r="N17" s="112">
        <v>22</v>
      </c>
    </row>
    <row r="18" spans="1:14" ht="15">
      <c r="A18" s="110" t="s">
        <v>193</v>
      </c>
      <c r="B18" s="101" t="s">
        <v>178</v>
      </c>
      <c r="C18" s="95" t="s">
        <v>198</v>
      </c>
      <c r="D18" s="96">
        <v>1.7427184466019416</v>
      </c>
      <c r="E18" s="97"/>
      <c r="F18" s="98">
        <v>75.87378640776699</v>
      </c>
      <c r="G18" s="95"/>
      <c r="H18" s="92"/>
      <c r="I18" s="99"/>
      <c r="J18" s="99"/>
      <c r="K18" s="30"/>
      <c r="L18" s="100">
        <v>18</v>
      </c>
      <c r="M18" s="100"/>
      <c r="N18" s="112">
        <v>20</v>
      </c>
    </row>
    <row r="19" spans="1:14" ht="15">
      <c r="A19" s="110" t="s">
        <v>178</v>
      </c>
      <c r="B19" s="101" t="s">
        <v>177</v>
      </c>
      <c r="C19" s="95" t="s">
        <v>198</v>
      </c>
      <c r="D19" s="96">
        <v>1.7427184466019416</v>
      </c>
      <c r="E19" s="97"/>
      <c r="F19" s="98">
        <v>75.87378640776699</v>
      </c>
      <c r="G19" s="95"/>
      <c r="H19" s="92"/>
      <c r="I19" s="99"/>
      <c r="J19" s="99"/>
      <c r="K19" s="30"/>
      <c r="L19" s="100">
        <v>19</v>
      </c>
      <c r="M19" s="100"/>
      <c r="N19" s="112">
        <v>20</v>
      </c>
    </row>
    <row r="20" spans="1:14" ht="15">
      <c r="A20" s="110" t="s">
        <v>176</v>
      </c>
      <c r="B20" s="101" t="s">
        <v>175</v>
      </c>
      <c r="C20" s="95" t="s">
        <v>189</v>
      </c>
      <c r="D20" s="96">
        <v>1.5679611650485437</v>
      </c>
      <c r="E20" s="97"/>
      <c r="F20" s="98">
        <v>76.84466019417476</v>
      </c>
      <c r="G20" s="95"/>
      <c r="H20" s="92"/>
      <c r="I20" s="99"/>
      <c r="J20" s="99"/>
      <c r="K20" s="30"/>
      <c r="L20" s="100">
        <v>20</v>
      </c>
      <c r="M20" s="100"/>
      <c r="N20" s="102">
        <v>16</v>
      </c>
    </row>
    <row r="21" spans="1:14" ht="15">
      <c r="A21" s="110" t="s">
        <v>177</v>
      </c>
      <c r="B21" s="101" t="s">
        <v>178</v>
      </c>
      <c r="C21" s="95" t="s">
        <v>201</v>
      </c>
      <c r="D21" s="96">
        <v>1.3932038834951457</v>
      </c>
      <c r="E21" s="97"/>
      <c r="F21" s="98">
        <v>77.81553398058253</v>
      </c>
      <c r="G21" s="95"/>
      <c r="H21" s="92"/>
      <c r="I21" s="99"/>
      <c r="J21" s="99"/>
      <c r="K21" s="30"/>
      <c r="L21" s="100">
        <v>21</v>
      </c>
      <c r="M21" s="100"/>
      <c r="N21" s="112">
        <v>12</v>
      </c>
    </row>
    <row r="22" spans="1:14" ht="15">
      <c r="A22" s="110" t="s">
        <v>175</v>
      </c>
      <c r="B22" s="87" t="s">
        <v>178</v>
      </c>
      <c r="C22" s="104" t="s">
        <v>185</v>
      </c>
      <c r="D22" s="105">
        <v>1.2184466019417475</v>
      </c>
      <c r="E22" s="106"/>
      <c r="F22" s="107">
        <v>78.7864077669903</v>
      </c>
      <c r="G22" s="104"/>
      <c r="H22" s="108"/>
      <c r="I22" s="109"/>
      <c r="J22" s="109"/>
      <c r="K22" s="103"/>
      <c r="L22" s="111">
        <v>22</v>
      </c>
      <c r="M22" s="111"/>
      <c r="N22" s="112">
        <v>8</v>
      </c>
    </row>
    <row r="23" spans="1:14" ht="15">
      <c r="A23" s="110" t="s">
        <v>178</v>
      </c>
      <c r="B23" s="87" t="s">
        <v>175</v>
      </c>
      <c r="C23" s="104" t="s">
        <v>185</v>
      </c>
      <c r="D23" s="105">
        <v>1.174757281553398</v>
      </c>
      <c r="E23" s="106"/>
      <c r="F23" s="107">
        <v>79.02912621359224</v>
      </c>
      <c r="G23" s="104"/>
      <c r="H23" s="108"/>
      <c r="I23" s="109"/>
      <c r="J23" s="109"/>
      <c r="K23" s="103"/>
      <c r="L23" s="111">
        <v>23</v>
      </c>
      <c r="M23" s="111"/>
      <c r="N23" s="102">
        <v>7</v>
      </c>
    </row>
    <row r="24" spans="1:14" ht="15">
      <c r="A24" s="110" t="s">
        <v>176</v>
      </c>
      <c r="B24" s="87" t="s">
        <v>178</v>
      </c>
      <c r="C24" s="104" t="s">
        <v>185</v>
      </c>
      <c r="D24" s="105">
        <v>1.174757281553398</v>
      </c>
      <c r="E24" s="106"/>
      <c r="F24" s="107">
        <v>79.02912621359224</v>
      </c>
      <c r="G24" s="104"/>
      <c r="H24" s="108"/>
      <c r="I24" s="109"/>
      <c r="J24" s="109"/>
      <c r="K24" s="103"/>
      <c r="L24" s="111">
        <v>24</v>
      </c>
      <c r="M24" s="111"/>
      <c r="N24" s="112">
        <v>7</v>
      </c>
    </row>
    <row r="25" spans="1:14" ht="15">
      <c r="A25" s="110" t="s">
        <v>175</v>
      </c>
      <c r="B25" s="87" t="s">
        <v>176</v>
      </c>
      <c r="C25" s="104" t="s">
        <v>185</v>
      </c>
      <c r="D25" s="105">
        <v>1.1310679611650485</v>
      </c>
      <c r="E25" s="106"/>
      <c r="F25" s="107">
        <v>79.27184466019418</v>
      </c>
      <c r="G25" s="104"/>
      <c r="H25" s="108"/>
      <c r="I25" s="109"/>
      <c r="J25" s="109"/>
      <c r="K25" s="103"/>
      <c r="L25" s="111">
        <v>25</v>
      </c>
      <c r="M25" s="111"/>
      <c r="N25" s="102">
        <v>6</v>
      </c>
    </row>
    <row r="26" spans="1:14" ht="15">
      <c r="A26" s="110" t="s">
        <v>177</v>
      </c>
      <c r="B26" s="87" t="s">
        <v>176</v>
      </c>
      <c r="C26" s="104" t="s">
        <v>185</v>
      </c>
      <c r="D26" s="105">
        <v>1.0436893203883495</v>
      </c>
      <c r="E26" s="106"/>
      <c r="F26" s="107">
        <v>79.75728155339806</v>
      </c>
      <c r="G26" s="104"/>
      <c r="H26" s="108"/>
      <c r="I26" s="109"/>
      <c r="J26" s="109"/>
      <c r="K26" s="103"/>
      <c r="L26" s="111">
        <v>26</v>
      </c>
      <c r="M26" s="111"/>
      <c r="N26" s="102">
        <v>4</v>
      </c>
    </row>
    <row r="27" spans="1:14" ht="15">
      <c r="A27" s="110" t="s">
        <v>174</v>
      </c>
      <c r="B27" s="87" t="s">
        <v>178</v>
      </c>
      <c r="C27" s="104" t="s">
        <v>185</v>
      </c>
      <c r="D27" s="105">
        <v>1.0436893203883495</v>
      </c>
      <c r="E27" s="106"/>
      <c r="F27" s="107">
        <v>79.75728155339806</v>
      </c>
      <c r="G27" s="104"/>
      <c r="H27" s="108"/>
      <c r="I27" s="109"/>
      <c r="J27" s="109"/>
      <c r="K27" s="103"/>
      <c r="L27" s="111">
        <v>27</v>
      </c>
      <c r="M27" s="111"/>
      <c r="N27" s="102">
        <v>4</v>
      </c>
    </row>
    <row r="28" spans="1:14" ht="15">
      <c r="A28" s="110" t="s">
        <v>193</v>
      </c>
      <c r="B28" s="87" t="s">
        <v>176</v>
      </c>
      <c r="C28" s="104" t="s">
        <v>185</v>
      </c>
      <c r="D28" s="105">
        <v>1</v>
      </c>
      <c r="E28" s="106"/>
      <c r="F28" s="107">
        <v>80</v>
      </c>
      <c r="G28" s="104"/>
      <c r="H28" s="108"/>
      <c r="I28" s="109"/>
      <c r="J28" s="109"/>
      <c r="K28" s="103"/>
      <c r="L28" s="111">
        <v>28</v>
      </c>
      <c r="M28" s="111"/>
      <c r="N28" s="102">
        <v>3</v>
      </c>
    </row>
  </sheetData>
  <dataValidations count="11">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8"/>
    <dataValidation allowBlank="1" showInputMessage="1" promptTitle="Edge Color" prompt="To select an optional edge color, right-click and select Select Color on the right-click menu." sqref="C3:C28"/>
    <dataValidation allowBlank="1" showInputMessage="1" promptTitle="Edge Width" prompt="Enter an optional edge width between 1 and 10." errorTitle="Invalid Edge Width" error="The optional edge width must be a whole number between 1 and 10." sqref="D3:D28"/>
    <dataValidation allowBlank="1" showInputMessage="1" promptTitle="Edge Opacity" prompt="Enter an optional edge opacity between 0 (transparent) and 100 (opaque)." errorTitle="Invalid Edge Opacity" error="The optional edge opacity must be a whole number between 0 and 10." sqref="F3:F2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8">
      <formula1>ValidEdgeVisibilities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8"/>
  </dataValidations>
  <printOptions/>
  <pageMargins left="0.7" right="0.7" top="0.75" bottom="0.75" header="0.3" footer="0.3"/>
  <pageSetup horizontalDpi="600" verticalDpi="600" orientation="portrait" r:id="rId4"/>
  <legacyDrawing r:id="rId2"/>
  <tableParts>
    <tablePart r:id="rId3"/>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D8"/>
  <sheetViews>
    <sheetView zoomScale="120" zoomScaleNormal="120" workbookViewId="0" topLeftCell="A1">
      <pane xSplit="1" ySplit="2" topLeftCell="F3" activePane="bottomRight" state="frozen"/>
      <selection pane="topRight" activeCell="B1" sqref="B1"/>
      <selection pane="bottomLeft" activeCell="A3" sqref="A3"/>
      <selection pane="bottomRight" activeCell="A2" sqref="A2:AC2"/>
    </sheetView>
  </sheetViews>
  <sheetFormatPr defaultColWidth="9.140625" defaultRowHeight="15"/>
  <cols>
    <col min="1" max="1" width="20.00390625" style="1" customWidth="1"/>
    <col min="2" max="2" width="7.8515625" style="0" customWidth="1"/>
    <col min="3" max="3" width="8.57421875" style="0" customWidth="1"/>
    <col min="4" max="4" width="8.8515625" style="0" customWidth="1"/>
    <col min="5" max="5" width="9.8515625" style="0" customWidth="1"/>
    <col min="6" max="6" width="79.140625" style="0" customWidth="1"/>
    <col min="7" max="7" width="11.00390625" style="0" customWidth="1"/>
    <col min="8" max="8" width="8.57421875" style="0" hidden="1" customWidth="1"/>
    <col min="9" max="9" width="9.7109375" style="0" hidden="1" customWidth="1"/>
    <col min="10" max="10" width="10.57421875" style="0" hidden="1" customWidth="1"/>
    <col min="11" max="12" width="9.140625" style="0" hidden="1" customWidth="1"/>
    <col min="13" max="14" width="4.28125" style="0" hidden="1" customWidth="1"/>
    <col min="15" max="15" width="10.28125" style="0" hidden="1" customWidth="1"/>
    <col min="16" max="16" width="6.421875" style="0" hidden="1" customWidth="1"/>
    <col min="17" max="17" width="24.1406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0" hidden="1" customWidth="1"/>
    <col min="28" max="28" width="16.00390625" style="0" hidden="1" customWidth="1"/>
    <col min="29" max="29" width="16.00390625" style="5" bestFit="1" customWidth="1"/>
    <col min="30" max="30" width="14.28125" style="2" customWidth="1"/>
    <col min="31" max="32" width="14.28125" style="0" customWidth="1"/>
    <col min="33" max="33" width="11.8515625" style="0" customWidth="1"/>
    <col min="34" max="34" width="14.421875" style="0" customWidth="1"/>
    <col min="35" max="35" width="5.00390625" style="0" customWidth="1"/>
    <col min="36" max="36" width="16.00390625" style="0" customWidth="1"/>
    <col min="37" max="37" width="16.00390625" style="0" bestFit="1" customWidth="1"/>
    <col min="38" max="39" width="9.140625" style="0" customWidth="1"/>
  </cols>
  <sheetData>
    <row r="1" spans="2:30" ht="15">
      <c r="B1" s="20" t="s">
        <v>39</v>
      </c>
      <c r="C1" s="14"/>
      <c r="D1" s="14"/>
      <c r="E1" s="14"/>
      <c r="F1" s="14"/>
      <c r="G1" s="14"/>
      <c r="H1" s="22" t="s">
        <v>43</v>
      </c>
      <c r="I1" s="21"/>
      <c r="J1" s="21"/>
      <c r="K1" s="21"/>
      <c r="L1" s="24" t="s">
        <v>44</v>
      </c>
      <c r="M1" s="23"/>
      <c r="N1" s="23"/>
      <c r="O1" s="23"/>
      <c r="P1" s="23"/>
      <c r="Q1" s="23"/>
      <c r="R1" s="19" t="s">
        <v>42</v>
      </c>
      <c r="S1" s="16"/>
      <c r="T1" s="17"/>
      <c r="U1" s="18"/>
      <c r="V1" s="16"/>
      <c r="W1" s="16"/>
      <c r="X1" s="16"/>
      <c r="Y1" s="16"/>
      <c r="Z1" s="16"/>
      <c r="AA1" s="25" t="s">
        <v>40</v>
      </c>
      <c r="AB1" s="15"/>
      <c r="AC1" s="26" t="s">
        <v>41</v>
      </c>
      <c r="AD1"/>
    </row>
    <row r="2" spans="1:30" ht="30" customHeight="1">
      <c r="A2" s="10" t="s">
        <v>5</v>
      </c>
      <c r="B2" s="7" t="s">
        <v>2</v>
      </c>
      <c r="C2" s="7" t="s">
        <v>8</v>
      </c>
      <c r="D2" s="8" t="s">
        <v>45</v>
      </c>
      <c r="E2" s="9" t="s">
        <v>4</v>
      </c>
      <c r="F2" s="7" t="s">
        <v>48</v>
      </c>
      <c r="G2" s="7" t="s">
        <v>11</v>
      </c>
      <c r="H2" s="7" t="s">
        <v>46</v>
      </c>
      <c r="I2" s="7" t="s">
        <v>47</v>
      </c>
      <c r="J2" s="7" t="s">
        <v>77</v>
      </c>
      <c r="K2" s="7" t="s">
        <v>10</v>
      </c>
      <c r="L2" s="7" t="s">
        <v>27</v>
      </c>
      <c r="M2" s="7" t="s">
        <v>15</v>
      </c>
      <c r="N2" s="7" t="s">
        <v>16</v>
      </c>
      <c r="O2" s="7" t="s">
        <v>13</v>
      </c>
      <c r="P2" s="7" t="s">
        <v>28</v>
      </c>
      <c r="Q2" s="7" t="s">
        <v>29</v>
      </c>
      <c r="R2" s="7" t="s">
        <v>31</v>
      </c>
      <c r="S2" s="7" t="s">
        <v>32</v>
      </c>
      <c r="T2" s="7" t="s">
        <v>33</v>
      </c>
      <c r="U2" s="7" t="s">
        <v>34</v>
      </c>
      <c r="V2" s="7" t="s">
        <v>35</v>
      </c>
      <c r="W2" s="7" t="s">
        <v>36</v>
      </c>
      <c r="X2" s="7" t="s">
        <v>137</v>
      </c>
      <c r="Y2" s="7" t="s">
        <v>37</v>
      </c>
      <c r="Z2" s="7" t="s">
        <v>170</v>
      </c>
      <c r="AA2" s="10" t="s">
        <v>12</v>
      </c>
      <c r="AB2" s="10" t="s">
        <v>38</v>
      </c>
      <c r="AC2" s="7" t="s">
        <v>26</v>
      </c>
      <c r="AD2"/>
    </row>
    <row r="3" spans="1:29" ht="15">
      <c r="A3" s="11" t="s">
        <v>178</v>
      </c>
      <c r="B3" s="12"/>
      <c r="C3" s="12"/>
      <c r="D3" s="60">
        <v>1000</v>
      </c>
      <c r="E3" s="61"/>
      <c r="F3" s="66" t="s">
        <v>190</v>
      </c>
      <c r="G3" s="12"/>
      <c r="H3" s="13"/>
      <c r="I3" s="45"/>
      <c r="J3" s="45"/>
      <c r="K3" s="13" t="s">
        <v>178</v>
      </c>
      <c r="L3" s="80">
        <v>4000.2</v>
      </c>
      <c r="M3" s="81">
        <v>3226.853515625</v>
      </c>
      <c r="N3" s="81">
        <v>901.3802490234375</v>
      </c>
      <c r="O3" s="55"/>
      <c r="P3" s="82"/>
      <c r="Q3" s="82"/>
      <c r="R3" s="62">
        <v>3</v>
      </c>
      <c r="S3" s="62"/>
      <c r="T3" s="62"/>
      <c r="U3" s="62"/>
      <c r="V3" s="83"/>
      <c r="W3" s="83"/>
      <c r="X3" s="83"/>
      <c r="Y3" s="83"/>
      <c r="Z3" s="84"/>
      <c r="AA3" s="85">
        <v>3</v>
      </c>
      <c r="AB3" s="85"/>
      <c r="AC3" s="63"/>
    </row>
    <row r="4" spans="1:29" ht="15">
      <c r="A4" s="67" t="s">
        <v>174</v>
      </c>
      <c r="B4" s="12"/>
      <c r="C4" s="12"/>
      <c r="D4" s="60">
        <v>1000</v>
      </c>
      <c r="E4" s="61"/>
      <c r="F4" s="86" t="s">
        <v>194</v>
      </c>
      <c r="G4" s="12"/>
      <c r="H4" s="13"/>
      <c r="I4" s="45"/>
      <c r="J4" s="45"/>
      <c r="K4" s="13" t="s">
        <v>174</v>
      </c>
      <c r="L4" s="80">
        <v>5999.8</v>
      </c>
      <c r="M4" s="81">
        <v>1454.20703125</v>
      </c>
      <c r="N4" s="81">
        <v>4999.5</v>
      </c>
      <c r="O4" s="55"/>
      <c r="P4" s="82"/>
      <c r="Q4" s="82"/>
      <c r="R4" s="62">
        <v>4</v>
      </c>
      <c r="S4" s="62"/>
      <c r="T4" s="62"/>
      <c r="U4" s="62"/>
      <c r="V4" s="83"/>
      <c r="W4" s="83"/>
      <c r="X4" s="83"/>
      <c r="Y4" s="83"/>
      <c r="Z4" s="84"/>
      <c r="AA4" s="85">
        <v>4</v>
      </c>
      <c r="AB4" s="85"/>
      <c r="AC4" s="78"/>
    </row>
    <row r="5" spans="1:29" ht="15">
      <c r="A5" s="11" t="s">
        <v>175</v>
      </c>
      <c r="B5" s="12"/>
      <c r="C5" s="12"/>
      <c r="D5" s="60">
        <v>1000</v>
      </c>
      <c r="E5" s="61"/>
      <c r="F5" s="86" t="s">
        <v>196</v>
      </c>
      <c r="G5" s="12"/>
      <c r="H5" s="13"/>
      <c r="I5" s="45"/>
      <c r="J5" s="45"/>
      <c r="K5" s="13" t="s">
        <v>175</v>
      </c>
      <c r="L5" s="80">
        <v>9999</v>
      </c>
      <c r="M5" s="81">
        <v>6772.146484375</v>
      </c>
      <c r="N5" s="81">
        <v>9097.6201171875</v>
      </c>
      <c r="O5" s="55"/>
      <c r="P5" s="82"/>
      <c r="Q5" s="82"/>
      <c r="R5" s="76">
        <v>6</v>
      </c>
      <c r="S5" s="62"/>
      <c r="T5" s="62"/>
      <c r="U5" s="62"/>
      <c r="V5" s="83"/>
      <c r="W5" s="83"/>
      <c r="X5" s="83"/>
      <c r="Y5" s="83"/>
      <c r="Z5" s="84"/>
      <c r="AA5" s="85">
        <v>5</v>
      </c>
      <c r="AB5" s="85"/>
      <c r="AC5" s="63"/>
    </row>
    <row r="6" spans="1:29" ht="15">
      <c r="A6" s="11" t="s">
        <v>177</v>
      </c>
      <c r="B6" s="12"/>
      <c r="C6" s="12"/>
      <c r="D6" s="60">
        <v>1000</v>
      </c>
      <c r="E6" s="61"/>
      <c r="F6" s="86" t="s">
        <v>195</v>
      </c>
      <c r="G6" s="12"/>
      <c r="H6" s="13"/>
      <c r="I6" s="45"/>
      <c r="J6" s="45"/>
      <c r="K6" s="13" t="s">
        <v>177</v>
      </c>
      <c r="L6" s="80">
        <v>1</v>
      </c>
      <c r="M6" s="81">
        <v>8544.79296875</v>
      </c>
      <c r="N6" s="81">
        <v>4999.5</v>
      </c>
      <c r="O6" s="55"/>
      <c r="P6" s="82"/>
      <c r="Q6" s="82"/>
      <c r="R6" s="62">
        <v>1</v>
      </c>
      <c r="S6" s="62"/>
      <c r="T6" s="62"/>
      <c r="U6" s="62"/>
      <c r="V6" s="83"/>
      <c r="W6" s="83"/>
      <c r="X6" s="83"/>
      <c r="Y6" s="83"/>
      <c r="Z6" s="84"/>
      <c r="AA6" s="85">
        <v>6</v>
      </c>
      <c r="AB6" s="85"/>
      <c r="AC6" s="63"/>
    </row>
    <row r="7" spans="1:29" ht="15">
      <c r="A7" s="11" t="s">
        <v>176</v>
      </c>
      <c r="B7" s="68"/>
      <c r="C7" s="68"/>
      <c r="D7" s="60">
        <v>1000</v>
      </c>
      <c r="E7" s="69"/>
      <c r="F7" s="86" t="s">
        <v>205</v>
      </c>
      <c r="G7" s="68"/>
      <c r="H7" s="70"/>
      <c r="I7" s="71"/>
      <c r="J7" s="71"/>
      <c r="K7" s="70" t="s">
        <v>176</v>
      </c>
      <c r="L7" s="72">
        <v>2000.6</v>
      </c>
      <c r="M7" s="73">
        <v>6772.146484375</v>
      </c>
      <c r="N7" s="73">
        <v>901.3802490234375</v>
      </c>
      <c r="O7" s="74"/>
      <c r="P7" s="75"/>
      <c r="Q7" s="75"/>
      <c r="R7" s="62">
        <v>2</v>
      </c>
      <c r="S7" s="76"/>
      <c r="T7" s="76"/>
      <c r="U7" s="76"/>
      <c r="V7" s="64"/>
      <c r="W7" s="64"/>
      <c r="X7" s="64"/>
      <c r="Y7" s="64"/>
      <c r="Z7" s="65"/>
      <c r="AA7" s="77">
        <v>7</v>
      </c>
      <c r="AB7" s="77"/>
      <c r="AC7" s="63"/>
    </row>
    <row r="8" spans="1:29" ht="15">
      <c r="A8" s="67" t="s">
        <v>193</v>
      </c>
      <c r="B8" s="68"/>
      <c r="C8" s="68"/>
      <c r="D8" s="60">
        <v>1000</v>
      </c>
      <c r="E8" s="61"/>
      <c r="F8" s="86" t="s">
        <v>197</v>
      </c>
      <c r="G8" s="68"/>
      <c r="H8" s="70"/>
      <c r="I8" s="71"/>
      <c r="J8" s="71"/>
      <c r="K8" s="70" t="s">
        <v>193</v>
      </c>
      <c r="L8" s="72">
        <v>7999.4</v>
      </c>
      <c r="M8" s="73">
        <v>3226.853515625</v>
      </c>
      <c r="N8" s="73">
        <v>9097.6201171875</v>
      </c>
      <c r="O8" s="74"/>
      <c r="P8" s="75"/>
      <c r="Q8" s="75"/>
      <c r="R8" s="88">
        <v>5</v>
      </c>
      <c r="S8" s="88"/>
      <c r="T8" s="88"/>
      <c r="U8" s="88"/>
      <c r="V8" s="89"/>
      <c r="W8" s="89"/>
      <c r="X8" s="89"/>
      <c r="Y8" s="89"/>
      <c r="Z8" s="65"/>
      <c r="AA8" s="77">
        <v>8</v>
      </c>
      <c r="AB8" s="77"/>
      <c r="AC8" s="78"/>
    </row>
  </sheetData>
  <dataValidations count="19">
    <dataValidation allowBlank="1" showErrorMessage="1" sqref="AD2"/>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8"/>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8"/>
    <dataValidation allowBlank="1" showInputMessage="1" promptTitle="Vertex Tooltip" prompt="Enter optional text that will pop up when the mouse is hovered over the vertex." errorTitle="Invalid Vertex Image Key" sqref="K3:K8"/>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8"/>
    <dataValidation allowBlank="1" showInputMessage="1" promptTitle="Vertex Label Fill Color" prompt="To select an optional fill color for the Label shape, right-click and select Select Color on the right-click menu." sqref="I3:I8"/>
    <dataValidation allowBlank="1" showInputMessage="1" promptTitle="Vertex Color" prompt="To select an optional vertex color, right-click and select Select Color on the right-click menu." sqref="B3:B8"/>
    <dataValidation allowBlank="1" showInputMessage="1" promptTitle="Vertex Opacity" prompt="Enter an optional vertex opacity between 0 (transparent) and 100 (opaque)." errorTitle="Invalid Vertex Opacity" error="The optional vertex opacity must be a whole number between 0 and 10." sqref="E3:E8"/>
    <dataValidation type="list" allowBlank="1" showInputMessage="1" showErrorMessage="1" promptTitle="Vertex Shape" prompt="Select an optional vertex shape." errorTitle="Invalid Vertex Shape" error="You have entered an invalid vertex shape.  Try selecting from the drop-down list instead." sqref="C3:C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8">
      <formula1>ValidVertexLabelPositions</formula1>
    </dataValidation>
    <dataValidation allowBlank="1" showInputMessage="1" showErrorMessage="1" promptTitle="Vertex Name" prompt="Enter the name of the vertex." sqref="A3:A8"/>
    <dataValidation allowBlank="1" showInputMessage="1" promptTitle="Vertex Image File" prompt="Enter the path to an image file.  Hover over the column header for examples." errorTitle="Invalid Vertex Image Key" sqref="F3:F8"/>
  </dataValidations>
  <hyperlinks>
    <hyperlink ref="F7" r:id="rId1" display="https://pbs.twimg.com/profile_images/1625791466239889409/9-9krNKr_400x400.jpg"/>
    <hyperlink ref="F3" r:id="rId2" display="https://pbs.twimg.com/profile_images/1407943350976647168/OGaF8xtq_400x400.jpg"/>
    <hyperlink ref="F4" r:id="rId3" display="https://pbs.twimg.com/profile_images/1542787606605357059/XpgGEO9H_400x400.png"/>
    <hyperlink ref="F8" r:id="rId4" display="https://pbs.twimg.com/profile_images/1576833779582246913/1hLVWZku_400x400.jpg"/>
    <hyperlink ref="F6" r:id="rId5" display="https://pbs.twimg.com/profile_images/1531903660254437376/Lu9_l2UP_400x400.jpg"/>
    <hyperlink ref="F5" r:id="rId6" display="https://pbs.twimg.com/profile_images/1566753671286775811/5yZrYHLw_400x400.jpg"/>
  </hyperlinks>
  <printOptions/>
  <pageMargins left="0.7" right="0.7" top="0.75" bottom="0.75" header="0.3" footer="0.3"/>
  <pageSetup horizontalDpi="600" verticalDpi="600" orientation="portrait" r:id="rId10"/>
  <legacyDrawing r:id="rId8"/>
  <tableParts>
    <tablePart r:id="rId9"/>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7"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X3"/>
  <sheetViews>
    <sheetView workbookViewId="0" topLeftCell="A1">
      <pane ySplit="2" topLeftCell="A3" activePane="bottomLeft" state="frozen"/>
      <selection pane="bottomLeft" activeCell="A2" sqref="A2:X2"/>
    </sheetView>
  </sheetViews>
  <sheetFormatPr defaultColWidth="9.140625" defaultRowHeight="15"/>
  <cols>
    <col min="1" max="1" width="9.421875" style="1" bestFit="1" customWidth="1"/>
    <col min="2" max="2" width="14.28125" style="0" customWidth="1"/>
    <col min="3" max="3" width="15.00390625" style="0" customWidth="1"/>
    <col min="4" max="4" width="11.140625" style="0" customWidth="1"/>
    <col min="5" max="5" width="13.00390625" style="0"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00390625" style="0" customWidth="1"/>
  </cols>
  <sheetData>
    <row r="1" spans="2:24" ht="15">
      <c r="B1" s="46" t="s">
        <v>39</v>
      </c>
      <c r="C1" s="47"/>
      <c r="D1" s="47"/>
      <c r="E1" s="48"/>
      <c r="F1" s="45" t="s">
        <v>43</v>
      </c>
      <c r="G1" s="49" t="s">
        <v>44</v>
      </c>
      <c r="H1" s="50"/>
      <c r="I1" s="51" t="s">
        <v>40</v>
      </c>
      <c r="J1" s="52"/>
      <c r="K1" s="53" t="s">
        <v>42</v>
      </c>
      <c r="L1" s="54"/>
      <c r="M1" s="54"/>
      <c r="N1" s="54"/>
      <c r="O1" s="54"/>
      <c r="P1" s="54"/>
      <c r="Q1" s="54"/>
      <c r="R1" s="54"/>
      <c r="S1" s="54"/>
      <c r="T1" s="54"/>
      <c r="U1" s="54"/>
      <c r="V1" s="54"/>
      <c r="W1" s="54"/>
      <c r="X1" s="54"/>
    </row>
    <row r="2" spans="1:24"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row>
    <row r="3" spans="1:24" ht="15">
      <c r="A3" s="11"/>
      <c r="B3" s="12"/>
      <c r="C3" s="12"/>
      <c r="D3" s="12"/>
      <c r="E3" s="12"/>
      <c r="F3" s="13"/>
      <c r="G3" s="55"/>
      <c r="H3" s="55"/>
      <c r="I3" s="44"/>
      <c r="J3" s="44"/>
      <c r="K3" s="42"/>
      <c r="L3" s="42"/>
      <c r="M3" s="42"/>
      <c r="N3" s="42"/>
      <c r="O3" s="42"/>
      <c r="P3" s="42"/>
      <c r="Q3" s="42"/>
      <c r="R3" s="42"/>
      <c r="S3" s="42"/>
      <c r="T3" s="42"/>
      <c r="U3" s="42"/>
      <c r="V3" s="42"/>
      <c r="W3" s="43"/>
      <c r="X3" s="43"/>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 r="A1" s="1" t="s">
        <v>144</v>
      </c>
      <c r="B1" s="1" t="s">
        <v>5</v>
      </c>
      <c r="C1" s="1" t="s">
        <v>147</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56"/>
  <sheetViews>
    <sheetView workbookViewId="0" topLeftCell="A9">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1" t="s">
        <v>86</v>
      </c>
      <c r="G1" s="32" t="s">
        <v>87</v>
      </c>
      <c r="H1" s="31" t="s">
        <v>92</v>
      </c>
      <c r="I1" s="32" t="s">
        <v>93</v>
      </c>
      <c r="J1" s="31" t="s">
        <v>98</v>
      </c>
      <c r="K1" s="32" t="s">
        <v>99</v>
      </c>
      <c r="L1" s="31" t="s">
        <v>104</v>
      </c>
      <c r="M1" s="32" t="s">
        <v>105</v>
      </c>
      <c r="N1" s="31" t="s">
        <v>110</v>
      </c>
      <c r="O1" s="32" t="s">
        <v>111</v>
      </c>
      <c r="P1" s="32" t="s">
        <v>138</v>
      </c>
      <c r="Q1" s="32" t="s">
        <v>139</v>
      </c>
      <c r="R1" s="31" t="s">
        <v>116</v>
      </c>
      <c r="S1" s="31" t="s">
        <v>117</v>
      </c>
      <c r="T1" s="31" t="s">
        <v>122</v>
      </c>
      <c r="U1" s="32" t="s">
        <v>123</v>
      </c>
      <c r="W1" t="s">
        <v>127</v>
      </c>
      <c r="X1" t="s">
        <v>17</v>
      </c>
    </row>
    <row r="2" spans="1:24" ht="15.75" thickTop="1">
      <c r="A2" s="30"/>
      <c r="B2" s="30"/>
      <c r="D2" s="28">
        <f>MIN(Vertices[Degree])</f>
        <v>1</v>
      </c>
      <c r="E2">
        <f>COUNTIF(Vertices[Degree],"&gt;= "&amp;D2)-COUNTIF(Vertices[Degree],"&gt;="&amp;D3)</f>
        <v>1</v>
      </c>
      <c r="F2" s="33">
        <f>MIN(Vertices[In-Degree])</f>
        <v>0</v>
      </c>
      <c r="G2" s="34">
        <f>COUNTIF(Vertices[In-Degree],"&gt;= "&amp;F2)-COUNTIF(Vertices[In-Degree],"&gt;="&amp;F3)</f>
        <v>0</v>
      </c>
      <c r="H2" s="33">
        <f>MIN(Vertices[Out-Degree])</f>
        <v>0</v>
      </c>
      <c r="I2" s="34">
        <f>COUNTIF(Vertices[Out-Degree],"&gt;= "&amp;H2)-COUNTIF(Vertices[Out-Degree],"&gt;="&amp;H3)</f>
        <v>0</v>
      </c>
      <c r="J2" s="33">
        <f>MIN(Vertices[Betweenness Centrality])</f>
        <v>0</v>
      </c>
      <c r="K2" s="34">
        <f>COUNTIF(Vertices[Betweenness Centrality],"&gt;= "&amp;J2)-COUNTIF(Vertices[Betweenness Centrality],"&gt;="&amp;J3)</f>
        <v>0</v>
      </c>
      <c r="L2" s="33">
        <f>MIN(Vertices[Closeness Centrality])</f>
        <v>0</v>
      </c>
      <c r="M2" s="34">
        <f>COUNTIF(Vertices[Closeness Centrality],"&gt;= "&amp;L2)-COUNTIF(Vertices[Closeness Centrality],"&gt;="&amp;L3)</f>
        <v>0</v>
      </c>
      <c r="N2" s="33">
        <f>MIN(Vertices[Eigenvector Centrality])</f>
        <v>0</v>
      </c>
      <c r="O2" s="34">
        <f>COUNTIF(Vertices[Eigenvector Centrality],"&gt;= "&amp;N2)-COUNTIF(Vertices[Eigenvector Centrality],"&gt;="&amp;N3)</f>
        <v>0</v>
      </c>
      <c r="P2" s="33">
        <f>MIN(Vertices[PageRank])</f>
        <v>0</v>
      </c>
      <c r="Q2" s="34">
        <f>COUNTIF(Vertices[PageRank],"&gt;= "&amp;P2)-COUNTIF(Vertices[PageRank],"&gt;="&amp;P3)</f>
        <v>0</v>
      </c>
      <c r="R2" s="33">
        <f>MIN(Vertices[Clustering Coefficient])</f>
        <v>0</v>
      </c>
      <c r="S2" s="39">
        <f>COUNTIF(Vertices[Clustering Coefficient],"&gt;= "&amp;R2)-COUNTIF(Vertices[Clustering Coefficient],"&gt;="&amp;R3)</f>
        <v>0</v>
      </c>
      <c r="T2" s="33" t="e">
        <f ca="1">MIN(INDIRECT(DynamicFilterSourceColumnRange))</f>
        <v>#REF!</v>
      </c>
      <c r="U2" s="34" t="e">
        <f aca="true" t="shared" si="0" ref="U2:U57">COUNTIF(INDIRECT(DynamicFilterSourceColumnRange),"&gt;= "&amp;T2)-COUNTIF(INDIRECT(DynamicFilterSourceColumnRange),"&gt;="&amp;T3)</f>
        <v>#REF!</v>
      </c>
      <c r="W2" t="s">
        <v>124</v>
      </c>
      <c r="X2">
        <f>ROWS(HistogramBins[Degree Bin])-1</f>
        <v>55</v>
      </c>
    </row>
    <row r="3" spans="1:24" ht="15">
      <c r="A3" s="30"/>
      <c r="B3" s="30"/>
      <c r="D3" s="28">
        <f aca="true" t="shared" si="1" ref="D3:D26">D2+($D$57-$D$2)/BinDivisor</f>
        <v>1.0909090909090908</v>
      </c>
      <c r="E3">
        <f>COUNTIF(Vertices[Degree],"&gt;= "&amp;D3)-COUNTIF(Vertices[Degree],"&gt;="&amp;D4)</f>
        <v>0</v>
      </c>
      <c r="F3" s="35">
        <f aca="true" t="shared" si="2" ref="F3:F26">F2+($F$57-$F$2)/BinDivisor</f>
        <v>0</v>
      </c>
      <c r="G3" s="36">
        <f>COUNTIF(Vertices[In-Degree],"&gt;= "&amp;F3)-COUNTIF(Vertices[In-Degree],"&gt;="&amp;F4)</f>
        <v>0</v>
      </c>
      <c r="H3" s="35">
        <f aca="true" t="shared" si="3" ref="H3:H26">H2+($H$57-$H$2)/BinDivisor</f>
        <v>0</v>
      </c>
      <c r="I3" s="36">
        <f>COUNTIF(Vertices[Out-Degree],"&gt;= "&amp;H3)-COUNTIF(Vertices[Out-Degree],"&gt;="&amp;H4)</f>
        <v>0</v>
      </c>
      <c r="J3" s="35">
        <f aca="true" t="shared" si="4" ref="J3:J26">J2+($J$57-$J$2)/BinDivisor</f>
        <v>0</v>
      </c>
      <c r="K3" s="36">
        <f>COUNTIF(Vertices[Betweenness Centrality],"&gt;= "&amp;J3)-COUNTIF(Vertices[Betweenness Centrality],"&gt;="&amp;J4)</f>
        <v>0</v>
      </c>
      <c r="L3" s="35">
        <f aca="true" t="shared" si="5" ref="L3:L26">L2+($L$57-$L$2)/BinDivisor</f>
        <v>0</v>
      </c>
      <c r="M3" s="36">
        <f>COUNTIF(Vertices[Closeness Centrality],"&gt;= "&amp;L3)-COUNTIF(Vertices[Closeness Centrality],"&gt;="&amp;L4)</f>
        <v>0</v>
      </c>
      <c r="N3" s="35">
        <f aca="true" t="shared" si="6" ref="N3:N26">N2+($N$57-$N$2)/BinDivisor</f>
        <v>0</v>
      </c>
      <c r="O3" s="36">
        <f>COUNTIF(Vertices[Eigenvector Centrality],"&gt;= "&amp;N3)-COUNTIF(Vertices[Eigenvector Centrality],"&gt;="&amp;N4)</f>
        <v>0</v>
      </c>
      <c r="P3" s="35">
        <f aca="true" t="shared" si="7" ref="P3:P26">P2+($P$57-$P$2)/BinDivisor</f>
        <v>0</v>
      </c>
      <c r="Q3" s="36">
        <f>COUNTIF(Vertices[PageRank],"&gt;= "&amp;P3)-COUNTIF(Vertices[PageRank],"&gt;="&amp;P4)</f>
        <v>0</v>
      </c>
      <c r="R3" s="35">
        <f aca="true" t="shared" si="8" ref="R3:R26">R2+($R$57-$R$2)/BinDivisor</f>
        <v>0</v>
      </c>
      <c r="S3" s="40">
        <f>COUNTIF(Vertices[Clustering Coefficient],"&gt;= "&amp;R3)-COUNTIF(Vertices[Clustering Coefficient],"&gt;="&amp;R4)</f>
        <v>0</v>
      </c>
      <c r="T3" s="35" t="e">
        <f aca="true" t="shared" si="9" ref="T3:T26">T2+($T$57-$T$2)/BinDivisor</f>
        <v>#REF!</v>
      </c>
      <c r="U3" s="36" t="e">
        <f ca="1" t="shared" si="0"/>
        <v>#REF!</v>
      </c>
      <c r="W3" t="s">
        <v>125</v>
      </c>
      <c r="X3" t="s">
        <v>85</v>
      </c>
    </row>
    <row r="4" spans="1:24" ht="15">
      <c r="A4" s="30"/>
      <c r="B4" s="30"/>
      <c r="D4" s="28">
        <f t="shared" si="1"/>
        <v>1.1818181818181817</v>
      </c>
      <c r="E4">
        <f>COUNTIF(Vertices[Degree],"&gt;= "&amp;D4)-COUNTIF(Vertices[Degree],"&gt;="&amp;D5)</f>
        <v>0</v>
      </c>
      <c r="F4" s="33">
        <f t="shared" si="2"/>
        <v>0</v>
      </c>
      <c r="G4" s="34">
        <f>COUNTIF(Vertices[In-Degree],"&gt;= "&amp;F4)-COUNTIF(Vertices[In-Degree],"&gt;="&amp;F5)</f>
        <v>0</v>
      </c>
      <c r="H4" s="33">
        <f t="shared" si="3"/>
        <v>0</v>
      </c>
      <c r="I4" s="34">
        <f>COUNTIF(Vertices[Out-Degree],"&gt;= "&amp;H4)-COUNTIF(Vertices[Out-Degree],"&gt;="&amp;H5)</f>
        <v>0</v>
      </c>
      <c r="J4" s="33">
        <f t="shared" si="4"/>
        <v>0</v>
      </c>
      <c r="K4" s="34">
        <f>COUNTIF(Vertices[Betweenness Centrality],"&gt;= "&amp;J4)-COUNTIF(Vertices[Betweenness Centrality],"&gt;="&amp;J5)</f>
        <v>0</v>
      </c>
      <c r="L4" s="33">
        <f t="shared" si="5"/>
        <v>0</v>
      </c>
      <c r="M4" s="34">
        <f>COUNTIF(Vertices[Closeness Centrality],"&gt;= "&amp;L4)-COUNTIF(Vertices[Closeness Centrality],"&gt;="&amp;L5)</f>
        <v>0</v>
      </c>
      <c r="N4" s="33">
        <f t="shared" si="6"/>
        <v>0</v>
      </c>
      <c r="O4" s="34">
        <f>COUNTIF(Vertices[Eigenvector Centrality],"&gt;= "&amp;N4)-COUNTIF(Vertices[Eigenvector Centrality],"&gt;="&amp;N5)</f>
        <v>0</v>
      </c>
      <c r="P4" s="33">
        <f t="shared" si="7"/>
        <v>0</v>
      </c>
      <c r="Q4" s="34">
        <f>COUNTIF(Vertices[PageRank],"&gt;= "&amp;P4)-COUNTIF(Vertices[PageRank],"&gt;="&amp;P5)</f>
        <v>0</v>
      </c>
      <c r="R4" s="33">
        <f t="shared" si="8"/>
        <v>0</v>
      </c>
      <c r="S4" s="39">
        <f>COUNTIF(Vertices[Clustering Coefficient],"&gt;= "&amp;R4)-COUNTIF(Vertices[Clustering Coefficient],"&gt;="&amp;R5)</f>
        <v>0</v>
      </c>
      <c r="T4" s="33" t="e">
        <f ca="1" t="shared" si="9"/>
        <v>#REF!</v>
      </c>
      <c r="U4" s="34" t="e">
        <f ca="1" t="shared" si="0"/>
        <v>#REF!</v>
      </c>
      <c r="W4" t="s">
        <v>126</v>
      </c>
      <c r="X4" t="s">
        <v>128</v>
      </c>
    </row>
    <row r="5" spans="1:21" ht="15">
      <c r="A5" s="30"/>
      <c r="B5" s="30"/>
      <c r="D5" s="28">
        <f t="shared" si="1"/>
        <v>1.2727272727272725</v>
      </c>
      <c r="E5">
        <f>COUNTIF(Vertices[Degree],"&gt;= "&amp;D5)-COUNTIF(Vertices[Degree],"&gt;="&amp;D6)</f>
        <v>0</v>
      </c>
      <c r="F5" s="35">
        <f t="shared" si="2"/>
        <v>0</v>
      </c>
      <c r="G5" s="36">
        <f>COUNTIF(Vertices[In-Degree],"&gt;= "&amp;F5)-COUNTIF(Vertices[In-Degree],"&gt;="&amp;F6)</f>
        <v>0</v>
      </c>
      <c r="H5" s="35">
        <f t="shared" si="3"/>
        <v>0</v>
      </c>
      <c r="I5" s="36">
        <f>COUNTIF(Vertices[Out-Degree],"&gt;= "&amp;H5)-COUNTIF(Vertices[Out-Degree],"&gt;="&amp;H6)</f>
        <v>0</v>
      </c>
      <c r="J5" s="35">
        <f t="shared" si="4"/>
        <v>0</v>
      </c>
      <c r="K5" s="36">
        <f>COUNTIF(Vertices[Betweenness Centrality],"&gt;= "&amp;J5)-COUNTIF(Vertices[Betweenness Centrality],"&gt;="&amp;J6)</f>
        <v>0</v>
      </c>
      <c r="L5" s="35">
        <f t="shared" si="5"/>
        <v>0</v>
      </c>
      <c r="M5" s="36">
        <f>COUNTIF(Vertices[Closeness Centrality],"&gt;= "&amp;L5)-COUNTIF(Vertices[Closeness Centrality],"&gt;="&amp;L6)</f>
        <v>0</v>
      </c>
      <c r="N5" s="35">
        <f t="shared" si="6"/>
        <v>0</v>
      </c>
      <c r="O5" s="36">
        <f>COUNTIF(Vertices[Eigenvector Centrality],"&gt;= "&amp;N5)-COUNTIF(Vertices[Eigenvector Centrality],"&gt;="&amp;N6)</f>
        <v>0</v>
      </c>
      <c r="P5" s="35">
        <f t="shared" si="7"/>
        <v>0</v>
      </c>
      <c r="Q5" s="36">
        <f>COUNTIF(Vertices[PageRank],"&gt;= "&amp;P5)-COUNTIF(Vertices[PageRank],"&gt;="&amp;P6)</f>
        <v>0</v>
      </c>
      <c r="R5" s="35">
        <f t="shared" si="8"/>
        <v>0</v>
      </c>
      <c r="S5" s="40">
        <f>COUNTIF(Vertices[Clustering Coefficient],"&gt;= "&amp;R5)-COUNTIF(Vertices[Clustering Coefficient],"&gt;="&amp;R6)</f>
        <v>0</v>
      </c>
      <c r="T5" s="35" t="e">
        <f ca="1" t="shared" si="9"/>
        <v>#REF!</v>
      </c>
      <c r="U5" s="36" t="e">
        <f ca="1" t="shared" si="0"/>
        <v>#REF!</v>
      </c>
    </row>
    <row r="6" spans="1:21" ht="15">
      <c r="A6" s="30"/>
      <c r="B6" s="30"/>
      <c r="D6" s="28">
        <f t="shared" si="1"/>
        <v>1.3636363636363633</v>
      </c>
      <c r="E6">
        <f>COUNTIF(Vertices[Degree],"&gt;= "&amp;D6)-COUNTIF(Vertices[Degree],"&gt;="&amp;D7)</f>
        <v>0</v>
      </c>
      <c r="F6" s="33">
        <f t="shared" si="2"/>
        <v>0</v>
      </c>
      <c r="G6" s="34">
        <f>COUNTIF(Vertices[In-Degree],"&gt;= "&amp;F6)-COUNTIF(Vertices[In-Degree],"&gt;="&amp;F7)</f>
        <v>0</v>
      </c>
      <c r="H6" s="33">
        <f t="shared" si="3"/>
        <v>0</v>
      </c>
      <c r="I6" s="34">
        <f>COUNTIF(Vertices[Out-Degree],"&gt;= "&amp;H6)-COUNTIF(Vertices[Out-Degree],"&gt;="&amp;H7)</f>
        <v>0</v>
      </c>
      <c r="J6" s="33">
        <f t="shared" si="4"/>
        <v>0</v>
      </c>
      <c r="K6" s="34">
        <f>COUNTIF(Vertices[Betweenness Centrality],"&gt;= "&amp;J6)-COUNTIF(Vertices[Betweenness Centrality],"&gt;="&amp;J7)</f>
        <v>0</v>
      </c>
      <c r="L6" s="33">
        <f t="shared" si="5"/>
        <v>0</v>
      </c>
      <c r="M6" s="34">
        <f>COUNTIF(Vertices[Closeness Centrality],"&gt;= "&amp;L6)-COUNTIF(Vertices[Closeness Centrality],"&gt;="&amp;L7)</f>
        <v>0</v>
      </c>
      <c r="N6" s="33">
        <f t="shared" si="6"/>
        <v>0</v>
      </c>
      <c r="O6" s="34">
        <f>COUNTIF(Vertices[Eigenvector Centrality],"&gt;= "&amp;N6)-COUNTIF(Vertices[Eigenvector Centrality],"&gt;="&amp;N7)</f>
        <v>0</v>
      </c>
      <c r="P6" s="33">
        <f t="shared" si="7"/>
        <v>0</v>
      </c>
      <c r="Q6" s="34">
        <f>COUNTIF(Vertices[PageRank],"&gt;= "&amp;P6)-COUNTIF(Vertices[PageRank],"&gt;="&amp;P7)</f>
        <v>0</v>
      </c>
      <c r="R6" s="33">
        <f t="shared" si="8"/>
        <v>0</v>
      </c>
      <c r="S6" s="39">
        <f>COUNTIF(Vertices[Clustering Coefficient],"&gt;= "&amp;R6)-COUNTIF(Vertices[Clustering Coefficient],"&gt;="&amp;R7)</f>
        <v>0</v>
      </c>
      <c r="T6" s="33" t="e">
        <f ca="1" t="shared" si="9"/>
        <v>#REF!</v>
      </c>
      <c r="U6" s="34" t="e">
        <f ca="1" t="shared" si="0"/>
        <v>#REF!</v>
      </c>
    </row>
    <row r="7" spans="1:21" ht="15">
      <c r="A7" s="30"/>
      <c r="B7" s="30"/>
      <c r="D7" s="28">
        <f t="shared" si="1"/>
        <v>1.4545454545454541</v>
      </c>
      <c r="E7">
        <f>COUNTIF(Vertices[Degree],"&gt;= "&amp;D7)-COUNTIF(Vertices[Degree],"&gt;="&amp;D8)</f>
        <v>0</v>
      </c>
      <c r="F7" s="35">
        <f t="shared" si="2"/>
        <v>0</v>
      </c>
      <c r="G7" s="36">
        <f>COUNTIF(Vertices[In-Degree],"&gt;= "&amp;F7)-COUNTIF(Vertices[In-Degree],"&gt;="&amp;F8)</f>
        <v>0</v>
      </c>
      <c r="H7" s="35">
        <f t="shared" si="3"/>
        <v>0</v>
      </c>
      <c r="I7" s="36">
        <f>COUNTIF(Vertices[Out-Degree],"&gt;= "&amp;H7)-COUNTIF(Vertices[Out-Degree],"&gt;="&amp;H8)</f>
        <v>0</v>
      </c>
      <c r="J7" s="35">
        <f t="shared" si="4"/>
        <v>0</v>
      </c>
      <c r="K7" s="36">
        <f>COUNTIF(Vertices[Betweenness Centrality],"&gt;= "&amp;J7)-COUNTIF(Vertices[Betweenness Centrality],"&gt;="&amp;J8)</f>
        <v>0</v>
      </c>
      <c r="L7" s="35">
        <f t="shared" si="5"/>
        <v>0</v>
      </c>
      <c r="M7" s="36">
        <f>COUNTIF(Vertices[Closeness Centrality],"&gt;= "&amp;L7)-COUNTIF(Vertices[Closeness Centrality],"&gt;="&amp;L8)</f>
        <v>0</v>
      </c>
      <c r="N7" s="35">
        <f t="shared" si="6"/>
        <v>0</v>
      </c>
      <c r="O7" s="36">
        <f>COUNTIF(Vertices[Eigenvector Centrality],"&gt;= "&amp;N7)-COUNTIF(Vertices[Eigenvector Centrality],"&gt;="&amp;N8)</f>
        <v>0</v>
      </c>
      <c r="P7" s="35">
        <f t="shared" si="7"/>
        <v>0</v>
      </c>
      <c r="Q7" s="36">
        <f>COUNTIF(Vertices[PageRank],"&gt;= "&amp;P7)-COUNTIF(Vertices[PageRank],"&gt;="&amp;P8)</f>
        <v>0</v>
      </c>
      <c r="R7" s="35">
        <f t="shared" si="8"/>
        <v>0</v>
      </c>
      <c r="S7" s="40">
        <f>COUNTIF(Vertices[Clustering Coefficient],"&gt;= "&amp;R7)-COUNTIF(Vertices[Clustering Coefficient],"&gt;="&amp;R8)</f>
        <v>0</v>
      </c>
      <c r="T7" s="35" t="e">
        <f ca="1" t="shared" si="9"/>
        <v>#REF!</v>
      </c>
      <c r="U7" s="36" t="e">
        <f ca="1" t="shared" si="0"/>
        <v>#REF!</v>
      </c>
    </row>
    <row r="8" spans="1:21" ht="15">
      <c r="A8" s="30"/>
      <c r="B8" s="30"/>
      <c r="D8" s="28">
        <f t="shared" si="1"/>
        <v>1.545454545454545</v>
      </c>
      <c r="E8">
        <f>COUNTIF(Vertices[Degree],"&gt;= "&amp;D8)-COUNTIF(Vertices[Degree],"&gt;="&amp;D9)</f>
        <v>0</v>
      </c>
      <c r="F8" s="33">
        <f t="shared" si="2"/>
        <v>0</v>
      </c>
      <c r="G8" s="34">
        <f>COUNTIF(Vertices[In-Degree],"&gt;= "&amp;F8)-COUNTIF(Vertices[In-Degree],"&gt;="&amp;F9)</f>
        <v>0</v>
      </c>
      <c r="H8" s="33">
        <f t="shared" si="3"/>
        <v>0</v>
      </c>
      <c r="I8" s="34">
        <f>COUNTIF(Vertices[Out-Degree],"&gt;= "&amp;H8)-COUNTIF(Vertices[Out-Degree],"&gt;="&amp;H9)</f>
        <v>0</v>
      </c>
      <c r="J8" s="33">
        <f t="shared" si="4"/>
        <v>0</v>
      </c>
      <c r="K8" s="34">
        <f>COUNTIF(Vertices[Betweenness Centrality],"&gt;= "&amp;J8)-COUNTIF(Vertices[Betweenness Centrality],"&gt;="&amp;J9)</f>
        <v>0</v>
      </c>
      <c r="L8" s="33">
        <f t="shared" si="5"/>
        <v>0</v>
      </c>
      <c r="M8" s="34">
        <f>COUNTIF(Vertices[Closeness Centrality],"&gt;= "&amp;L8)-COUNTIF(Vertices[Closeness Centrality],"&gt;="&amp;L9)</f>
        <v>0</v>
      </c>
      <c r="N8" s="33">
        <f t="shared" si="6"/>
        <v>0</v>
      </c>
      <c r="O8" s="34">
        <f>COUNTIF(Vertices[Eigenvector Centrality],"&gt;= "&amp;N8)-COUNTIF(Vertices[Eigenvector Centrality],"&gt;="&amp;N9)</f>
        <v>0</v>
      </c>
      <c r="P8" s="33">
        <f t="shared" si="7"/>
        <v>0</v>
      </c>
      <c r="Q8" s="34">
        <f>COUNTIF(Vertices[PageRank],"&gt;= "&amp;P8)-COUNTIF(Vertices[PageRank],"&gt;="&amp;P9)</f>
        <v>0</v>
      </c>
      <c r="R8" s="33">
        <f t="shared" si="8"/>
        <v>0</v>
      </c>
      <c r="S8" s="39">
        <f>COUNTIF(Vertices[Clustering Coefficient],"&gt;= "&amp;R8)-COUNTIF(Vertices[Clustering Coefficient],"&gt;="&amp;R9)</f>
        <v>0</v>
      </c>
      <c r="T8" s="33" t="e">
        <f ca="1" t="shared" si="9"/>
        <v>#REF!</v>
      </c>
      <c r="U8" s="34" t="e">
        <f ca="1" t="shared" si="0"/>
        <v>#REF!</v>
      </c>
    </row>
    <row r="9" spans="1:21" ht="15">
      <c r="A9" s="30"/>
      <c r="B9" s="30"/>
      <c r="D9" s="28">
        <f t="shared" si="1"/>
        <v>1.6363636363636358</v>
      </c>
      <c r="E9">
        <f>COUNTIF(Vertices[Degree],"&gt;= "&amp;D9)-COUNTIF(Vertices[Degree],"&gt;="&amp;D10)</f>
        <v>0</v>
      </c>
      <c r="F9" s="35">
        <f t="shared" si="2"/>
        <v>0</v>
      </c>
      <c r="G9" s="36">
        <f>COUNTIF(Vertices[In-Degree],"&gt;= "&amp;F9)-COUNTIF(Vertices[In-Degree],"&gt;="&amp;F10)</f>
        <v>0</v>
      </c>
      <c r="H9" s="35">
        <f t="shared" si="3"/>
        <v>0</v>
      </c>
      <c r="I9" s="36">
        <f>COUNTIF(Vertices[Out-Degree],"&gt;= "&amp;H9)-COUNTIF(Vertices[Out-Degree],"&gt;="&amp;H10)</f>
        <v>0</v>
      </c>
      <c r="J9" s="35">
        <f t="shared" si="4"/>
        <v>0</v>
      </c>
      <c r="K9" s="36">
        <f>COUNTIF(Vertices[Betweenness Centrality],"&gt;= "&amp;J9)-COUNTIF(Vertices[Betweenness Centrality],"&gt;="&amp;J10)</f>
        <v>0</v>
      </c>
      <c r="L9" s="35">
        <f t="shared" si="5"/>
        <v>0</v>
      </c>
      <c r="M9" s="36">
        <f>COUNTIF(Vertices[Closeness Centrality],"&gt;= "&amp;L9)-COUNTIF(Vertices[Closeness Centrality],"&gt;="&amp;L10)</f>
        <v>0</v>
      </c>
      <c r="N9" s="35">
        <f t="shared" si="6"/>
        <v>0</v>
      </c>
      <c r="O9" s="36">
        <f>COUNTIF(Vertices[Eigenvector Centrality],"&gt;= "&amp;N9)-COUNTIF(Vertices[Eigenvector Centrality],"&gt;="&amp;N10)</f>
        <v>0</v>
      </c>
      <c r="P9" s="35">
        <f t="shared" si="7"/>
        <v>0</v>
      </c>
      <c r="Q9" s="36">
        <f>COUNTIF(Vertices[PageRank],"&gt;= "&amp;P9)-COUNTIF(Vertices[PageRank],"&gt;="&amp;P10)</f>
        <v>0</v>
      </c>
      <c r="R9" s="35">
        <f t="shared" si="8"/>
        <v>0</v>
      </c>
      <c r="S9" s="40">
        <f>COUNTIF(Vertices[Clustering Coefficient],"&gt;= "&amp;R9)-COUNTIF(Vertices[Clustering Coefficient],"&gt;="&amp;R10)</f>
        <v>0</v>
      </c>
      <c r="T9" s="35" t="e">
        <f ca="1" t="shared" si="9"/>
        <v>#REF!</v>
      </c>
      <c r="U9" s="36" t="e">
        <f ca="1" t="shared" si="0"/>
        <v>#REF!</v>
      </c>
    </row>
    <row r="10" spans="1:21" ht="15">
      <c r="A10" s="30"/>
      <c r="B10" s="30"/>
      <c r="D10" s="28">
        <f t="shared" si="1"/>
        <v>1.7272727272727266</v>
      </c>
      <c r="E10">
        <f>COUNTIF(Vertices[Degree],"&gt;= "&amp;D10)-COUNTIF(Vertices[Degree],"&gt;="&amp;D11)</f>
        <v>0</v>
      </c>
      <c r="F10" s="33">
        <f t="shared" si="2"/>
        <v>0</v>
      </c>
      <c r="G10" s="34">
        <f>COUNTIF(Vertices[In-Degree],"&gt;= "&amp;F10)-COUNTIF(Vertices[In-Degree],"&gt;="&amp;F11)</f>
        <v>0</v>
      </c>
      <c r="H10" s="33">
        <f t="shared" si="3"/>
        <v>0</v>
      </c>
      <c r="I10" s="34">
        <f>COUNTIF(Vertices[Out-Degree],"&gt;= "&amp;H10)-COUNTIF(Vertices[Out-Degree],"&gt;="&amp;H11)</f>
        <v>0</v>
      </c>
      <c r="J10" s="33">
        <f t="shared" si="4"/>
        <v>0</v>
      </c>
      <c r="K10" s="34">
        <f>COUNTIF(Vertices[Betweenness Centrality],"&gt;= "&amp;J10)-COUNTIF(Vertices[Betweenness Centrality],"&gt;="&amp;J11)</f>
        <v>0</v>
      </c>
      <c r="L10" s="33">
        <f t="shared" si="5"/>
        <v>0</v>
      </c>
      <c r="M10" s="34">
        <f>COUNTIF(Vertices[Closeness Centrality],"&gt;= "&amp;L10)-COUNTIF(Vertices[Closeness Centrality],"&gt;="&amp;L11)</f>
        <v>0</v>
      </c>
      <c r="N10" s="33">
        <f t="shared" si="6"/>
        <v>0</v>
      </c>
      <c r="O10" s="34">
        <f>COUNTIF(Vertices[Eigenvector Centrality],"&gt;= "&amp;N10)-COUNTIF(Vertices[Eigenvector Centrality],"&gt;="&amp;N11)</f>
        <v>0</v>
      </c>
      <c r="P10" s="33">
        <f t="shared" si="7"/>
        <v>0</v>
      </c>
      <c r="Q10" s="34">
        <f>COUNTIF(Vertices[PageRank],"&gt;= "&amp;P10)-COUNTIF(Vertices[PageRank],"&gt;="&amp;P11)</f>
        <v>0</v>
      </c>
      <c r="R10" s="33">
        <f t="shared" si="8"/>
        <v>0</v>
      </c>
      <c r="S10" s="39">
        <f>COUNTIF(Vertices[Clustering Coefficient],"&gt;= "&amp;R10)-COUNTIF(Vertices[Clustering Coefficient],"&gt;="&amp;R11)</f>
        <v>0</v>
      </c>
      <c r="T10" s="33" t="e">
        <f ca="1" t="shared" si="9"/>
        <v>#REF!</v>
      </c>
      <c r="U10" s="34" t="e">
        <f ca="1" t="shared" si="0"/>
        <v>#REF!</v>
      </c>
    </row>
    <row r="11" spans="1:21" ht="15">
      <c r="A11" s="30"/>
      <c r="B11" s="30"/>
      <c r="D11" s="28">
        <f t="shared" si="1"/>
        <v>1.8181818181818175</v>
      </c>
      <c r="E11">
        <f>COUNTIF(Vertices[Degree],"&gt;= "&amp;D11)-COUNTIF(Vertices[Degree],"&gt;="&amp;D12)</f>
        <v>0</v>
      </c>
      <c r="F11" s="35">
        <f t="shared" si="2"/>
        <v>0</v>
      </c>
      <c r="G11" s="36">
        <f>COUNTIF(Vertices[In-Degree],"&gt;= "&amp;F11)-COUNTIF(Vertices[In-Degree],"&gt;="&amp;F12)</f>
        <v>0</v>
      </c>
      <c r="H11" s="35">
        <f t="shared" si="3"/>
        <v>0</v>
      </c>
      <c r="I11" s="36">
        <f>COUNTIF(Vertices[Out-Degree],"&gt;= "&amp;H11)-COUNTIF(Vertices[Out-Degree],"&gt;="&amp;H12)</f>
        <v>0</v>
      </c>
      <c r="J11" s="35">
        <f t="shared" si="4"/>
        <v>0</v>
      </c>
      <c r="K11" s="36">
        <f>COUNTIF(Vertices[Betweenness Centrality],"&gt;= "&amp;J11)-COUNTIF(Vertices[Betweenness Centrality],"&gt;="&amp;J12)</f>
        <v>0</v>
      </c>
      <c r="L11" s="35">
        <f t="shared" si="5"/>
        <v>0</v>
      </c>
      <c r="M11" s="36">
        <f>COUNTIF(Vertices[Closeness Centrality],"&gt;= "&amp;L11)-COUNTIF(Vertices[Closeness Centrality],"&gt;="&amp;L12)</f>
        <v>0</v>
      </c>
      <c r="N11" s="35">
        <f t="shared" si="6"/>
        <v>0</v>
      </c>
      <c r="O11" s="36">
        <f>COUNTIF(Vertices[Eigenvector Centrality],"&gt;= "&amp;N11)-COUNTIF(Vertices[Eigenvector Centrality],"&gt;="&amp;N12)</f>
        <v>0</v>
      </c>
      <c r="P11" s="35">
        <f t="shared" si="7"/>
        <v>0</v>
      </c>
      <c r="Q11" s="36">
        <f>COUNTIF(Vertices[PageRank],"&gt;= "&amp;P11)-COUNTIF(Vertices[PageRank],"&gt;="&amp;P12)</f>
        <v>0</v>
      </c>
      <c r="R11" s="35">
        <f t="shared" si="8"/>
        <v>0</v>
      </c>
      <c r="S11" s="40">
        <f>COUNTIF(Vertices[Clustering Coefficient],"&gt;= "&amp;R11)-COUNTIF(Vertices[Clustering Coefficient],"&gt;="&amp;R12)</f>
        <v>0</v>
      </c>
      <c r="T11" s="35" t="e">
        <f ca="1" t="shared" si="9"/>
        <v>#REF!</v>
      </c>
      <c r="U11" s="36" t="e">
        <f ca="1" t="shared" si="0"/>
        <v>#REF!</v>
      </c>
    </row>
    <row r="12" spans="1:21" ht="15">
      <c r="A12" s="30"/>
      <c r="B12" s="30"/>
      <c r="D12" s="28">
        <f t="shared" si="1"/>
        <v>1.9090909090909083</v>
      </c>
      <c r="E12">
        <f>COUNTIF(Vertices[Degree],"&gt;= "&amp;D12)-COUNTIF(Vertices[Degree],"&gt;="&amp;D13)</f>
        <v>0</v>
      </c>
      <c r="F12" s="33">
        <f t="shared" si="2"/>
        <v>0</v>
      </c>
      <c r="G12" s="34">
        <f>COUNTIF(Vertices[In-Degree],"&gt;= "&amp;F12)-COUNTIF(Vertices[In-Degree],"&gt;="&amp;F13)</f>
        <v>0</v>
      </c>
      <c r="H12" s="33">
        <f t="shared" si="3"/>
        <v>0</v>
      </c>
      <c r="I12" s="34">
        <f>COUNTIF(Vertices[Out-Degree],"&gt;= "&amp;H12)-COUNTIF(Vertices[Out-Degree],"&gt;="&amp;H13)</f>
        <v>0</v>
      </c>
      <c r="J12" s="33">
        <f t="shared" si="4"/>
        <v>0</v>
      </c>
      <c r="K12" s="34">
        <f>COUNTIF(Vertices[Betweenness Centrality],"&gt;= "&amp;J12)-COUNTIF(Vertices[Betweenness Centrality],"&gt;="&amp;J13)</f>
        <v>0</v>
      </c>
      <c r="L12" s="33">
        <f t="shared" si="5"/>
        <v>0</v>
      </c>
      <c r="M12" s="34">
        <f>COUNTIF(Vertices[Closeness Centrality],"&gt;= "&amp;L12)-COUNTIF(Vertices[Closeness Centrality],"&gt;="&amp;L13)</f>
        <v>0</v>
      </c>
      <c r="N12" s="33">
        <f t="shared" si="6"/>
        <v>0</v>
      </c>
      <c r="O12" s="34">
        <f>COUNTIF(Vertices[Eigenvector Centrality],"&gt;= "&amp;N12)-COUNTIF(Vertices[Eigenvector Centrality],"&gt;="&amp;N13)</f>
        <v>0</v>
      </c>
      <c r="P12" s="33">
        <f t="shared" si="7"/>
        <v>0</v>
      </c>
      <c r="Q12" s="34">
        <f>COUNTIF(Vertices[PageRank],"&gt;= "&amp;P12)-COUNTIF(Vertices[PageRank],"&gt;="&amp;P13)</f>
        <v>0</v>
      </c>
      <c r="R12" s="33">
        <f t="shared" si="8"/>
        <v>0</v>
      </c>
      <c r="S12" s="39">
        <f>COUNTIF(Vertices[Clustering Coefficient],"&gt;= "&amp;R12)-COUNTIF(Vertices[Clustering Coefficient],"&gt;="&amp;R13)</f>
        <v>0</v>
      </c>
      <c r="T12" s="33" t="e">
        <f ca="1" t="shared" si="9"/>
        <v>#REF!</v>
      </c>
      <c r="U12" s="34" t="e">
        <f ca="1" t="shared" si="0"/>
        <v>#REF!</v>
      </c>
    </row>
    <row r="13" spans="1:21" ht="15">
      <c r="A13" s="30"/>
      <c r="B13" s="30"/>
      <c r="D13" s="28">
        <f t="shared" si="1"/>
        <v>1.9999999999999991</v>
      </c>
      <c r="E13">
        <f>COUNTIF(Vertices[Degree],"&gt;= "&amp;D13)-COUNTIF(Vertices[Degree],"&gt;="&amp;D14)</f>
        <v>1</v>
      </c>
      <c r="F13" s="35">
        <f t="shared" si="2"/>
        <v>0</v>
      </c>
      <c r="G13" s="36">
        <f>COUNTIF(Vertices[In-Degree],"&gt;= "&amp;F13)-COUNTIF(Vertices[In-Degree],"&gt;="&amp;F14)</f>
        <v>0</v>
      </c>
      <c r="H13" s="35">
        <f t="shared" si="3"/>
        <v>0</v>
      </c>
      <c r="I13" s="36">
        <f>COUNTIF(Vertices[Out-Degree],"&gt;= "&amp;H13)-COUNTIF(Vertices[Out-Degree],"&gt;="&amp;H14)</f>
        <v>0</v>
      </c>
      <c r="J13" s="35">
        <f t="shared" si="4"/>
        <v>0</v>
      </c>
      <c r="K13" s="36">
        <f>COUNTIF(Vertices[Betweenness Centrality],"&gt;= "&amp;J13)-COUNTIF(Vertices[Betweenness Centrality],"&gt;="&amp;J14)</f>
        <v>0</v>
      </c>
      <c r="L13" s="35">
        <f t="shared" si="5"/>
        <v>0</v>
      </c>
      <c r="M13" s="36">
        <f>COUNTIF(Vertices[Closeness Centrality],"&gt;= "&amp;L13)-COUNTIF(Vertices[Closeness Centrality],"&gt;="&amp;L14)</f>
        <v>0</v>
      </c>
      <c r="N13" s="35">
        <f t="shared" si="6"/>
        <v>0</v>
      </c>
      <c r="O13" s="36">
        <f>COUNTIF(Vertices[Eigenvector Centrality],"&gt;= "&amp;N13)-COUNTIF(Vertices[Eigenvector Centrality],"&gt;="&amp;N14)</f>
        <v>0</v>
      </c>
      <c r="P13" s="35">
        <f t="shared" si="7"/>
        <v>0</v>
      </c>
      <c r="Q13" s="36">
        <f>COUNTIF(Vertices[PageRank],"&gt;= "&amp;P13)-COUNTIF(Vertices[PageRank],"&gt;="&amp;P14)</f>
        <v>0</v>
      </c>
      <c r="R13" s="35">
        <f t="shared" si="8"/>
        <v>0</v>
      </c>
      <c r="S13" s="40">
        <f>COUNTIF(Vertices[Clustering Coefficient],"&gt;= "&amp;R13)-COUNTIF(Vertices[Clustering Coefficient],"&gt;="&amp;R14)</f>
        <v>0</v>
      </c>
      <c r="T13" s="35" t="e">
        <f ca="1" t="shared" si="9"/>
        <v>#REF!</v>
      </c>
      <c r="U13" s="36" t="e">
        <f ca="1" t="shared" si="0"/>
        <v>#REF!</v>
      </c>
    </row>
    <row r="14" spans="1:21" ht="15">
      <c r="A14" s="30"/>
      <c r="B14" s="30"/>
      <c r="D14" s="28">
        <f t="shared" si="1"/>
        <v>2.09090909090909</v>
      </c>
      <c r="E14">
        <f>COUNTIF(Vertices[Degree],"&gt;= "&amp;D14)-COUNTIF(Vertices[Degree],"&gt;="&amp;D15)</f>
        <v>0</v>
      </c>
      <c r="F14" s="33">
        <f t="shared" si="2"/>
        <v>0</v>
      </c>
      <c r="G14" s="34">
        <f>COUNTIF(Vertices[In-Degree],"&gt;= "&amp;F14)-COUNTIF(Vertices[In-Degree],"&gt;="&amp;F15)</f>
        <v>0</v>
      </c>
      <c r="H14" s="33">
        <f t="shared" si="3"/>
        <v>0</v>
      </c>
      <c r="I14" s="34">
        <f>COUNTIF(Vertices[Out-Degree],"&gt;= "&amp;H14)-COUNTIF(Vertices[Out-Degree],"&gt;="&amp;H15)</f>
        <v>0</v>
      </c>
      <c r="J14" s="33">
        <f t="shared" si="4"/>
        <v>0</v>
      </c>
      <c r="K14" s="34">
        <f>COUNTIF(Vertices[Betweenness Centrality],"&gt;= "&amp;J14)-COUNTIF(Vertices[Betweenness Centrality],"&gt;="&amp;J15)</f>
        <v>0</v>
      </c>
      <c r="L14" s="33">
        <f t="shared" si="5"/>
        <v>0</v>
      </c>
      <c r="M14" s="34">
        <f>COUNTIF(Vertices[Closeness Centrality],"&gt;= "&amp;L14)-COUNTIF(Vertices[Closeness Centrality],"&gt;="&amp;L15)</f>
        <v>0</v>
      </c>
      <c r="N14" s="33">
        <f t="shared" si="6"/>
        <v>0</v>
      </c>
      <c r="O14" s="34">
        <f>COUNTIF(Vertices[Eigenvector Centrality],"&gt;= "&amp;N14)-COUNTIF(Vertices[Eigenvector Centrality],"&gt;="&amp;N15)</f>
        <v>0</v>
      </c>
      <c r="P14" s="33">
        <f t="shared" si="7"/>
        <v>0</v>
      </c>
      <c r="Q14" s="34">
        <f>COUNTIF(Vertices[PageRank],"&gt;= "&amp;P14)-COUNTIF(Vertices[PageRank],"&gt;="&amp;P15)</f>
        <v>0</v>
      </c>
      <c r="R14" s="33">
        <f t="shared" si="8"/>
        <v>0</v>
      </c>
      <c r="S14" s="39">
        <f>COUNTIF(Vertices[Clustering Coefficient],"&gt;= "&amp;R14)-COUNTIF(Vertices[Clustering Coefficient],"&gt;="&amp;R15)</f>
        <v>0</v>
      </c>
      <c r="T14" s="33" t="e">
        <f ca="1" t="shared" si="9"/>
        <v>#REF!</v>
      </c>
      <c r="U14" s="34" t="e">
        <f ca="1" t="shared" si="0"/>
        <v>#REF!</v>
      </c>
    </row>
    <row r="15" spans="1:21" ht="15">
      <c r="A15" s="30"/>
      <c r="B15" s="30"/>
      <c r="D15" s="28">
        <f t="shared" si="1"/>
        <v>2.1818181818181808</v>
      </c>
      <c r="E15">
        <f>COUNTIF(Vertices[Degree],"&gt;= "&amp;D15)-COUNTIF(Vertices[Degree],"&gt;="&amp;D16)</f>
        <v>0</v>
      </c>
      <c r="F15" s="35">
        <f t="shared" si="2"/>
        <v>0</v>
      </c>
      <c r="G15" s="36">
        <f>COUNTIF(Vertices[In-Degree],"&gt;= "&amp;F15)-COUNTIF(Vertices[In-Degree],"&gt;="&amp;F16)</f>
        <v>0</v>
      </c>
      <c r="H15" s="35">
        <f t="shared" si="3"/>
        <v>0</v>
      </c>
      <c r="I15" s="36">
        <f>COUNTIF(Vertices[Out-Degree],"&gt;= "&amp;H15)-COUNTIF(Vertices[Out-Degree],"&gt;="&amp;H16)</f>
        <v>0</v>
      </c>
      <c r="J15" s="35">
        <f t="shared" si="4"/>
        <v>0</v>
      </c>
      <c r="K15" s="36">
        <f>COUNTIF(Vertices[Betweenness Centrality],"&gt;= "&amp;J15)-COUNTIF(Vertices[Betweenness Centrality],"&gt;="&amp;J16)</f>
        <v>0</v>
      </c>
      <c r="L15" s="35">
        <f t="shared" si="5"/>
        <v>0</v>
      </c>
      <c r="M15" s="36">
        <f>COUNTIF(Vertices[Closeness Centrality],"&gt;= "&amp;L15)-COUNTIF(Vertices[Closeness Centrality],"&gt;="&amp;L16)</f>
        <v>0</v>
      </c>
      <c r="N15" s="35">
        <f t="shared" si="6"/>
        <v>0</v>
      </c>
      <c r="O15" s="36">
        <f>COUNTIF(Vertices[Eigenvector Centrality],"&gt;= "&amp;N15)-COUNTIF(Vertices[Eigenvector Centrality],"&gt;="&amp;N16)</f>
        <v>0</v>
      </c>
      <c r="P15" s="35">
        <f t="shared" si="7"/>
        <v>0</v>
      </c>
      <c r="Q15" s="36">
        <f>COUNTIF(Vertices[PageRank],"&gt;= "&amp;P15)-COUNTIF(Vertices[PageRank],"&gt;="&amp;P16)</f>
        <v>0</v>
      </c>
      <c r="R15" s="35">
        <f t="shared" si="8"/>
        <v>0</v>
      </c>
      <c r="S15" s="40">
        <f>COUNTIF(Vertices[Clustering Coefficient],"&gt;= "&amp;R15)-COUNTIF(Vertices[Clustering Coefficient],"&gt;="&amp;R16)</f>
        <v>0</v>
      </c>
      <c r="T15" s="35" t="e">
        <f ca="1" t="shared" si="9"/>
        <v>#REF!</v>
      </c>
      <c r="U15" s="36" t="e">
        <f ca="1" t="shared" si="0"/>
        <v>#REF!</v>
      </c>
    </row>
    <row r="16" spans="1:21" ht="15">
      <c r="A16" s="30"/>
      <c r="B16" s="30"/>
      <c r="D16" s="28">
        <f t="shared" si="1"/>
        <v>2.2727272727272716</v>
      </c>
      <c r="E16">
        <f>COUNTIF(Vertices[Degree],"&gt;= "&amp;D16)-COUNTIF(Vertices[Degree],"&gt;="&amp;D17)</f>
        <v>0</v>
      </c>
      <c r="F16" s="33">
        <f t="shared" si="2"/>
        <v>0</v>
      </c>
      <c r="G16" s="34">
        <f>COUNTIF(Vertices[In-Degree],"&gt;= "&amp;F16)-COUNTIF(Vertices[In-Degree],"&gt;="&amp;F17)</f>
        <v>0</v>
      </c>
      <c r="H16" s="33">
        <f t="shared" si="3"/>
        <v>0</v>
      </c>
      <c r="I16" s="34">
        <f>COUNTIF(Vertices[Out-Degree],"&gt;= "&amp;H16)-COUNTIF(Vertices[Out-Degree],"&gt;="&amp;H17)</f>
        <v>0</v>
      </c>
      <c r="J16" s="33">
        <f t="shared" si="4"/>
        <v>0</v>
      </c>
      <c r="K16" s="34">
        <f>COUNTIF(Vertices[Betweenness Centrality],"&gt;= "&amp;J16)-COUNTIF(Vertices[Betweenness Centrality],"&gt;="&amp;J17)</f>
        <v>0</v>
      </c>
      <c r="L16" s="33">
        <f t="shared" si="5"/>
        <v>0</v>
      </c>
      <c r="M16" s="34">
        <f>COUNTIF(Vertices[Closeness Centrality],"&gt;= "&amp;L16)-COUNTIF(Vertices[Closeness Centrality],"&gt;="&amp;L17)</f>
        <v>0</v>
      </c>
      <c r="N16" s="33">
        <f t="shared" si="6"/>
        <v>0</v>
      </c>
      <c r="O16" s="34">
        <f>COUNTIF(Vertices[Eigenvector Centrality],"&gt;= "&amp;N16)-COUNTIF(Vertices[Eigenvector Centrality],"&gt;="&amp;N17)</f>
        <v>0</v>
      </c>
      <c r="P16" s="33">
        <f t="shared" si="7"/>
        <v>0</v>
      </c>
      <c r="Q16" s="34">
        <f>COUNTIF(Vertices[PageRank],"&gt;= "&amp;P16)-COUNTIF(Vertices[PageRank],"&gt;="&amp;P17)</f>
        <v>0</v>
      </c>
      <c r="R16" s="33">
        <f t="shared" si="8"/>
        <v>0</v>
      </c>
      <c r="S16" s="39">
        <f>COUNTIF(Vertices[Clustering Coefficient],"&gt;= "&amp;R16)-COUNTIF(Vertices[Clustering Coefficient],"&gt;="&amp;R17)</f>
        <v>0</v>
      </c>
      <c r="T16" s="33" t="e">
        <f ca="1" t="shared" si="9"/>
        <v>#REF!</v>
      </c>
      <c r="U16" s="34" t="e">
        <f ca="1" t="shared" si="0"/>
        <v>#REF!</v>
      </c>
    </row>
    <row r="17" spans="1:21" ht="15">
      <c r="A17" s="30"/>
      <c r="B17" s="30"/>
      <c r="D17" s="28">
        <f t="shared" si="1"/>
        <v>2.3636363636363624</v>
      </c>
      <c r="E17">
        <f>COUNTIF(Vertices[Degree],"&gt;= "&amp;D17)-COUNTIF(Vertices[Degree],"&gt;="&amp;D18)</f>
        <v>0</v>
      </c>
      <c r="F17" s="35">
        <f t="shared" si="2"/>
        <v>0</v>
      </c>
      <c r="G17" s="36">
        <f>COUNTIF(Vertices[In-Degree],"&gt;= "&amp;F17)-COUNTIF(Vertices[In-Degree],"&gt;="&amp;F18)</f>
        <v>0</v>
      </c>
      <c r="H17" s="35">
        <f t="shared" si="3"/>
        <v>0</v>
      </c>
      <c r="I17" s="36">
        <f>COUNTIF(Vertices[Out-Degree],"&gt;= "&amp;H17)-COUNTIF(Vertices[Out-Degree],"&gt;="&amp;H18)</f>
        <v>0</v>
      </c>
      <c r="J17" s="35">
        <f t="shared" si="4"/>
        <v>0</v>
      </c>
      <c r="K17" s="36">
        <f>COUNTIF(Vertices[Betweenness Centrality],"&gt;= "&amp;J17)-COUNTIF(Vertices[Betweenness Centrality],"&gt;="&amp;J18)</f>
        <v>0</v>
      </c>
      <c r="L17" s="35">
        <f t="shared" si="5"/>
        <v>0</v>
      </c>
      <c r="M17" s="36">
        <f>COUNTIF(Vertices[Closeness Centrality],"&gt;= "&amp;L17)-COUNTIF(Vertices[Closeness Centrality],"&gt;="&amp;L18)</f>
        <v>0</v>
      </c>
      <c r="N17" s="35">
        <f t="shared" si="6"/>
        <v>0</v>
      </c>
      <c r="O17" s="36">
        <f>COUNTIF(Vertices[Eigenvector Centrality],"&gt;= "&amp;N17)-COUNTIF(Vertices[Eigenvector Centrality],"&gt;="&amp;N18)</f>
        <v>0</v>
      </c>
      <c r="P17" s="35">
        <f t="shared" si="7"/>
        <v>0</v>
      </c>
      <c r="Q17" s="36">
        <f>COUNTIF(Vertices[PageRank],"&gt;= "&amp;P17)-COUNTIF(Vertices[PageRank],"&gt;="&amp;P18)</f>
        <v>0</v>
      </c>
      <c r="R17" s="35">
        <f t="shared" si="8"/>
        <v>0</v>
      </c>
      <c r="S17" s="40">
        <f>COUNTIF(Vertices[Clustering Coefficient],"&gt;= "&amp;R17)-COUNTIF(Vertices[Clustering Coefficient],"&gt;="&amp;R18)</f>
        <v>0</v>
      </c>
      <c r="T17" s="35" t="e">
        <f ca="1" t="shared" si="9"/>
        <v>#REF!</v>
      </c>
      <c r="U17" s="36" t="e">
        <f ca="1" t="shared" si="0"/>
        <v>#REF!</v>
      </c>
    </row>
    <row r="18" spans="1:21" ht="15">
      <c r="A18" s="30"/>
      <c r="B18" s="30"/>
      <c r="D18" s="28">
        <f t="shared" si="1"/>
        <v>2.4545454545454533</v>
      </c>
      <c r="E18">
        <f>COUNTIF(Vertices[Degree],"&gt;= "&amp;D18)-COUNTIF(Vertices[Degree],"&gt;="&amp;D19)</f>
        <v>0</v>
      </c>
      <c r="F18" s="33">
        <f t="shared" si="2"/>
        <v>0</v>
      </c>
      <c r="G18" s="34">
        <f>COUNTIF(Vertices[In-Degree],"&gt;= "&amp;F18)-COUNTIF(Vertices[In-Degree],"&gt;="&amp;F19)</f>
        <v>0</v>
      </c>
      <c r="H18" s="33">
        <f t="shared" si="3"/>
        <v>0</v>
      </c>
      <c r="I18" s="34">
        <f>COUNTIF(Vertices[Out-Degree],"&gt;= "&amp;H18)-COUNTIF(Vertices[Out-Degree],"&gt;="&amp;H19)</f>
        <v>0</v>
      </c>
      <c r="J18" s="33">
        <f t="shared" si="4"/>
        <v>0</v>
      </c>
      <c r="K18" s="34">
        <f>COUNTIF(Vertices[Betweenness Centrality],"&gt;= "&amp;J18)-COUNTIF(Vertices[Betweenness Centrality],"&gt;="&amp;J19)</f>
        <v>0</v>
      </c>
      <c r="L18" s="33">
        <f t="shared" si="5"/>
        <v>0</v>
      </c>
      <c r="M18" s="34">
        <f>COUNTIF(Vertices[Closeness Centrality],"&gt;= "&amp;L18)-COUNTIF(Vertices[Closeness Centrality],"&gt;="&amp;L19)</f>
        <v>0</v>
      </c>
      <c r="N18" s="33">
        <f t="shared" si="6"/>
        <v>0</v>
      </c>
      <c r="O18" s="34">
        <f>COUNTIF(Vertices[Eigenvector Centrality],"&gt;= "&amp;N18)-COUNTIF(Vertices[Eigenvector Centrality],"&gt;="&amp;N19)</f>
        <v>0</v>
      </c>
      <c r="P18" s="33">
        <f t="shared" si="7"/>
        <v>0</v>
      </c>
      <c r="Q18" s="34">
        <f>COUNTIF(Vertices[PageRank],"&gt;= "&amp;P18)-COUNTIF(Vertices[PageRank],"&gt;="&amp;P19)</f>
        <v>0</v>
      </c>
      <c r="R18" s="33">
        <f t="shared" si="8"/>
        <v>0</v>
      </c>
      <c r="S18" s="39">
        <f>COUNTIF(Vertices[Clustering Coefficient],"&gt;= "&amp;R18)-COUNTIF(Vertices[Clustering Coefficient],"&gt;="&amp;R19)</f>
        <v>0</v>
      </c>
      <c r="T18" s="33" t="e">
        <f ca="1" t="shared" si="9"/>
        <v>#REF!</v>
      </c>
      <c r="U18" s="34" t="e">
        <f ca="1" t="shared" si="0"/>
        <v>#REF!</v>
      </c>
    </row>
    <row r="19" spans="1:21" ht="15">
      <c r="A19" s="30"/>
      <c r="B19" s="30"/>
      <c r="D19" s="28">
        <f t="shared" si="1"/>
        <v>2.545454545454544</v>
      </c>
      <c r="E19">
        <f>COUNTIF(Vertices[Degree],"&gt;= "&amp;D19)-COUNTIF(Vertices[Degree],"&gt;="&amp;D20)</f>
        <v>0</v>
      </c>
      <c r="F19" s="35">
        <f t="shared" si="2"/>
        <v>0</v>
      </c>
      <c r="G19" s="36">
        <f>COUNTIF(Vertices[In-Degree],"&gt;= "&amp;F19)-COUNTIF(Vertices[In-Degree],"&gt;="&amp;F20)</f>
        <v>0</v>
      </c>
      <c r="H19" s="35">
        <f t="shared" si="3"/>
        <v>0</v>
      </c>
      <c r="I19" s="36">
        <f>COUNTIF(Vertices[Out-Degree],"&gt;= "&amp;H19)-COUNTIF(Vertices[Out-Degree],"&gt;="&amp;H20)</f>
        <v>0</v>
      </c>
      <c r="J19" s="35">
        <f t="shared" si="4"/>
        <v>0</v>
      </c>
      <c r="K19" s="36">
        <f>COUNTIF(Vertices[Betweenness Centrality],"&gt;= "&amp;J19)-COUNTIF(Vertices[Betweenness Centrality],"&gt;="&amp;J20)</f>
        <v>0</v>
      </c>
      <c r="L19" s="35">
        <f t="shared" si="5"/>
        <v>0</v>
      </c>
      <c r="M19" s="36">
        <f>COUNTIF(Vertices[Closeness Centrality],"&gt;= "&amp;L19)-COUNTIF(Vertices[Closeness Centrality],"&gt;="&amp;L20)</f>
        <v>0</v>
      </c>
      <c r="N19" s="35">
        <f t="shared" si="6"/>
        <v>0</v>
      </c>
      <c r="O19" s="36">
        <f>COUNTIF(Vertices[Eigenvector Centrality],"&gt;= "&amp;N19)-COUNTIF(Vertices[Eigenvector Centrality],"&gt;="&amp;N20)</f>
        <v>0</v>
      </c>
      <c r="P19" s="35">
        <f t="shared" si="7"/>
        <v>0</v>
      </c>
      <c r="Q19" s="36">
        <f>COUNTIF(Vertices[PageRank],"&gt;= "&amp;P19)-COUNTIF(Vertices[PageRank],"&gt;="&amp;P20)</f>
        <v>0</v>
      </c>
      <c r="R19" s="35">
        <f t="shared" si="8"/>
        <v>0</v>
      </c>
      <c r="S19" s="40">
        <f>COUNTIF(Vertices[Clustering Coefficient],"&gt;= "&amp;R19)-COUNTIF(Vertices[Clustering Coefficient],"&gt;="&amp;R20)</f>
        <v>0</v>
      </c>
      <c r="T19" s="35" t="e">
        <f ca="1" t="shared" si="9"/>
        <v>#REF!</v>
      </c>
      <c r="U19" s="36" t="e">
        <f ca="1" t="shared" si="0"/>
        <v>#REF!</v>
      </c>
    </row>
    <row r="20" spans="1:21" ht="15">
      <c r="A20" s="30"/>
      <c r="B20" s="30"/>
      <c r="D20" s="28">
        <f t="shared" si="1"/>
        <v>2.636363636363635</v>
      </c>
      <c r="E20">
        <f>COUNTIF(Vertices[Degree],"&gt;= "&amp;D20)-COUNTIF(Vertices[Degree],"&gt;="&amp;D21)</f>
        <v>0</v>
      </c>
      <c r="F20" s="33">
        <f t="shared" si="2"/>
        <v>0</v>
      </c>
      <c r="G20" s="34">
        <f>COUNTIF(Vertices[In-Degree],"&gt;= "&amp;F20)-COUNTIF(Vertices[In-Degree],"&gt;="&amp;F21)</f>
        <v>0</v>
      </c>
      <c r="H20" s="33">
        <f t="shared" si="3"/>
        <v>0</v>
      </c>
      <c r="I20" s="34">
        <f>COUNTIF(Vertices[Out-Degree],"&gt;= "&amp;H20)-COUNTIF(Vertices[Out-Degree],"&gt;="&amp;H21)</f>
        <v>0</v>
      </c>
      <c r="J20" s="33">
        <f t="shared" si="4"/>
        <v>0</v>
      </c>
      <c r="K20" s="34">
        <f>COUNTIF(Vertices[Betweenness Centrality],"&gt;= "&amp;J20)-COUNTIF(Vertices[Betweenness Centrality],"&gt;="&amp;J21)</f>
        <v>0</v>
      </c>
      <c r="L20" s="33">
        <f t="shared" si="5"/>
        <v>0</v>
      </c>
      <c r="M20" s="34">
        <f>COUNTIF(Vertices[Closeness Centrality],"&gt;= "&amp;L20)-COUNTIF(Vertices[Closeness Centrality],"&gt;="&amp;L21)</f>
        <v>0</v>
      </c>
      <c r="N20" s="33">
        <f t="shared" si="6"/>
        <v>0</v>
      </c>
      <c r="O20" s="34">
        <f>COUNTIF(Vertices[Eigenvector Centrality],"&gt;= "&amp;N20)-COUNTIF(Vertices[Eigenvector Centrality],"&gt;="&amp;N21)</f>
        <v>0</v>
      </c>
      <c r="P20" s="33">
        <f t="shared" si="7"/>
        <v>0</v>
      </c>
      <c r="Q20" s="34">
        <f>COUNTIF(Vertices[PageRank],"&gt;= "&amp;P20)-COUNTIF(Vertices[PageRank],"&gt;="&amp;P21)</f>
        <v>0</v>
      </c>
      <c r="R20" s="33">
        <f t="shared" si="8"/>
        <v>0</v>
      </c>
      <c r="S20" s="39">
        <f>COUNTIF(Vertices[Clustering Coefficient],"&gt;= "&amp;R20)-COUNTIF(Vertices[Clustering Coefficient],"&gt;="&amp;R21)</f>
        <v>0</v>
      </c>
      <c r="T20" s="33" t="e">
        <f ca="1" t="shared" si="9"/>
        <v>#REF!</v>
      </c>
      <c r="U20" s="34" t="e">
        <f ca="1" t="shared" si="0"/>
        <v>#REF!</v>
      </c>
    </row>
    <row r="21" spans="1:21" ht="15">
      <c r="A21" s="30"/>
      <c r="B21" s="30"/>
      <c r="D21" s="28">
        <f t="shared" si="1"/>
        <v>2.7272727272727257</v>
      </c>
      <c r="E21">
        <f>COUNTIF(Vertices[Degree],"&gt;= "&amp;D21)-COUNTIF(Vertices[Degree],"&gt;="&amp;D22)</f>
        <v>0</v>
      </c>
      <c r="F21" s="35">
        <f t="shared" si="2"/>
        <v>0</v>
      </c>
      <c r="G21" s="36">
        <f>COUNTIF(Vertices[In-Degree],"&gt;= "&amp;F21)-COUNTIF(Vertices[In-Degree],"&gt;="&amp;F22)</f>
        <v>0</v>
      </c>
      <c r="H21" s="35">
        <f t="shared" si="3"/>
        <v>0</v>
      </c>
      <c r="I21" s="36">
        <f>COUNTIF(Vertices[Out-Degree],"&gt;= "&amp;H21)-COUNTIF(Vertices[Out-Degree],"&gt;="&amp;H22)</f>
        <v>0</v>
      </c>
      <c r="J21" s="35">
        <f t="shared" si="4"/>
        <v>0</v>
      </c>
      <c r="K21" s="36">
        <f>COUNTIF(Vertices[Betweenness Centrality],"&gt;= "&amp;J21)-COUNTIF(Vertices[Betweenness Centrality],"&gt;="&amp;J22)</f>
        <v>0</v>
      </c>
      <c r="L21" s="35">
        <f t="shared" si="5"/>
        <v>0</v>
      </c>
      <c r="M21" s="36">
        <f>COUNTIF(Vertices[Closeness Centrality],"&gt;= "&amp;L21)-COUNTIF(Vertices[Closeness Centrality],"&gt;="&amp;L22)</f>
        <v>0</v>
      </c>
      <c r="N21" s="35">
        <f t="shared" si="6"/>
        <v>0</v>
      </c>
      <c r="O21" s="36">
        <f>COUNTIF(Vertices[Eigenvector Centrality],"&gt;= "&amp;N21)-COUNTIF(Vertices[Eigenvector Centrality],"&gt;="&amp;N22)</f>
        <v>0</v>
      </c>
      <c r="P21" s="35">
        <f t="shared" si="7"/>
        <v>0</v>
      </c>
      <c r="Q21" s="36">
        <f>COUNTIF(Vertices[PageRank],"&gt;= "&amp;P21)-COUNTIF(Vertices[PageRank],"&gt;="&amp;P22)</f>
        <v>0</v>
      </c>
      <c r="R21" s="35">
        <f t="shared" si="8"/>
        <v>0</v>
      </c>
      <c r="S21" s="40">
        <f>COUNTIF(Vertices[Clustering Coefficient],"&gt;= "&amp;R21)-COUNTIF(Vertices[Clustering Coefficient],"&gt;="&amp;R22)</f>
        <v>0</v>
      </c>
      <c r="T21" s="35" t="e">
        <f ca="1" t="shared" si="9"/>
        <v>#REF!</v>
      </c>
      <c r="U21" s="36" t="e">
        <f ca="1" t="shared" si="0"/>
        <v>#REF!</v>
      </c>
    </row>
    <row r="22" spans="1:21" ht="15">
      <c r="A22" s="30"/>
      <c r="B22" s="30"/>
      <c r="D22" s="28">
        <f t="shared" si="1"/>
        <v>2.8181818181818166</v>
      </c>
      <c r="E22">
        <f>COUNTIF(Vertices[Degree],"&gt;= "&amp;D22)-COUNTIF(Vertices[Degree],"&gt;="&amp;D23)</f>
        <v>0</v>
      </c>
      <c r="F22" s="33">
        <f t="shared" si="2"/>
        <v>0</v>
      </c>
      <c r="G22" s="34">
        <f>COUNTIF(Vertices[In-Degree],"&gt;= "&amp;F22)-COUNTIF(Vertices[In-Degree],"&gt;="&amp;F23)</f>
        <v>0</v>
      </c>
      <c r="H22" s="33">
        <f t="shared" si="3"/>
        <v>0</v>
      </c>
      <c r="I22" s="34">
        <f>COUNTIF(Vertices[Out-Degree],"&gt;= "&amp;H22)-COUNTIF(Vertices[Out-Degree],"&gt;="&amp;H23)</f>
        <v>0</v>
      </c>
      <c r="J22" s="33">
        <f t="shared" si="4"/>
        <v>0</v>
      </c>
      <c r="K22" s="34">
        <f>COUNTIF(Vertices[Betweenness Centrality],"&gt;= "&amp;J22)-COUNTIF(Vertices[Betweenness Centrality],"&gt;="&amp;J23)</f>
        <v>0</v>
      </c>
      <c r="L22" s="33">
        <f t="shared" si="5"/>
        <v>0</v>
      </c>
      <c r="M22" s="34">
        <f>COUNTIF(Vertices[Closeness Centrality],"&gt;= "&amp;L22)-COUNTIF(Vertices[Closeness Centrality],"&gt;="&amp;L23)</f>
        <v>0</v>
      </c>
      <c r="N22" s="33">
        <f t="shared" si="6"/>
        <v>0</v>
      </c>
      <c r="O22" s="34">
        <f>COUNTIF(Vertices[Eigenvector Centrality],"&gt;= "&amp;N22)-COUNTIF(Vertices[Eigenvector Centrality],"&gt;="&amp;N23)</f>
        <v>0</v>
      </c>
      <c r="P22" s="33">
        <f t="shared" si="7"/>
        <v>0</v>
      </c>
      <c r="Q22" s="34">
        <f>COUNTIF(Vertices[PageRank],"&gt;= "&amp;P22)-COUNTIF(Vertices[PageRank],"&gt;="&amp;P23)</f>
        <v>0</v>
      </c>
      <c r="R22" s="33">
        <f t="shared" si="8"/>
        <v>0</v>
      </c>
      <c r="S22" s="39">
        <f>COUNTIF(Vertices[Clustering Coefficient],"&gt;= "&amp;R22)-COUNTIF(Vertices[Clustering Coefficient],"&gt;="&amp;R23)</f>
        <v>0</v>
      </c>
      <c r="T22" s="33" t="e">
        <f ca="1" t="shared" si="9"/>
        <v>#REF!</v>
      </c>
      <c r="U22" s="34" t="e">
        <f ca="1" t="shared" si="0"/>
        <v>#REF!</v>
      </c>
    </row>
    <row r="23" spans="1:21" ht="15">
      <c r="A23" s="30"/>
      <c r="B23" s="30"/>
      <c r="D23" s="28">
        <f t="shared" si="1"/>
        <v>2.9090909090909074</v>
      </c>
      <c r="E23">
        <f>COUNTIF(Vertices[Degree],"&gt;= "&amp;D23)-COUNTIF(Vertices[Degree],"&gt;="&amp;D24)</f>
        <v>0</v>
      </c>
      <c r="F23" s="35">
        <f t="shared" si="2"/>
        <v>0</v>
      </c>
      <c r="G23" s="36">
        <f>COUNTIF(Vertices[In-Degree],"&gt;= "&amp;F23)-COUNTIF(Vertices[In-Degree],"&gt;="&amp;F24)</f>
        <v>0</v>
      </c>
      <c r="H23" s="35">
        <f t="shared" si="3"/>
        <v>0</v>
      </c>
      <c r="I23" s="36">
        <f>COUNTIF(Vertices[Out-Degree],"&gt;= "&amp;H23)-COUNTIF(Vertices[Out-Degree],"&gt;="&amp;H24)</f>
        <v>0</v>
      </c>
      <c r="J23" s="35">
        <f t="shared" si="4"/>
        <v>0</v>
      </c>
      <c r="K23" s="36">
        <f>COUNTIF(Vertices[Betweenness Centrality],"&gt;= "&amp;J23)-COUNTIF(Vertices[Betweenness Centrality],"&gt;="&amp;J24)</f>
        <v>0</v>
      </c>
      <c r="L23" s="35">
        <f t="shared" si="5"/>
        <v>0</v>
      </c>
      <c r="M23" s="36">
        <f>COUNTIF(Vertices[Closeness Centrality],"&gt;= "&amp;L23)-COUNTIF(Vertices[Closeness Centrality],"&gt;="&amp;L24)</f>
        <v>0</v>
      </c>
      <c r="N23" s="35">
        <f t="shared" si="6"/>
        <v>0</v>
      </c>
      <c r="O23" s="36">
        <f>COUNTIF(Vertices[Eigenvector Centrality],"&gt;= "&amp;N23)-COUNTIF(Vertices[Eigenvector Centrality],"&gt;="&amp;N24)</f>
        <v>0</v>
      </c>
      <c r="P23" s="35">
        <f t="shared" si="7"/>
        <v>0</v>
      </c>
      <c r="Q23" s="36">
        <f>COUNTIF(Vertices[PageRank],"&gt;= "&amp;P23)-COUNTIF(Vertices[PageRank],"&gt;="&amp;P24)</f>
        <v>0</v>
      </c>
      <c r="R23" s="35">
        <f t="shared" si="8"/>
        <v>0</v>
      </c>
      <c r="S23" s="40">
        <f>COUNTIF(Vertices[Clustering Coefficient],"&gt;= "&amp;R23)-COUNTIF(Vertices[Clustering Coefficient],"&gt;="&amp;R24)</f>
        <v>0</v>
      </c>
      <c r="T23" s="35" t="e">
        <f ca="1" t="shared" si="9"/>
        <v>#REF!</v>
      </c>
      <c r="U23" s="36" t="e">
        <f ca="1" t="shared" si="0"/>
        <v>#REF!</v>
      </c>
    </row>
    <row r="24" spans="1:21" ht="15">
      <c r="A24" s="30"/>
      <c r="B24" s="30"/>
      <c r="D24" s="28">
        <f t="shared" si="1"/>
        <v>2.9999999999999982</v>
      </c>
      <c r="E24">
        <f>COUNTIF(Vertices[Degree],"&gt;= "&amp;D24)-COUNTIF(Vertices[Degree],"&gt;="&amp;D25)</f>
        <v>1</v>
      </c>
      <c r="F24" s="33">
        <f t="shared" si="2"/>
        <v>0</v>
      </c>
      <c r="G24" s="34">
        <f>COUNTIF(Vertices[In-Degree],"&gt;= "&amp;F24)-COUNTIF(Vertices[In-Degree],"&gt;="&amp;F25)</f>
        <v>0</v>
      </c>
      <c r="H24" s="33">
        <f t="shared" si="3"/>
        <v>0</v>
      </c>
      <c r="I24" s="34">
        <f>COUNTIF(Vertices[Out-Degree],"&gt;= "&amp;H24)-COUNTIF(Vertices[Out-Degree],"&gt;="&amp;H25)</f>
        <v>0</v>
      </c>
      <c r="J24" s="33">
        <f t="shared" si="4"/>
        <v>0</v>
      </c>
      <c r="K24" s="34">
        <f>COUNTIF(Vertices[Betweenness Centrality],"&gt;= "&amp;J24)-COUNTIF(Vertices[Betweenness Centrality],"&gt;="&amp;J25)</f>
        <v>0</v>
      </c>
      <c r="L24" s="33">
        <f t="shared" si="5"/>
        <v>0</v>
      </c>
      <c r="M24" s="34">
        <f>COUNTIF(Vertices[Closeness Centrality],"&gt;= "&amp;L24)-COUNTIF(Vertices[Closeness Centrality],"&gt;="&amp;L25)</f>
        <v>0</v>
      </c>
      <c r="N24" s="33">
        <f t="shared" si="6"/>
        <v>0</v>
      </c>
      <c r="O24" s="34">
        <f>COUNTIF(Vertices[Eigenvector Centrality],"&gt;= "&amp;N24)-COUNTIF(Vertices[Eigenvector Centrality],"&gt;="&amp;N25)</f>
        <v>0</v>
      </c>
      <c r="P24" s="33">
        <f t="shared" si="7"/>
        <v>0</v>
      </c>
      <c r="Q24" s="34">
        <f>COUNTIF(Vertices[PageRank],"&gt;= "&amp;P24)-COUNTIF(Vertices[PageRank],"&gt;="&amp;P25)</f>
        <v>0</v>
      </c>
      <c r="R24" s="33">
        <f t="shared" si="8"/>
        <v>0</v>
      </c>
      <c r="S24" s="39">
        <f>COUNTIF(Vertices[Clustering Coefficient],"&gt;= "&amp;R24)-COUNTIF(Vertices[Clustering Coefficient],"&gt;="&amp;R25)</f>
        <v>0</v>
      </c>
      <c r="T24" s="33" t="e">
        <f ca="1" t="shared" si="9"/>
        <v>#REF!</v>
      </c>
      <c r="U24" s="34" t="e">
        <f ca="1" t="shared" si="0"/>
        <v>#REF!</v>
      </c>
    </row>
    <row r="25" spans="1:21" ht="15">
      <c r="A25" s="30"/>
      <c r="B25" s="30"/>
      <c r="D25" s="28">
        <f t="shared" si="1"/>
        <v>3.090909090909089</v>
      </c>
      <c r="E25">
        <f>COUNTIF(Vertices[Degree],"&gt;= "&amp;D25)-COUNTIF(Vertices[Degree],"&gt;="&amp;D26)</f>
        <v>0</v>
      </c>
      <c r="F25" s="35">
        <f t="shared" si="2"/>
        <v>0</v>
      </c>
      <c r="G25" s="36">
        <f>COUNTIF(Vertices[In-Degree],"&gt;= "&amp;F25)-COUNTIF(Vertices[In-Degree],"&gt;="&amp;F26)</f>
        <v>0</v>
      </c>
      <c r="H25" s="35">
        <f t="shared" si="3"/>
        <v>0</v>
      </c>
      <c r="I25" s="36">
        <f>COUNTIF(Vertices[Out-Degree],"&gt;= "&amp;H25)-COUNTIF(Vertices[Out-Degree],"&gt;="&amp;H26)</f>
        <v>0</v>
      </c>
      <c r="J25" s="35">
        <f t="shared" si="4"/>
        <v>0</v>
      </c>
      <c r="K25" s="36">
        <f>COUNTIF(Vertices[Betweenness Centrality],"&gt;= "&amp;J25)-COUNTIF(Vertices[Betweenness Centrality],"&gt;="&amp;J26)</f>
        <v>0</v>
      </c>
      <c r="L25" s="35">
        <f t="shared" si="5"/>
        <v>0</v>
      </c>
      <c r="M25" s="36">
        <f>COUNTIF(Vertices[Closeness Centrality],"&gt;= "&amp;L25)-COUNTIF(Vertices[Closeness Centrality],"&gt;="&amp;L26)</f>
        <v>0</v>
      </c>
      <c r="N25" s="35">
        <f t="shared" si="6"/>
        <v>0</v>
      </c>
      <c r="O25" s="36">
        <f>COUNTIF(Vertices[Eigenvector Centrality],"&gt;= "&amp;N25)-COUNTIF(Vertices[Eigenvector Centrality],"&gt;="&amp;N26)</f>
        <v>0</v>
      </c>
      <c r="P25" s="35">
        <f t="shared" si="7"/>
        <v>0</v>
      </c>
      <c r="Q25" s="36">
        <f>COUNTIF(Vertices[PageRank],"&gt;= "&amp;P25)-COUNTIF(Vertices[PageRank],"&gt;="&amp;P26)</f>
        <v>0</v>
      </c>
      <c r="R25" s="35">
        <f t="shared" si="8"/>
        <v>0</v>
      </c>
      <c r="S25" s="40">
        <f>COUNTIF(Vertices[Clustering Coefficient],"&gt;= "&amp;R25)-COUNTIF(Vertices[Clustering Coefficient],"&gt;="&amp;R26)</f>
        <v>0</v>
      </c>
      <c r="T25" s="35" t="e">
        <f ca="1" t="shared" si="9"/>
        <v>#REF!</v>
      </c>
      <c r="U25" s="36" t="e">
        <f ca="1" t="shared" si="0"/>
        <v>#REF!</v>
      </c>
    </row>
    <row r="26" spans="1:21" ht="15">
      <c r="A26" s="30"/>
      <c r="B26" s="30"/>
      <c r="D26" s="28">
        <f t="shared" si="1"/>
        <v>3.18181818181818</v>
      </c>
      <c r="E26">
        <f>COUNTIF(Vertices[Degree],"&gt;= "&amp;D26)-COUNTIF(Vertices[Degree],"&gt;="&amp;D28)</f>
        <v>0</v>
      </c>
      <c r="F26" s="33">
        <f t="shared" si="2"/>
        <v>0</v>
      </c>
      <c r="G26" s="34">
        <f>COUNTIF(Vertices[In-Degree],"&gt;= "&amp;F26)-COUNTIF(Vertices[In-Degree],"&gt;="&amp;F28)</f>
        <v>0</v>
      </c>
      <c r="H26" s="33">
        <f t="shared" si="3"/>
        <v>0</v>
      </c>
      <c r="I26" s="34">
        <f>COUNTIF(Vertices[Out-Degree],"&gt;= "&amp;H26)-COUNTIF(Vertices[Out-Degree],"&gt;="&amp;H28)</f>
        <v>0</v>
      </c>
      <c r="J26" s="33">
        <f t="shared" si="4"/>
        <v>0</v>
      </c>
      <c r="K26" s="34">
        <f>COUNTIF(Vertices[Betweenness Centrality],"&gt;= "&amp;J26)-COUNTIF(Vertices[Betweenness Centrality],"&gt;="&amp;J28)</f>
        <v>0</v>
      </c>
      <c r="L26" s="33">
        <f t="shared" si="5"/>
        <v>0</v>
      </c>
      <c r="M26" s="34">
        <f>COUNTIF(Vertices[Closeness Centrality],"&gt;= "&amp;L26)-COUNTIF(Vertices[Closeness Centrality],"&gt;="&amp;L28)</f>
        <v>0</v>
      </c>
      <c r="N26" s="33">
        <f t="shared" si="6"/>
        <v>0</v>
      </c>
      <c r="O26" s="34">
        <f>COUNTIF(Vertices[Eigenvector Centrality],"&gt;= "&amp;N26)-COUNTIF(Vertices[Eigenvector Centrality],"&gt;="&amp;N28)</f>
        <v>0</v>
      </c>
      <c r="P26" s="33">
        <f t="shared" si="7"/>
        <v>0</v>
      </c>
      <c r="Q26" s="34">
        <f>COUNTIF(Vertices[PageRank],"&gt;= "&amp;P26)-COUNTIF(Vertices[PageRank],"&gt;="&amp;P28)</f>
        <v>0</v>
      </c>
      <c r="R26" s="33">
        <f t="shared" si="8"/>
        <v>0</v>
      </c>
      <c r="S26" s="39">
        <f>COUNTIF(Vertices[Clustering Coefficient],"&gt;= "&amp;R26)-COUNTIF(Vertices[Clustering Coefficient],"&gt;="&amp;R28)</f>
        <v>0</v>
      </c>
      <c r="T26" s="33" t="e">
        <f ca="1" t="shared" si="9"/>
        <v>#REF!</v>
      </c>
      <c r="U26" s="34" t="e">
        <f ca="1">COUNTIF(INDIRECT(DynamicFilterSourceColumnRange),"&gt;= "&amp;T26)-COUNTIF(INDIRECT(DynamicFilterSourceColumnRange),"&gt;="&amp;T28)</f>
        <v>#REF!</v>
      </c>
    </row>
    <row r="27" spans="1:21" ht="15">
      <c r="A27" s="59"/>
      <c r="B27" s="59"/>
      <c r="D27" s="28"/>
      <c r="E27">
        <f>COUNTIF(Vertices[Degree],"&gt;= "&amp;D27)-COUNTIF(Vertices[Degree],"&gt;="&amp;D28)</f>
        <v>-3</v>
      </c>
      <c r="F27" s="56"/>
      <c r="G27" s="57">
        <f>COUNTIF(Vertices[In-Degree],"&gt;= "&amp;F27)-COUNTIF(Vertices[In-Degree],"&gt;="&amp;F28)</f>
        <v>0</v>
      </c>
      <c r="H27" s="56"/>
      <c r="I27" s="57">
        <f>COUNTIF(Vertices[Out-Degree],"&gt;= "&amp;H27)-COUNTIF(Vertices[Out-Degree],"&gt;="&amp;H28)</f>
        <v>0</v>
      </c>
      <c r="J27" s="56"/>
      <c r="K27" s="57">
        <f>COUNTIF(Vertices[Betweenness Centrality],"&gt;= "&amp;J27)-COUNTIF(Vertices[Betweenness Centrality],"&gt;="&amp;J28)</f>
        <v>0</v>
      </c>
      <c r="L27" s="56"/>
      <c r="M27" s="57">
        <f>COUNTIF(Vertices[Closeness Centrality],"&gt;= "&amp;L27)-COUNTIF(Vertices[Closeness Centrality],"&gt;="&amp;L28)</f>
        <v>0</v>
      </c>
      <c r="N27" s="56"/>
      <c r="O27" s="57">
        <f>COUNTIF(Vertices[Eigenvector Centrality],"&gt;= "&amp;N27)-COUNTIF(Vertices[Eigenvector Centrality],"&gt;="&amp;N28)</f>
        <v>0</v>
      </c>
      <c r="P27" s="56"/>
      <c r="Q27" s="57">
        <f>COUNTIF(Vertices[Eigenvector Centrality],"&gt;= "&amp;P27)-COUNTIF(Vertices[Eigenvector Centrality],"&gt;="&amp;P28)</f>
        <v>0</v>
      </c>
      <c r="R27" s="56"/>
      <c r="S27" s="58">
        <f>COUNTIF(Vertices[Clustering Coefficient],"&gt;= "&amp;R27)-COUNTIF(Vertices[Clustering Coefficient],"&gt;="&amp;R28)</f>
        <v>0</v>
      </c>
      <c r="T27" s="56"/>
      <c r="U27" s="57">
        <f ca="1">COUNTIF(Vertices[Clustering Coefficient],"&gt;= "&amp;T27)-COUNTIF(Vertices[Clustering Coefficient],"&gt;="&amp;T28)</f>
        <v>0</v>
      </c>
    </row>
    <row r="28" spans="1:21" ht="15">
      <c r="A28" s="30"/>
      <c r="B28" s="30"/>
      <c r="D28" s="28">
        <f>D26+($D$57-$D$2)/BinDivisor</f>
        <v>3.2727272727272707</v>
      </c>
      <c r="E28">
        <f>COUNTIF(Vertices[Degree],"&gt;= "&amp;D28)-COUNTIF(Vertices[Degree],"&gt;="&amp;D40)</f>
        <v>0</v>
      </c>
      <c r="F28" s="35">
        <f>F26+($F$57-$F$2)/BinDivisor</f>
        <v>0</v>
      </c>
      <c r="G28" s="36">
        <f>COUNTIF(Vertices[In-Degree],"&gt;= "&amp;F28)-COUNTIF(Vertices[In-Degree],"&gt;="&amp;F40)</f>
        <v>0</v>
      </c>
      <c r="H28" s="35">
        <f>H26+($H$57-$H$2)/BinDivisor</f>
        <v>0</v>
      </c>
      <c r="I28" s="36">
        <f>COUNTIF(Vertices[Out-Degree],"&gt;= "&amp;H28)-COUNTIF(Vertices[Out-Degree],"&gt;="&amp;H40)</f>
        <v>0</v>
      </c>
      <c r="J28" s="35">
        <f>J26+($J$57-$J$2)/BinDivisor</f>
        <v>0</v>
      </c>
      <c r="K28" s="36">
        <f>COUNTIF(Vertices[Betweenness Centrality],"&gt;= "&amp;J28)-COUNTIF(Vertices[Betweenness Centrality],"&gt;="&amp;J40)</f>
        <v>0</v>
      </c>
      <c r="L28" s="35">
        <f>L26+($L$57-$L$2)/BinDivisor</f>
        <v>0</v>
      </c>
      <c r="M28" s="36">
        <f>COUNTIF(Vertices[Closeness Centrality],"&gt;= "&amp;L28)-COUNTIF(Vertices[Closeness Centrality],"&gt;="&amp;L40)</f>
        <v>0</v>
      </c>
      <c r="N28" s="35">
        <f>N26+($N$57-$N$2)/BinDivisor</f>
        <v>0</v>
      </c>
      <c r="O28" s="36">
        <f>COUNTIF(Vertices[Eigenvector Centrality],"&gt;= "&amp;N28)-COUNTIF(Vertices[Eigenvector Centrality],"&gt;="&amp;N40)</f>
        <v>0</v>
      </c>
      <c r="P28" s="35">
        <f>P26+($P$57-$P$2)/BinDivisor</f>
        <v>0</v>
      </c>
      <c r="Q28" s="36">
        <f>COUNTIF(Vertices[PageRank],"&gt;= "&amp;P28)-COUNTIF(Vertices[PageRank],"&gt;="&amp;P40)</f>
        <v>0</v>
      </c>
      <c r="R28" s="35">
        <f>R26+($R$57-$R$2)/BinDivisor</f>
        <v>0</v>
      </c>
      <c r="S28" s="40">
        <f>COUNTIF(Vertices[Clustering Coefficient],"&gt;= "&amp;R28)-COUNTIF(Vertices[Clustering Coefficient],"&gt;="&amp;R40)</f>
        <v>0</v>
      </c>
      <c r="T28" s="35" t="e">
        <f ca="1">T26+($T$57-$T$2)/BinDivisor</f>
        <v>#REF!</v>
      </c>
      <c r="U28" s="36" t="e">
        <f ca="1">COUNTIF(INDIRECT(DynamicFilterSourceColumnRange),"&gt;= "&amp;T28)-COUNTIF(INDIRECT(DynamicFilterSourceColumnRange),"&gt;="&amp;T40)</f>
        <v>#REF!</v>
      </c>
    </row>
    <row r="29" spans="1:21" ht="15">
      <c r="A29" s="30"/>
      <c r="B29" s="30"/>
      <c r="D29" s="28"/>
      <c r="E29">
        <f>COUNTIF(Vertices[Degree],"&gt;= "&amp;D29)-COUNTIF(Vertices[Degree],"&gt;="&amp;D30)</f>
        <v>0</v>
      </c>
      <c r="F29" s="56"/>
      <c r="G29" s="57">
        <f>COUNTIF(Vertices[In-Degree],"&gt;= "&amp;F29)-COUNTIF(Vertices[In-Degree],"&gt;="&amp;F30)</f>
        <v>0</v>
      </c>
      <c r="H29" s="56"/>
      <c r="I29" s="57">
        <f>COUNTIF(Vertices[Out-Degree],"&gt;= "&amp;H29)-COUNTIF(Vertices[Out-Degree],"&gt;="&amp;H30)</f>
        <v>0</v>
      </c>
      <c r="J29" s="56"/>
      <c r="K29" s="57">
        <f>COUNTIF(Vertices[Betweenness Centrality],"&gt;= "&amp;J29)-COUNTIF(Vertices[Betweenness Centrality],"&gt;="&amp;J30)</f>
        <v>0</v>
      </c>
      <c r="L29" s="56"/>
      <c r="M29" s="57">
        <f>COUNTIF(Vertices[Closeness Centrality],"&gt;= "&amp;L29)-COUNTIF(Vertices[Closeness Centrality],"&gt;="&amp;L30)</f>
        <v>0</v>
      </c>
      <c r="N29" s="56"/>
      <c r="O29" s="57">
        <f>COUNTIF(Vertices[Eigenvector Centrality],"&gt;= "&amp;N29)-COUNTIF(Vertices[Eigenvector Centrality],"&gt;="&amp;N30)</f>
        <v>0</v>
      </c>
      <c r="P29" s="56"/>
      <c r="Q29" s="57">
        <f>COUNTIF(Vertices[Eigenvector Centrality],"&gt;= "&amp;P29)-COUNTIF(Vertices[Eigenvector Centrality],"&gt;="&amp;P30)</f>
        <v>0</v>
      </c>
      <c r="R29" s="56"/>
      <c r="S29" s="58">
        <f>COUNTIF(Vertices[Clustering Coefficient],"&gt;= "&amp;R29)-COUNTIF(Vertices[Clustering Coefficient],"&gt;="&amp;R30)</f>
        <v>0</v>
      </c>
      <c r="T29" s="56"/>
      <c r="U29" s="57">
        <f>COUNTIF(Vertices[Clustering Coefficient],"&gt;= "&amp;T29)-COUNTIF(Vertices[Clustering Coefficient],"&gt;="&amp;T30)</f>
        <v>0</v>
      </c>
    </row>
    <row r="30" spans="1:21" ht="15">
      <c r="A30" s="30"/>
      <c r="B30" s="30"/>
      <c r="D30" s="28"/>
      <c r="E30">
        <f>COUNTIF(Vertices[Degree],"&gt;= "&amp;D30)-COUNTIF(Vertices[Degree],"&gt;="&amp;D31)</f>
        <v>0</v>
      </c>
      <c r="F30" s="56"/>
      <c r="G30" s="57">
        <f>COUNTIF(Vertices[In-Degree],"&gt;= "&amp;F30)-COUNTIF(Vertices[In-Degree],"&gt;="&amp;F31)</f>
        <v>0</v>
      </c>
      <c r="H30" s="56"/>
      <c r="I30" s="57">
        <f>COUNTIF(Vertices[Out-Degree],"&gt;= "&amp;H30)-COUNTIF(Vertices[Out-Degree],"&gt;="&amp;H31)</f>
        <v>0</v>
      </c>
      <c r="J30" s="56"/>
      <c r="K30" s="57">
        <f>COUNTIF(Vertices[Betweenness Centrality],"&gt;= "&amp;J30)-COUNTIF(Vertices[Betweenness Centrality],"&gt;="&amp;J31)</f>
        <v>0</v>
      </c>
      <c r="L30" s="56"/>
      <c r="M30" s="57">
        <f>COUNTIF(Vertices[Closeness Centrality],"&gt;= "&amp;L30)-COUNTIF(Vertices[Closeness Centrality],"&gt;="&amp;L31)</f>
        <v>0</v>
      </c>
      <c r="N30" s="56"/>
      <c r="O30" s="57">
        <f>COUNTIF(Vertices[Eigenvector Centrality],"&gt;= "&amp;N30)-COUNTIF(Vertices[Eigenvector Centrality],"&gt;="&amp;N31)</f>
        <v>0</v>
      </c>
      <c r="P30" s="56"/>
      <c r="Q30" s="57">
        <f>COUNTIF(Vertices[Eigenvector Centrality],"&gt;= "&amp;P30)-COUNTIF(Vertices[Eigenvector Centrality],"&gt;="&amp;P31)</f>
        <v>0</v>
      </c>
      <c r="R30" s="56"/>
      <c r="S30" s="58">
        <f>COUNTIF(Vertices[Clustering Coefficient],"&gt;= "&amp;R30)-COUNTIF(Vertices[Clustering Coefficient],"&gt;="&amp;R31)</f>
        <v>0</v>
      </c>
      <c r="T30" s="56"/>
      <c r="U30" s="57">
        <f>COUNTIF(Vertices[Clustering Coefficient],"&gt;= "&amp;T30)-COUNTIF(Vertices[Clustering Coefficient],"&gt;="&amp;T31)</f>
        <v>0</v>
      </c>
    </row>
    <row r="31" spans="1:21" ht="15">
      <c r="A31" s="30"/>
      <c r="B31" s="30"/>
      <c r="D31" s="28"/>
      <c r="E31">
        <f>COUNTIF(Vertices[Degree],"&gt;= "&amp;D31)-COUNTIF(Vertices[Degree],"&gt;="&amp;D32)</f>
        <v>0</v>
      </c>
      <c r="F31" s="56"/>
      <c r="G31" s="57">
        <f>COUNTIF(Vertices[In-Degree],"&gt;= "&amp;F31)-COUNTIF(Vertices[In-Degree],"&gt;="&amp;F32)</f>
        <v>0</v>
      </c>
      <c r="H31" s="56"/>
      <c r="I31" s="57">
        <f>COUNTIF(Vertices[Out-Degree],"&gt;= "&amp;H31)-COUNTIF(Vertices[Out-Degree],"&gt;="&amp;H32)</f>
        <v>0</v>
      </c>
      <c r="J31" s="56"/>
      <c r="K31" s="57">
        <f>COUNTIF(Vertices[Betweenness Centrality],"&gt;= "&amp;J31)-COUNTIF(Vertices[Betweenness Centrality],"&gt;="&amp;J32)</f>
        <v>0</v>
      </c>
      <c r="L31" s="56"/>
      <c r="M31" s="57">
        <f>COUNTIF(Vertices[Closeness Centrality],"&gt;= "&amp;L31)-COUNTIF(Vertices[Closeness Centrality],"&gt;="&amp;L32)</f>
        <v>0</v>
      </c>
      <c r="N31" s="56"/>
      <c r="O31" s="57">
        <f>COUNTIF(Vertices[Eigenvector Centrality],"&gt;= "&amp;N31)-COUNTIF(Vertices[Eigenvector Centrality],"&gt;="&amp;N32)</f>
        <v>0</v>
      </c>
      <c r="P31" s="56"/>
      <c r="Q31" s="57">
        <f>COUNTIF(Vertices[Eigenvector Centrality],"&gt;= "&amp;P31)-COUNTIF(Vertices[Eigenvector Centrality],"&gt;="&amp;P32)</f>
        <v>0</v>
      </c>
      <c r="R31" s="56"/>
      <c r="S31" s="58">
        <f>COUNTIF(Vertices[Clustering Coefficient],"&gt;= "&amp;R31)-COUNTIF(Vertices[Clustering Coefficient],"&gt;="&amp;R32)</f>
        <v>0</v>
      </c>
      <c r="T31" s="56"/>
      <c r="U31" s="57">
        <f>COUNTIF(Vertices[Clustering Coefficient],"&gt;= "&amp;T31)-COUNTIF(Vertices[Clustering Coefficient],"&gt;="&amp;T32)</f>
        <v>0</v>
      </c>
    </row>
    <row r="32" spans="1:21" ht="15">
      <c r="A32" s="30"/>
      <c r="B32" s="30"/>
      <c r="D32" s="28"/>
      <c r="E32">
        <f>COUNTIF(Vertices[Degree],"&gt;= "&amp;D32)-COUNTIF(Vertices[Degree],"&gt;="&amp;D33)</f>
        <v>0</v>
      </c>
      <c r="F32" s="56"/>
      <c r="G32" s="57">
        <f>COUNTIF(Vertices[In-Degree],"&gt;= "&amp;F32)-COUNTIF(Vertices[In-Degree],"&gt;="&amp;F33)</f>
        <v>0</v>
      </c>
      <c r="H32" s="56"/>
      <c r="I32" s="57">
        <f>COUNTIF(Vertices[Out-Degree],"&gt;= "&amp;H32)-COUNTIF(Vertices[Out-Degree],"&gt;="&amp;H33)</f>
        <v>0</v>
      </c>
      <c r="J32" s="56"/>
      <c r="K32" s="57">
        <f>COUNTIF(Vertices[Betweenness Centrality],"&gt;= "&amp;J32)-COUNTIF(Vertices[Betweenness Centrality],"&gt;="&amp;J33)</f>
        <v>0</v>
      </c>
      <c r="L32" s="56"/>
      <c r="M32" s="57">
        <f>COUNTIF(Vertices[Closeness Centrality],"&gt;= "&amp;L32)-COUNTIF(Vertices[Closeness Centrality],"&gt;="&amp;L33)</f>
        <v>0</v>
      </c>
      <c r="N32" s="56"/>
      <c r="O32" s="57">
        <f>COUNTIF(Vertices[Eigenvector Centrality],"&gt;= "&amp;N32)-COUNTIF(Vertices[Eigenvector Centrality],"&gt;="&amp;N33)</f>
        <v>0</v>
      </c>
      <c r="P32" s="56"/>
      <c r="Q32" s="57">
        <f>COUNTIF(Vertices[Eigenvector Centrality],"&gt;= "&amp;P32)-COUNTIF(Vertices[Eigenvector Centrality],"&gt;="&amp;P33)</f>
        <v>0</v>
      </c>
      <c r="R32" s="56"/>
      <c r="S32" s="58">
        <f>COUNTIF(Vertices[Clustering Coefficient],"&gt;= "&amp;R32)-COUNTIF(Vertices[Clustering Coefficient],"&gt;="&amp;R33)</f>
        <v>0</v>
      </c>
      <c r="T32" s="56"/>
      <c r="U32" s="57">
        <f>COUNTIF(Vertices[Clustering Coefficient],"&gt;= "&amp;T32)-COUNTIF(Vertices[Clustering Coefficient],"&gt;="&amp;T33)</f>
        <v>0</v>
      </c>
    </row>
    <row r="33" spans="1:21" ht="15">
      <c r="A33" s="59"/>
      <c r="B33" s="59"/>
      <c r="D33" s="28"/>
      <c r="E33">
        <f>COUNTIF(Vertices[Degree],"&gt;= "&amp;D33)-COUNTIF(Vertices[Degree],"&gt;="&amp;D38)</f>
        <v>0</v>
      </c>
      <c r="F33" s="56"/>
      <c r="G33" s="57">
        <f>COUNTIF(Vertices[In-Degree],"&gt;= "&amp;F33)-COUNTIF(Vertices[In-Degree],"&gt;="&amp;F38)</f>
        <v>0</v>
      </c>
      <c r="H33" s="56"/>
      <c r="I33" s="57">
        <f>COUNTIF(Vertices[Out-Degree],"&gt;= "&amp;H33)-COUNTIF(Vertices[Out-Degree],"&gt;="&amp;H38)</f>
        <v>0</v>
      </c>
      <c r="J33" s="56"/>
      <c r="K33" s="57">
        <f>COUNTIF(Vertices[Betweenness Centrality],"&gt;= "&amp;J33)-COUNTIF(Vertices[Betweenness Centrality],"&gt;="&amp;J38)</f>
        <v>0</v>
      </c>
      <c r="L33" s="56"/>
      <c r="M33" s="57">
        <f>COUNTIF(Vertices[Closeness Centrality],"&gt;= "&amp;L33)-COUNTIF(Vertices[Closeness Centrality],"&gt;="&amp;L38)</f>
        <v>0</v>
      </c>
      <c r="N33" s="56"/>
      <c r="O33" s="57">
        <f>COUNTIF(Vertices[Eigenvector Centrality],"&gt;= "&amp;N33)-COUNTIF(Vertices[Eigenvector Centrality],"&gt;="&amp;N38)</f>
        <v>0</v>
      </c>
      <c r="P33" s="56"/>
      <c r="Q33" s="57">
        <f>COUNTIF(Vertices[Eigenvector Centrality],"&gt;= "&amp;P33)-COUNTIF(Vertices[Eigenvector Centrality],"&gt;="&amp;P38)</f>
        <v>0</v>
      </c>
      <c r="R33" s="56"/>
      <c r="S33" s="58">
        <f>COUNTIF(Vertices[Clustering Coefficient],"&gt;= "&amp;R33)-COUNTIF(Vertices[Clustering Coefficient],"&gt;="&amp;R38)</f>
        <v>0</v>
      </c>
      <c r="T33" s="56"/>
      <c r="U33" s="57">
        <f>COUNTIF(Vertices[Clustering Coefficient],"&gt;= "&amp;T33)-COUNTIF(Vertices[Clustering Coefficient],"&gt;="&amp;T38)</f>
        <v>0</v>
      </c>
    </row>
    <row r="34" spans="1:21" ht="15">
      <c r="A34" s="30"/>
      <c r="B34" s="30"/>
      <c r="D34" s="28"/>
      <c r="E34">
        <f>COUNTIF(Vertices[Degree],"&gt;= "&amp;D34)-COUNTIF(Vertices[Degree],"&gt;="&amp;D35)</f>
        <v>0</v>
      </c>
      <c r="F34" s="56"/>
      <c r="G34" s="57">
        <f>COUNTIF(Vertices[In-Degree],"&gt;= "&amp;F34)-COUNTIF(Vertices[In-Degree],"&gt;="&amp;F35)</f>
        <v>0</v>
      </c>
      <c r="H34" s="56"/>
      <c r="I34" s="57">
        <f>COUNTIF(Vertices[Out-Degree],"&gt;= "&amp;H34)-COUNTIF(Vertices[Out-Degree],"&gt;="&amp;H35)</f>
        <v>0</v>
      </c>
      <c r="J34" s="56"/>
      <c r="K34" s="57">
        <f>COUNTIF(Vertices[Betweenness Centrality],"&gt;= "&amp;J34)-COUNTIF(Vertices[Betweenness Centrality],"&gt;="&amp;J35)</f>
        <v>0</v>
      </c>
      <c r="L34" s="56"/>
      <c r="M34" s="57">
        <f>COUNTIF(Vertices[Closeness Centrality],"&gt;= "&amp;L34)-COUNTIF(Vertices[Closeness Centrality],"&gt;="&amp;L35)</f>
        <v>0</v>
      </c>
      <c r="N34" s="56"/>
      <c r="O34" s="57">
        <f>COUNTIF(Vertices[Eigenvector Centrality],"&gt;= "&amp;N34)-COUNTIF(Vertices[Eigenvector Centrality],"&gt;="&amp;N35)</f>
        <v>0</v>
      </c>
      <c r="P34" s="56"/>
      <c r="Q34" s="57">
        <f>COUNTIF(Vertices[Eigenvector Centrality],"&gt;= "&amp;P34)-COUNTIF(Vertices[Eigenvector Centrality],"&gt;="&amp;P35)</f>
        <v>0</v>
      </c>
      <c r="R34" s="56"/>
      <c r="S34" s="58">
        <f>COUNTIF(Vertices[Clustering Coefficient],"&gt;= "&amp;R34)-COUNTIF(Vertices[Clustering Coefficient],"&gt;="&amp;R35)</f>
        <v>0</v>
      </c>
      <c r="T34" s="56"/>
      <c r="U34" s="57">
        <f>COUNTIF(Vertices[Clustering Coefficient],"&gt;= "&amp;T34)-COUNTIF(Vertices[Clustering Coefficient],"&gt;="&amp;T35)</f>
        <v>0</v>
      </c>
    </row>
    <row r="35" spans="1:21" ht="15">
      <c r="A35" s="30"/>
      <c r="B35" s="30"/>
      <c r="D35" s="28"/>
      <c r="E35">
        <f>COUNTIF(Vertices[Degree],"&gt;= "&amp;D35)-COUNTIF(Vertices[Degree],"&gt;="&amp;D36)</f>
        <v>0</v>
      </c>
      <c r="F35" s="56"/>
      <c r="G35" s="57">
        <f>COUNTIF(Vertices[In-Degree],"&gt;= "&amp;F35)-COUNTIF(Vertices[In-Degree],"&gt;="&amp;F36)</f>
        <v>0</v>
      </c>
      <c r="H35" s="56"/>
      <c r="I35" s="57">
        <f>COUNTIF(Vertices[Out-Degree],"&gt;= "&amp;H35)-COUNTIF(Vertices[Out-Degree],"&gt;="&amp;H36)</f>
        <v>0</v>
      </c>
      <c r="J35" s="56"/>
      <c r="K35" s="57">
        <f>COUNTIF(Vertices[Betweenness Centrality],"&gt;= "&amp;J35)-COUNTIF(Vertices[Betweenness Centrality],"&gt;="&amp;J36)</f>
        <v>0</v>
      </c>
      <c r="L35" s="56"/>
      <c r="M35" s="57">
        <f>COUNTIF(Vertices[Closeness Centrality],"&gt;= "&amp;L35)-COUNTIF(Vertices[Closeness Centrality],"&gt;="&amp;L36)</f>
        <v>0</v>
      </c>
      <c r="N35" s="56"/>
      <c r="O35" s="57">
        <f>COUNTIF(Vertices[Eigenvector Centrality],"&gt;= "&amp;N35)-COUNTIF(Vertices[Eigenvector Centrality],"&gt;="&amp;N36)</f>
        <v>0</v>
      </c>
      <c r="P35" s="56"/>
      <c r="Q35" s="57">
        <f>COUNTIF(Vertices[Eigenvector Centrality],"&gt;= "&amp;P35)-COUNTIF(Vertices[Eigenvector Centrality],"&gt;="&amp;P36)</f>
        <v>0</v>
      </c>
      <c r="R35" s="56"/>
      <c r="S35" s="58">
        <f>COUNTIF(Vertices[Clustering Coefficient],"&gt;= "&amp;R35)-COUNTIF(Vertices[Clustering Coefficient],"&gt;="&amp;R36)</f>
        <v>0</v>
      </c>
      <c r="T35" s="56"/>
      <c r="U35" s="57">
        <f>COUNTIF(Vertices[Clustering Coefficient],"&gt;= "&amp;T35)-COUNTIF(Vertices[Clustering Coefficient],"&gt;="&amp;T36)</f>
        <v>0</v>
      </c>
    </row>
    <row r="36" spans="1:21" ht="15">
      <c r="A36" s="30"/>
      <c r="B36" s="30"/>
      <c r="D36" s="28"/>
      <c r="E36">
        <f>COUNTIF(Vertices[Degree],"&gt;= "&amp;D36)-COUNTIF(Vertices[Degree],"&gt;="&amp;D37)</f>
        <v>0</v>
      </c>
      <c r="F36" s="56"/>
      <c r="G36" s="57">
        <f>COUNTIF(Vertices[In-Degree],"&gt;= "&amp;F36)-COUNTIF(Vertices[In-Degree],"&gt;="&amp;F37)</f>
        <v>0</v>
      </c>
      <c r="H36" s="56"/>
      <c r="I36" s="57">
        <f>COUNTIF(Vertices[Out-Degree],"&gt;= "&amp;H36)-COUNTIF(Vertices[Out-Degree],"&gt;="&amp;H37)</f>
        <v>0</v>
      </c>
      <c r="J36" s="56"/>
      <c r="K36" s="57">
        <f>COUNTIF(Vertices[Betweenness Centrality],"&gt;= "&amp;J36)-COUNTIF(Vertices[Betweenness Centrality],"&gt;="&amp;J37)</f>
        <v>0</v>
      </c>
      <c r="L36" s="56"/>
      <c r="M36" s="57">
        <f>COUNTIF(Vertices[Closeness Centrality],"&gt;= "&amp;L36)-COUNTIF(Vertices[Closeness Centrality],"&gt;="&amp;L37)</f>
        <v>0</v>
      </c>
      <c r="N36" s="56"/>
      <c r="O36" s="57">
        <f>COUNTIF(Vertices[Eigenvector Centrality],"&gt;= "&amp;N36)-COUNTIF(Vertices[Eigenvector Centrality],"&gt;="&amp;N37)</f>
        <v>0</v>
      </c>
      <c r="P36" s="56"/>
      <c r="Q36" s="57">
        <f>COUNTIF(Vertices[Eigenvector Centrality],"&gt;= "&amp;P36)-COUNTIF(Vertices[Eigenvector Centrality],"&gt;="&amp;P37)</f>
        <v>0</v>
      </c>
      <c r="R36" s="56"/>
      <c r="S36" s="58">
        <f>COUNTIF(Vertices[Clustering Coefficient],"&gt;= "&amp;R36)-COUNTIF(Vertices[Clustering Coefficient],"&gt;="&amp;R37)</f>
        <v>0</v>
      </c>
      <c r="T36" s="56"/>
      <c r="U36" s="57">
        <f>COUNTIF(Vertices[Clustering Coefficient],"&gt;= "&amp;T36)-COUNTIF(Vertices[Clustering Coefficient],"&gt;="&amp;T37)</f>
        <v>0</v>
      </c>
    </row>
    <row r="37" spans="1:21" ht="15">
      <c r="A37" s="59"/>
      <c r="B37" s="59"/>
      <c r="D37" s="28"/>
      <c r="E37">
        <f>COUNTIF(Vertices[Degree],"&gt;= "&amp;D37)-COUNTIF(Vertices[Degree],"&gt;="&amp;D38)</f>
        <v>0</v>
      </c>
      <c r="F37" s="56"/>
      <c r="G37" s="57">
        <f>COUNTIF(Vertices[In-Degree],"&gt;= "&amp;F37)-COUNTIF(Vertices[In-Degree],"&gt;="&amp;F38)</f>
        <v>0</v>
      </c>
      <c r="H37" s="56"/>
      <c r="I37" s="57">
        <f>COUNTIF(Vertices[Out-Degree],"&gt;= "&amp;H37)-COUNTIF(Vertices[Out-Degree],"&gt;="&amp;H38)</f>
        <v>0</v>
      </c>
      <c r="J37" s="56"/>
      <c r="K37" s="57">
        <f>COUNTIF(Vertices[Betweenness Centrality],"&gt;= "&amp;J37)-COUNTIF(Vertices[Betweenness Centrality],"&gt;="&amp;J38)</f>
        <v>0</v>
      </c>
      <c r="L37" s="56"/>
      <c r="M37" s="57">
        <f>COUNTIF(Vertices[Closeness Centrality],"&gt;= "&amp;L37)-COUNTIF(Vertices[Closeness Centrality],"&gt;="&amp;L38)</f>
        <v>0</v>
      </c>
      <c r="N37" s="56"/>
      <c r="O37" s="57">
        <f>COUNTIF(Vertices[Eigenvector Centrality],"&gt;= "&amp;N37)-COUNTIF(Vertices[Eigenvector Centrality],"&gt;="&amp;N38)</f>
        <v>0</v>
      </c>
      <c r="P37" s="56"/>
      <c r="Q37" s="57">
        <f>COUNTIF(Vertices[Eigenvector Centrality],"&gt;= "&amp;P37)-COUNTIF(Vertices[Eigenvector Centrality],"&gt;="&amp;P38)</f>
        <v>0</v>
      </c>
      <c r="R37" s="56"/>
      <c r="S37" s="58">
        <f>COUNTIF(Vertices[Clustering Coefficient],"&gt;= "&amp;R37)-COUNTIF(Vertices[Clustering Coefficient],"&gt;="&amp;R38)</f>
        <v>0</v>
      </c>
      <c r="T37" s="56"/>
      <c r="U37" s="57">
        <f>COUNTIF(Vertices[Clustering Coefficient],"&gt;= "&amp;T37)-COUNTIF(Vertices[Clustering Coefficient],"&gt;="&amp;T38)</f>
        <v>0</v>
      </c>
    </row>
    <row r="38" spans="1:21" ht="15">
      <c r="A38" s="59"/>
      <c r="B38" s="59"/>
      <c r="D38" s="28"/>
      <c r="E38">
        <f>COUNTIF(Vertices[Degree],"&gt;= "&amp;D38)-COUNTIF(Vertices[Degree],"&gt;="&amp;D40)</f>
        <v>-3</v>
      </c>
      <c r="F38" s="56"/>
      <c r="G38" s="57">
        <f>COUNTIF(Vertices[In-Degree],"&gt;= "&amp;F38)-COUNTIF(Vertices[In-Degree],"&gt;="&amp;F40)</f>
        <v>0</v>
      </c>
      <c r="H38" s="56"/>
      <c r="I38" s="57">
        <f>COUNTIF(Vertices[Out-Degree],"&gt;= "&amp;H38)-COUNTIF(Vertices[Out-Degree],"&gt;="&amp;H40)</f>
        <v>0</v>
      </c>
      <c r="J38" s="56"/>
      <c r="K38" s="57">
        <f>COUNTIF(Vertices[Betweenness Centrality],"&gt;= "&amp;J38)-COUNTIF(Vertices[Betweenness Centrality],"&gt;="&amp;J40)</f>
        <v>0</v>
      </c>
      <c r="L38" s="56"/>
      <c r="M38" s="57">
        <f>COUNTIF(Vertices[Closeness Centrality],"&gt;= "&amp;L38)-COUNTIF(Vertices[Closeness Centrality],"&gt;="&amp;L40)</f>
        <v>0</v>
      </c>
      <c r="N38" s="56"/>
      <c r="O38" s="57">
        <f>COUNTIF(Vertices[Eigenvector Centrality],"&gt;= "&amp;N38)-COUNTIF(Vertices[Eigenvector Centrality],"&gt;="&amp;N40)</f>
        <v>0</v>
      </c>
      <c r="P38" s="56"/>
      <c r="Q38" s="57">
        <f>COUNTIF(Vertices[Eigenvector Centrality],"&gt;= "&amp;P38)-COUNTIF(Vertices[Eigenvector Centrality],"&gt;="&amp;P40)</f>
        <v>0</v>
      </c>
      <c r="R38" s="56"/>
      <c r="S38" s="58">
        <f>COUNTIF(Vertices[Clustering Coefficient],"&gt;= "&amp;R38)-COUNTIF(Vertices[Clustering Coefficient],"&gt;="&amp;R40)</f>
        <v>0</v>
      </c>
      <c r="T38" s="56"/>
      <c r="U38" s="57">
        <f ca="1">COUNTIF(Vertices[Clustering Coefficient],"&gt;= "&amp;T38)-COUNTIF(Vertices[Clustering Coefficient],"&gt;="&amp;T40)</f>
        <v>0</v>
      </c>
    </row>
    <row r="39" spans="1:21" ht="15">
      <c r="A39" s="59"/>
      <c r="B39" s="59"/>
      <c r="D39" s="28"/>
      <c r="E39">
        <f>COUNTIF(Vertices[Degree],"&gt;= "&amp;D39)-COUNTIF(Vertices[Degree],"&gt;="&amp;D40)</f>
        <v>-3</v>
      </c>
      <c r="F39" s="56"/>
      <c r="G39" s="57">
        <f>COUNTIF(Vertices[In-Degree],"&gt;= "&amp;F39)-COUNTIF(Vertices[In-Degree],"&gt;="&amp;F40)</f>
        <v>0</v>
      </c>
      <c r="H39" s="56"/>
      <c r="I39" s="57">
        <f>COUNTIF(Vertices[Out-Degree],"&gt;= "&amp;H39)-COUNTIF(Vertices[Out-Degree],"&gt;="&amp;H40)</f>
        <v>0</v>
      </c>
      <c r="J39" s="56"/>
      <c r="K39" s="57">
        <f>COUNTIF(Vertices[Betweenness Centrality],"&gt;= "&amp;J39)-COUNTIF(Vertices[Betweenness Centrality],"&gt;="&amp;J40)</f>
        <v>0</v>
      </c>
      <c r="L39" s="56"/>
      <c r="M39" s="57">
        <f>COUNTIF(Vertices[Closeness Centrality],"&gt;= "&amp;L39)-COUNTIF(Vertices[Closeness Centrality],"&gt;="&amp;L40)</f>
        <v>0</v>
      </c>
      <c r="N39" s="56"/>
      <c r="O39" s="57">
        <f>COUNTIF(Vertices[Eigenvector Centrality],"&gt;= "&amp;N39)-COUNTIF(Vertices[Eigenvector Centrality],"&gt;="&amp;N40)</f>
        <v>0</v>
      </c>
      <c r="P39" s="56"/>
      <c r="Q39" s="57">
        <f>COUNTIF(Vertices[Eigenvector Centrality],"&gt;= "&amp;P39)-COUNTIF(Vertices[Eigenvector Centrality],"&gt;="&amp;P40)</f>
        <v>0</v>
      </c>
      <c r="R39" s="56"/>
      <c r="S39" s="58">
        <f>COUNTIF(Vertices[Clustering Coefficient],"&gt;= "&amp;R39)-COUNTIF(Vertices[Clustering Coefficient],"&gt;="&amp;R40)</f>
        <v>0</v>
      </c>
      <c r="T39" s="56"/>
      <c r="U39" s="57">
        <f ca="1">COUNTIF(Vertices[Clustering Coefficient],"&gt;= "&amp;T39)-COUNTIF(Vertices[Clustering Coefficient],"&gt;="&amp;T40)</f>
        <v>0</v>
      </c>
    </row>
    <row r="40" spans="4:21" ht="15">
      <c r="D40" s="28">
        <f>D28+($D$57-$D$2)/BinDivisor</f>
        <v>3.3636363636363615</v>
      </c>
      <c r="E40">
        <f>COUNTIF(Vertices[Degree],"&gt;= "&amp;D40)-COUNTIF(Vertices[Degree],"&gt;="&amp;D41)</f>
        <v>0</v>
      </c>
      <c r="F40" s="33">
        <f>F28+($F$57-$F$2)/BinDivisor</f>
        <v>0</v>
      </c>
      <c r="G40" s="34">
        <f>COUNTIF(Vertices[In-Degree],"&gt;= "&amp;F40)-COUNTIF(Vertices[In-Degree],"&gt;="&amp;F41)</f>
        <v>0</v>
      </c>
      <c r="H40" s="33">
        <f>H28+($H$57-$H$2)/BinDivisor</f>
        <v>0</v>
      </c>
      <c r="I40" s="34">
        <f>COUNTIF(Vertices[Out-Degree],"&gt;= "&amp;H40)-COUNTIF(Vertices[Out-Degree],"&gt;="&amp;H41)</f>
        <v>0</v>
      </c>
      <c r="J40" s="33">
        <f>J28+($J$57-$J$2)/BinDivisor</f>
        <v>0</v>
      </c>
      <c r="K40" s="34">
        <f>COUNTIF(Vertices[Betweenness Centrality],"&gt;= "&amp;J40)-COUNTIF(Vertices[Betweenness Centrality],"&gt;="&amp;J41)</f>
        <v>0</v>
      </c>
      <c r="L40" s="33">
        <f>L28+($L$57-$L$2)/BinDivisor</f>
        <v>0</v>
      </c>
      <c r="M40" s="34">
        <f>COUNTIF(Vertices[Closeness Centrality],"&gt;= "&amp;L40)-COUNTIF(Vertices[Closeness Centrality],"&gt;="&amp;L41)</f>
        <v>0</v>
      </c>
      <c r="N40" s="33">
        <f>N28+($N$57-$N$2)/BinDivisor</f>
        <v>0</v>
      </c>
      <c r="O40" s="34">
        <f>COUNTIF(Vertices[Eigenvector Centrality],"&gt;= "&amp;N40)-COUNTIF(Vertices[Eigenvector Centrality],"&gt;="&amp;N41)</f>
        <v>0</v>
      </c>
      <c r="P40" s="33">
        <f>P28+($P$57-$P$2)/BinDivisor</f>
        <v>0</v>
      </c>
      <c r="Q40" s="34">
        <f>COUNTIF(Vertices[PageRank],"&gt;= "&amp;P40)-COUNTIF(Vertices[PageRank],"&gt;="&amp;P41)</f>
        <v>0</v>
      </c>
      <c r="R40" s="33">
        <f>R28+($R$57-$R$2)/BinDivisor</f>
        <v>0</v>
      </c>
      <c r="S40" s="39">
        <f>COUNTIF(Vertices[Clustering Coefficient],"&gt;= "&amp;R40)-COUNTIF(Vertices[Clustering Coefficient],"&gt;="&amp;R41)</f>
        <v>0</v>
      </c>
      <c r="T40" s="33" t="e">
        <f ca="1">T28+($T$57-$T$2)/BinDivisor</f>
        <v>#REF!</v>
      </c>
      <c r="U40" s="34" t="e">
        <f ca="1" t="shared" si="0"/>
        <v>#REF!</v>
      </c>
    </row>
    <row r="41" spans="1:21" ht="15">
      <c r="A41" t="s">
        <v>163</v>
      </c>
      <c r="B41" t="s">
        <v>17</v>
      </c>
      <c r="D41" s="28">
        <f aca="true" t="shared" si="10" ref="D41:D56">D40+($D$57-$D$2)/BinDivisor</f>
        <v>3.4545454545454524</v>
      </c>
      <c r="E41">
        <f>COUNTIF(Vertices[Degree],"&gt;= "&amp;D41)-COUNTIF(Vertices[Degree],"&gt;="&amp;D42)</f>
        <v>0</v>
      </c>
      <c r="F41" s="35">
        <f aca="true" t="shared" si="11" ref="F41:F56">F40+($F$57-$F$2)/BinDivisor</f>
        <v>0</v>
      </c>
      <c r="G41" s="36">
        <f>COUNTIF(Vertices[In-Degree],"&gt;= "&amp;F41)-COUNTIF(Vertices[In-Degree],"&gt;="&amp;F42)</f>
        <v>0</v>
      </c>
      <c r="H41" s="35">
        <f aca="true" t="shared" si="12" ref="H41:H56">H40+($H$57-$H$2)/BinDivisor</f>
        <v>0</v>
      </c>
      <c r="I41" s="36">
        <f>COUNTIF(Vertices[Out-Degree],"&gt;= "&amp;H41)-COUNTIF(Vertices[Out-Degree],"&gt;="&amp;H42)</f>
        <v>0</v>
      </c>
      <c r="J41" s="35">
        <f aca="true" t="shared" si="13" ref="J41:J56">J40+($J$57-$J$2)/BinDivisor</f>
        <v>0</v>
      </c>
      <c r="K41" s="36">
        <f>COUNTIF(Vertices[Betweenness Centrality],"&gt;= "&amp;J41)-COUNTIF(Vertices[Betweenness Centrality],"&gt;="&amp;J42)</f>
        <v>0</v>
      </c>
      <c r="L41" s="35">
        <f aca="true" t="shared" si="14" ref="L41:L56">L40+($L$57-$L$2)/BinDivisor</f>
        <v>0</v>
      </c>
      <c r="M41" s="36">
        <f>COUNTIF(Vertices[Closeness Centrality],"&gt;= "&amp;L41)-COUNTIF(Vertices[Closeness Centrality],"&gt;="&amp;L42)</f>
        <v>0</v>
      </c>
      <c r="N41" s="35">
        <f aca="true" t="shared" si="15" ref="N41:N56">N40+($N$57-$N$2)/BinDivisor</f>
        <v>0</v>
      </c>
      <c r="O41" s="36">
        <f>COUNTIF(Vertices[Eigenvector Centrality],"&gt;= "&amp;N41)-COUNTIF(Vertices[Eigenvector Centrality],"&gt;="&amp;N42)</f>
        <v>0</v>
      </c>
      <c r="P41" s="35">
        <f aca="true" t="shared" si="16" ref="P41:P56">P40+($P$57-$P$2)/BinDivisor</f>
        <v>0</v>
      </c>
      <c r="Q41" s="36">
        <f>COUNTIF(Vertices[PageRank],"&gt;= "&amp;P41)-COUNTIF(Vertices[PageRank],"&gt;="&amp;P42)</f>
        <v>0</v>
      </c>
      <c r="R41" s="35">
        <f aca="true" t="shared" si="17" ref="R41:R56">R40+($R$57-$R$2)/BinDivisor</f>
        <v>0</v>
      </c>
      <c r="S41" s="40">
        <f>COUNTIF(Vertices[Clustering Coefficient],"&gt;= "&amp;R41)-COUNTIF(Vertices[Clustering Coefficient],"&gt;="&amp;R42)</f>
        <v>0</v>
      </c>
      <c r="T41" s="35" t="e">
        <f aca="true" t="shared" si="18" ref="T41:T56">T40+($T$57-$T$2)/BinDivisor</f>
        <v>#REF!</v>
      </c>
      <c r="U41" s="36" t="e">
        <f ca="1" t="shared" si="0"/>
        <v>#REF!</v>
      </c>
    </row>
    <row r="42" spans="1:21" ht="15">
      <c r="A42" s="29"/>
      <c r="B42" s="29"/>
      <c r="D42" s="28">
        <f t="shared" si="10"/>
        <v>3.545454545454543</v>
      </c>
      <c r="E42">
        <f>COUNTIF(Vertices[Degree],"&gt;= "&amp;D42)-COUNTIF(Vertices[Degree],"&gt;="&amp;D43)</f>
        <v>0</v>
      </c>
      <c r="F42" s="33">
        <f t="shared" si="11"/>
        <v>0</v>
      </c>
      <c r="G42" s="34">
        <f>COUNTIF(Vertices[In-Degree],"&gt;= "&amp;F42)-COUNTIF(Vertices[In-Degree],"&gt;="&amp;F43)</f>
        <v>0</v>
      </c>
      <c r="H42" s="33">
        <f t="shared" si="12"/>
        <v>0</v>
      </c>
      <c r="I42" s="34">
        <f>COUNTIF(Vertices[Out-Degree],"&gt;= "&amp;H42)-COUNTIF(Vertices[Out-Degree],"&gt;="&amp;H43)</f>
        <v>0</v>
      </c>
      <c r="J42" s="33">
        <f t="shared" si="13"/>
        <v>0</v>
      </c>
      <c r="K42" s="34">
        <f>COUNTIF(Vertices[Betweenness Centrality],"&gt;= "&amp;J42)-COUNTIF(Vertices[Betweenness Centrality],"&gt;="&amp;J43)</f>
        <v>0</v>
      </c>
      <c r="L42" s="33">
        <f t="shared" si="14"/>
        <v>0</v>
      </c>
      <c r="M42" s="34">
        <f>COUNTIF(Vertices[Closeness Centrality],"&gt;= "&amp;L42)-COUNTIF(Vertices[Closeness Centrality],"&gt;="&amp;L43)</f>
        <v>0</v>
      </c>
      <c r="N42" s="33">
        <f t="shared" si="15"/>
        <v>0</v>
      </c>
      <c r="O42" s="34">
        <f>COUNTIF(Vertices[Eigenvector Centrality],"&gt;= "&amp;N42)-COUNTIF(Vertices[Eigenvector Centrality],"&gt;="&amp;N43)</f>
        <v>0</v>
      </c>
      <c r="P42" s="33">
        <f t="shared" si="16"/>
        <v>0</v>
      </c>
      <c r="Q42" s="34">
        <f>COUNTIF(Vertices[PageRank],"&gt;= "&amp;P42)-COUNTIF(Vertices[PageRank],"&gt;="&amp;P43)</f>
        <v>0</v>
      </c>
      <c r="R42" s="33">
        <f t="shared" si="17"/>
        <v>0</v>
      </c>
      <c r="S42" s="39">
        <f>COUNTIF(Vertices[Clustering Coefficient],"&gt;= "&amp;R42)-COUNTIF(Vertices[Clustering Coefficient],"&gt;="&amp;R43)</f>
        <v>0</v>
      </c>
      <c r="T42" s="33" t="e">
        <f ca="1" t="shared" si="18"/>
        <v>#REF!</v>
      </c>
      <c r="U42" s="34" t="e">
        <f ca="1" t="shared" si="0"/>
        <v>#REF!</v>
      </c>
    </row>
    <row r="43" spans="1:21" ht="15">
      <c r="A43" s="29"/>
      <c r="B43" s="29"/>
      <c r="D43" s="28">
        <f t="shared" si="10"/>
        <v>3.636363636363634</v>
      </c>
      <c r="E43">
        <f>COUNTIF(Vertices[Degree],"&gt;= "&amp;D43)-COUNTIF(Vertices[Degree],"&gt;="&amp;D44)</f>
        <v>0</v>
      </c>
      <c r="F43" s="35">
        <f t="shared" si="11"/>
        <v>0</v>
      </c>
      <c r="G43" s="36">
        <f>COUNTIF(Vertices[In-Degree],"&gt;= "&amp;F43)-COUNTIF(Vertices[In-Degree],"&gt;="&amp;F44)</f>
        <v>0</v>
      </c>
      <c r="H43" s="35">
        <f t="shared" si="12"/>
        <v>0</v>
      </c>
      <c r="I43" s="36">
        <f>COUNTIF(Vertices[Out-Degree],"&gt;= "&amp;H43)-COUNTIF(Vertices[Out-Degree],"&gt;="&amp;H44)</f>
        <v>0</v>
      </c>
      <c r="J43" s="35">
        <f t="shared" si="13"/>
        <v>0</v>
      </c>
      <c r="K43" s="36">
        <f>COUNTIF(Vertices[Betweenness Centrality],"&gt;= "&amp;J43)-COUNTIF(Vertices[Betweenness Centrality],"&gt;="&amp;J44)</f>
        <v>0</v>
      </c>
      <c r="L43" s="35">
        <f t="shared" si="14"/>
        <v>0</v>
      </c>
      <c r="M43" s="36">
        <f>COUNTIF(Vertices[Closeness Centrality],"&gt;= "&amp;L43)-COUNTIF(Vertices[Closeness Centrality],"&gt;="&amp;L44)</f>
        <v>0</v>
      </c>
      <c r="N43" s="35">
        <f t="shared" si="15"/>
        <v>0</v>
      </c>
      <c r="O43" s="36">
        <f>COUNTIF(Vertices[Eigenvector Centrality],"&gt;= "&amp;N43)-COUNTIF(Vertices[Eigenvector Centrality],"&gt;="&amp;N44)</f>
        <v>0</v>
      </c>
      <c r="P43" s="35">
        <f t="shared" si="16"/>
        <v>0</v>
      </c>
      <c r="Q43" s="36">
        <f>COUNTIF(Vertices[PageRank],"&gt;= "&amp;P43)-COUNTIF(Vertices[PageRank],"&gt;="&amp;P44)</f>
        <v>0</v>
      </c>
      <c r="R43" s="35">
        <f t="shared" si="17"/>
        <v>0</v>
      </c>
      <c r="S43" s="40">
        <f>COUNTIF(Vertices[Clustering Coefficient],"&gt;= "&amp;R43)-COUNTIF(Vertices[Clustering Coefficient],"&gt;="&amp;R44)</f>
        <v>0</v>
      </c>
      <c r="T43" s="35" t="e">
        <f ca="1" t="shared" si="18"/>
        <v>#REF!</v>
      </c>
      <c r="U43" s="36" t="e">
        <f ca="1" t="shared" si="0"/>
        <v>#REF!</v>
      </c>
    </row>
    <row r="44" spans="1:21" ht="15">
      <c r="A44" s="29"/>
      <c r="B44" s="29"/>
      <c r="D44" s="28">
        <f t="shared" si="10"/>
        <v>3.727272727272725</v>
      </c>
      <c r="E44">
        <f>COUNTIF(Vertices[Degree],"&gt;= "&amp;D44)-COUNTIF(Vertices[Degree],"&gt;="&amp;D45)</f>
        <v>0</v>
      </c>
      <c r="F44" s="33">
        <f t="shared" si="11"/>
        <v>0</v>
      </c>
      <c r="G44" s="34">
        <f>COUNTIF(Vertices[In-Degree],"&gt;= "&amp;F44)-COUNTIF(Vertices[In-Degree],"&gt;="&amp;F45)</f>
        <v>0</v>
      </c>
      <c r="H44" s="33">
        <f t="shared" si="12"/>
        <v>0</v>
      </c>
      <c r="I44" s="34">
        <f>COUNTIF(Vertices[Out-Degree],"&gt;= "&amp;H44)-COUNTIF(Vertices[Out-Degree],"&gt;="&amp;H45)</f>
        <v>0</v>
      </c>
      <c r="J44" s="33">
        <f t="shared" si="13"/>
        <v>0</v>
      </c>
      <c r="K44" s="34">
        <f>COUNTIF(Vertices[Betweenness Centrality],"&gt;= "&amp;J44)-COUNTIF(Vertices[Betweenness Centrality],"&gt;="&amp;J45)</f>
        <v>0</v>
      </c>
      <c r="L44" s="33">
        <f t="shared" si="14"/>
        <v>0</v>
      </c>
      <c r="M44" s="34">
        <f>COUNTIF(Vertices[Closeness Centrality],"&gt;= "&amp;L44)-COUNTIF(Vertices[Closeness Centrality],"&gt;="&amp;L45)</f>
        <v>0</v>
      </c>
      <c r="N44" s="33">
        <f t="shared" si="15"/>
        <v>0</v>
      </c>
      <c r="O44" s="34">
        <f>COUNTIF(Vertices[Eigenvector Centrality],"&gt;= "&amp;N44)-COUNTIF(Vertices[Eigenvector Centrality],"&gt;="&amp;N45)</f>
        <v>0</v>
      </c>
      <c r="P44" s="33">
        <f t="shared" si="16"/>
        <v>0</v>
      </c>
      <c r="Q44" s="34">
        <f>COUNTIF(Vertices[PageRank],"&gt;= "&amp;P44)-COUNTIF(Vertices[PageRank],"&gt;="&amp;P45)</f>
        <v>0</v>
      </c>
      <c r="R44" s="33">
        <f t="shared" si="17"/>
        <v>0</v>
      </c>
      <c r="S44" s="39">
        <f>COUNTIF(Vertices[Clustering Coefficient],"&gt;= "&amp;R44)-COUNTIF(Vertices[Clustering Coefficient],"&gt;="&amp;R45)</f>
        <v>0</v>
      </c>
      <c r="T44" s="33" t="e">
        <f ca="1" t="shared" si="18"/>
        <v>#REF!</v>
      </c>
      <c r="U44" s="34" t="e">
        <f ca="1" t="shared" si="0"/>
        <v>#REF!</v>
      </c>
    </row>
    <row r="45" spans="4:21" ht="15">
      <c r="D45" s="28">
        <f t="shared" si="10"/>
        <v>3.8181818181818157</v>
      </c>
      <c r="E45">
        <f>COUNTIF(Vertices[Degree],"&gt;= "&amp;D45)-COUNTIF(Vertices[Degree],"&gt;="&amp;D46)</f>
        <v>0</v>
      </c>
      <c r="F45" s="35">
        <f t="shared" si="11"/>
        <v>0</v>
      </c>
      <c r="G45" s="36">
        <f>COUNTIF(Vertices[In-Degree],"&gt;= "&amp;F45)-COUNTIF(Vertices[In-Degree],"&gt;="&amp;F46)</f>
        <v>0</v>
      </c>
      <c r="H45" s="35">
        <f t="shared" si="12"/>
        <v>0</v>
      </c>
      <c r="I45" s="36">
        <f>COUNTIF(Vertices[Out-Degree],"&gt;= "&amp;H45)-COUNTIF(Vertices[Out-Degree],"&gt;="&amp;H46)</f>
        <v>0</v>
      </c>
      <c r="J45" s="35">
        <f t="shared" si="13"/>
        <v>0</v>
      </c>
      <c r="K45" s="36">
        <f>COUNTIF(Vertices[Betweenness Centrality],"&gt;= "&amp;J45)-COUNTIF(Vertices[Betweenness Centrality],"&gt;="&amp;J46)</f>
        <v>0</v>
      </c>
      <c r="L45" s="35">
        <f t="shared" si="14"/>
        <v>0</v>
      </c>
      <c r="M45" s="36">
        <f>COUNTIF(Vertices[Closeness Centrality],"&gt;= "&amp;L45)-COUNTIF(Vertices[Closeness Centrality],"&gt;="&amp;L46)</f>
        <v>0</v>
      </c>
      <c r="N45" s="35">
        <f t="shared" si="15"/>
        <v>0</v>
      </c>
      <c r="O45" s="36">
        <f>COUNTIF(Vertices[Eigenvector Centrality],"&gt;= "&amp;N45)-COUNTIF(Vertices[Eigenvector Centrality],"&gt;="&amp;N46)</f>
        <v>0</v>
      </c>
      <c r="P45" s="35">
        <f t="shared" si="16"/>
        <v>0</v>
      </c>
      <c r="Q45" s="36">
        <f>COUNTIF(Vertices[PageRank],"&gt;= "&amp;P45)-COUNTIF(Vertices[PageRank],"&gt;="&amp;P46)</f>
        <v>0</v>
      </c>
      <c r="R45" s="35">
        <f t="shared" si="17"/>
        <v>0</v>
      </c>
      <c r="S45" s="40">
        <f>COUNTIF(Vertices[Clustering Coefficient],"&gt;= "&amp;R45)-COUNTIF(Vertices[Clustering Coefficient],"&gt;="&amp;R46)</f>
        <v>0</v>
      </c>
      <c r="T45" s="35" t="e">
        <f ca="1" t="shared" si="18"/>
        <v>#REF!</v>
      </c>
      <c r="U45" s="36" t="e">
        <f ca="1" t="shared" si="0"/>
        <v>#REF!</v>
      </c>
    </row>
    <row r="46" spans="4:21" ht="15">
      <c r="D46" s="28">
        <f t="shared" si="10"/>
        <v>3.9090909090909065</v>
      </c>
      <c r="E46">
        <f>COUNTIF(Vertices[Degree],"&gt;= "&amp;D46)-COUNTIF(Vertices[Degree],"&gt;="&amp;D47)</f>
        <v>0</v>
      </c>
      <c r="F46" s="33">
        <f t="shared" si="11"/>
        <v>0</v>
      </c>
      <c r="G46" s="34">
        <f>COUNTIF(Vertices[In-Degree],"&gt;= "&amp;F46)-COUNTIF(Vertices[In-Degree],"&gt;="&amp;F47)</f>
        <v>0</v>
      </c>
      <c r="H46" s="33">
        <f t="shared" si="12"/>
        <v>0</v>
      </c>
      <c r="I46" s="34">
        <f>COUNTIF(Vertices[Out-Degree],"&gt;= "&amp;H46)-COUNTIF(Vertices[Out-Degree],"&gt;="&amp;H47)</f>
        <v>0</v>
      </c>
      <c r="J46" s="33">
        <f t="shared" si="13"/>
        <v>0</v>
      </c>
      <c r="K46" s="34">
        <f>COUNTIF(Vertices[Betweenness Centrality],"&gt;= "&amp;J46)-COUNTIF(Vertices[Betweenness Centrality],"&gt;="&amp;J47)</f>
        <v>0</v>
      </c>
      <c r="L46" s="33">
        <f t="shared" si="14"/>
        <v>0</v>
      </c>
      <c r="M46" s="34">
        <f>COUNTIF(Vertices[Closeness Centrality],"&gt;= "&amp;L46)-COUNTIF(Vertices[Closeness Centrality],"&gt;="&amp;L47)</f>
        <v>0</v>
      </c>
      <c r="N46" s="33">
        <f t="shared" si="15"/>
        <v>0</v>
      </c>
      <c r="O46" s="34">
        <f>COUNTIF(Vertices[Eigenvector Centrality],"&gt;= "&amp;N46)-COUNTIF(Vertices[Eigenvector Centrality],"&gt;="&amp;N47)</f>
        <v>0</v>
      </c>
      <c r="P46" s="33">
        <f t="shared" si="16"/>
        <v>0</v>
      </c>
      <c r="Q46" s="34">
        <f>COUNTIF(Vertices[PageRank],"&gt;= "&amp;P46)-COUNTIF(Vertices[PageRank],"&gt;="&amp;P47)</f>
        <v>0</v>
      </c>
      <c r="R46" s="33">
        <f t="shared" si="17"/>
        <v>0</v>
      </c>
      <c r="S46" s="39">
        <f>COUNTIF(Vertices[Clustering Coefficient],"&gt;= "&amp;R46)-COUNTIF(Vertices[Clustering Coefficient],"&gt;="&amp;R47)</f>
        <v>0</v>
      </c>
      <c r="T46" s="33" t="e">
        <f ca="1" t="shared" si="18"/>
        <v>#REF!</v>
      </c>
      <c r="U46" s="34" t="e">
        <f ca="1" t="shared" si="0"/>
        <v>#REF!</v>
      </c>
    </row>
    <row r="47" spans="4:21" ht="15">
      <c r="D47" s="28">
        <f t="shared" si="10"/>
        <v>3.9999999999999973</v>
      </c>
      <c r="E47">
        <f>COUNTIF(Vertices[Degree],"&gt;= "&amp;D47)-COUNTIF(Vertices[Degree],"&gt;="&amp;D48)</f>
        <v>1</v>
      </c>
      <c r="F47" s="35">
        <f t="shared" si="11"/>
        <v>0</v>
      </c>
      <c r="G47" s="36">
        <f>COUNTIF(Vertices[In-Degree],"&gt;= "&amp;F47)-COUNTIF(Vertices[In-Degree],"&gt;="&amp;F48)</f>
        <v>0</v>
      </c>
      <c r="H47" s="35">
        <f t="shared" si="12"/>
        <v>0</v>
      </c>
      <c r="I47" s="36">
        <f>COUNTIF(Vertices[Out-Degree],"&gt;= "&amp;H47)-COUNTIF(Vertices[Out-Degree],"&gt;="&amp;H48)</f>
        <v>0</v>
      </c>
      <c r="J47" s="35">
        <f t="shared" si="13"/>
        <v>0</v>
      </c>
      <c r="K47" s="36">
        <f>COUNTIF(Vertices[Betweenness Centrality],"&gt;= "&amp;J47)-COUNTIF(Vertices[Betweenness Centrality],"&gt;="&amp;J48)</f>
        <v>0</v>
      </c>
      <c r="L47" s="35">
        <f t="shared" si="14"/>
        <v>0</v>
      </c>
      <c r="M47" s="36">
        <f>COUNTIF(Vertices[Closeness Centrality],"&gt;= "&amp;L47)-COUNTIF(Vertices[Closeness Centrality],"&gt;="&amp;L48)</f>
        <v>0</v>
      </c>
      <c r="N47" s="35">
        <f t="shared" si="15"/>
        <v>0</v>
      </c>
      <c r="O47" s="36">
        <f>COUNTIF(Vertices[Eigenvector Centrality],"&gt;= "&amp;N47)-COUNTIF(Vertices[Eigenvector Centrality],"&gt;="&amp;N48)</f>
        <v>0</v>
      </c>
      <c r="P47" s="35">
        <f t="shared" si="16"/>
        <v>0</v>
      </c>
      <c r="Q47" s="36">
        <f>COUNTIF(Vertices[PageRank],"&gt;= "&amp;P47)-COUNTIF(Vertices[PageRank],"&gt;="&amp;P48)</f>
        <v>0</v>
      </c>
      <c r="R47" s="35">
        <f t="shared" si="17"/>
        <v>0</v>
      </c>
      <c r="S47" s="40">
        <f>COUNTIF(Vertices[Clustering Coefficient],"&gt;= "&amp;R47)-COUNTIF(Vertices[Clustering Coefficient],"&gt;="&amp;R48)</f>
        <v>0</v>
      </c>
      <c r="T47" s="35" t="e">
        <f ca="1" t="shared" si="18"/>
        <v>#REF!</v>
      </c>
      <c r="U47" s="36" t="e">
        <f ca="1" t="shared" si="0"/>
        <v>#REF!</v>
      </c>
    </row>
    <row r="48" spans="4:21" ht="15">
      <c r="D48" s="28">
        <f t="shared" si="10"/>
        <v>4.090909090909088</v>
      </c>
      <c r="E48">
        <f>COUNTIF(Vertices[Degree],"&gt;= "&amp;D48)-COUNTIF(Vertices[Degree],"&gt;="&amp;D49)</f>
        <v>0</v>
      </c>
      <c r="F48" s="33">
        <f t="shared" si="11"/>
        <v>0</v>
      </c>
      <c r="G48" s="34">
        <f>COUNTIF(Vertices[In-Degree],"&gt;= "&amp;F48)-COUNTIF(Vertices[In-Degree],"&gt;="&amp;F49)</f>
        <v>0</v>
      </c>
      <c r="H48" s="33">
        <f t="shared" si="12"/>
        <v>0</v>
      </c>
      <c r="I48" s="34">
        <f>COUNTIF(Vertices[Out-Degree],"&gt;= "&amp;H48)-COUNTIF(Vertices[Out-Degree],"&gt;="&amp;H49)</f>
        <v>0</v>
      </c>
      <c r="J48" s="33">
        <f t="shared" si="13"/>
        <v>0</v>
      </c>
      <c r="K48" s="34">
        <f>COUNTIF(Vertices[Betweenness Centrality],"&gt;= "&amp;J48)-COUNTIF(Vertices[Betweenness Centrality],"&gt;="&amp;J49)</f>
        <v>0</v>
      </c>
      <c r="L48" s="33">
        <f t="shared" si="14"/>
        <v>0</v>
      </c>
      <c r="M48" s="34">
        <f>COUNTIF(Vertices[Closeness Centrality],"&gt;= "&amp;L48)-COUNTIF(Vertices[Closeness Centrality],"&gt;="&amp;L49)</f>
        <v>0</v>
      </c>
      <c r="N48" s="33">
        <f t="shared" si="15"/>
        <v>0</v>
      </c>
      <c r="O48" s="34">
        <f>COUNTIF(Vertices[Eigenvector Centrality],"&gt;= "&amp;N48)-COUNTIF(Vertices[Eigenvector Centrality],"&gt;="&amp;N49)</f>
        <v>0</v>
      </c>
      <c r="P48" s="33">
        <f t="shared" si="16"/>
        <v>0</v>
      </c>
      <c r="Q48" s="34">
        <f>COUNTIF(Vertices[PageRank],"&gt;= "&amp;P48)-COUNTIF(Vertices[PageRank],"&gt;="&amp;P49)</f>
        <v>0</v>
      </c>
      <c r="R48" s="33">
        <f t="shared" si="17"/>
        <v>0</v>
      </c>
      <c r="S48" s="39">
        <f>COUNTIF(Vertices[Clustering Coefficient],"&gt;= "&amp;R48)-COUNTIF(Vertices[Clustering Coefficient],"&gt;="&amp;R49)</f>
        <v>0</v>
      </c>
      <c r="T48" s="33" t="e">
        <f ca="1" t="shared" si="18"/>
        <v>#REF!</v>
      </c>
      <c r="U48" s="34" t="e">
        <f ca="1" t="shared" si="0"/>
        <v>#REF!</v>
      </c>
    </row>
    <row r="49" spans="4:21" ht="15">
      <c r="D49" s="28">
        <f t="shared" si="10"/>
        <v>4.181818181818179</v>
      </c>
      <c r="E49">
        <f>COUNTIF(Vertices[Degree],"&gt;= "&amp;D49)-COUNTIF(Vertices[Degree],"&gt;="&amp;D50)</f>
        <v>0</v>
      </c>
      <c r="F49" s="35">
        <f t="shared" si="11"/>
        <v>0</v>
      </c>
      <c r="G49" s="36">
        <f>COUNTIF(Vertices[In-Degree],"&gt;= "&amp;F49)-COUNTIF(Vertices[In-Degree],"&gt;="&amp;F50)</f>
        <v>0</v>
      </c>
      <c r="H49" s="35">
        <f t="shared" si="12"/>
        <v>0</v>
      </c>
      <c r="I49" s="36">
        <f>COUNTIF(Vertices[Out-Degree],"&gt;= "&amp;H49)-COUNTIF(Vertices[Out-Degree],"&gt;="&amp;H50)</f>
        <v>0</v>
      </c>
      <c r="J49" s="35">
        <f t="shared" si="13"/>
        <v>0</v>
      </c>
      <c r="K49" s="36">
        <f>COUNTIF(Vertices[Betweenness Centrality],"&gt;= "&amp;J49)-COUNTIF(Vertices[Betweenness Centrality],"&gt;="&amp;J50)</f>
        <v>0</v>
      </c>
      <c r="L49" s="35">
        <f t="shared" si="14"/>
        <v>0</v>
      </c>
      <c r="M49" s="36">
        <f>COUNTIF(Vertices[Closeness Centrality],"&gt;= "&amp;L49)-COUNTIF(Vertices[Closeness Centrality],"&gt;="&amp;L50)</f>
        <v>0</v>
      </c>
      <c r="N49" s="35">
        <f t="shared" si="15"/>
        <v>0</v>
      </c>
      <c r="O49" s="36">
        <f>COUNTIF(Vertices[Eigenvector Centrality],"&gt;= "&amp;N49)-COUNTIF(Vertices[Eigenvector Centrality],"&gt;="&amp;N50)</f>
        <v>0</v>
      </c>
      <c r="P49" s="35">
        <f t="shared" si="16"/>
        <v>0</v>
      </c>
      <c r="Q49" s="36">
        <f>COUNTIF(Vertices[PageRank],"&gt;= "&amp;P49)-COUNTIF(Vertices[PageRank],"&gt;="&amp;P50)</f>
        <v>0</v>
      </c>
      <c r="R49" s="35">
        <f t="shared" si="17"/>
        <v>0</v>
      </c>
      <c r="S49" s="40">
        <f>COUNTIF(Vertices[Clustering Coefficient],"&gt;= "&amp;R49)-COUNTIF(Vertices[Clustering Coefficient],"&gt;="&amp;R50)</f>
        <v>0</v>
      </c>
      <c r="T49" s="35" t="e">
        <f ca="1" t="shared" si="18"/>
        <v>#REF!</v>
      </c>
      <c r="U49" s="36" t="e">
        <f ca="1" t="shared" si="0"/>
        <v>#REF!</v>
      </c>
    </row>
    <row r="50" spans="4:21" ht="15">
      <c r="D50" s="28">
        <f t="shared" si="10"/>
        <v>4.27272727272727</v>
      </c>
      <c r="E50">
        <f>COUNTIF(Vertices[Degree],"&gt;= "&amp;D50)-COUNTIF(Vertices[Degree],"&gt;="&amp;D51)</f>
        <v>0</v>
      </c>
      <c r="F50" s="33">
        <f t="shared" si="11"/>
        <v>0</v>
      </c>
      <c r="G50" s="34">
        <f>COUNTIF(Vertices[In-Degree],"&gt;= "&amp;F50)-COUNTIF(Vertices[In-Degree],"&gt;="&amp;F51)</f>
        <v>0</v>
      </c>
      <c r="H50" s="33">
        <f t="shared" si="12"/>
        <v>0</v>
      </c>
      <c r="I50" s="34">
        <f>COUNTIF(Vertices[Out-Degree],"&gt;= "&amp;H50)-COUNTIF(Vertices[Out-Degree],"&gt;="&amp;H51)</f>
        <v>0</v>
      </c>
      <c r="J50" s="33">
        <f t="shared" si="13"/>
        <v>0</v>
      </c>
      <c r="K50" s="34">
        <f>COUNTIF(Vertices[Betweenness Centrality],"&gt;= "&amp;J50)-COUNTIF(Vertices[Betweenness Centrality],"&gt;="&amp;J51)</f>
        <v>0</v>
      </c>
      <c r="L50" s="33">
        <f t="shared" si="14"/>
        <v>0</v>
      </c>
      <c r="M50" s="34">
        <f>COUNTIF(Vertices[Closeness Centrality],"&gt;= "&amp;L50)-COUNTIF(Vertices[Closeness Centrality],"&gt;="&amp;L51)</f>
        <v>0</v>
      </c>
      <c r="N50" s="33">
        <f t="shared" si="15"/>
        <v>0</v>
      </c>
      <c r="O50" s="34">
        <f>COUNTIF(Vertices[Eigenvector Centrality],"&gt;= "&amp;N50)-COUNTIF(Vertices[Eigenvector Centrality],"&gt;="&amp;N51)</f>
        <v>0</v>
      </c>
      <c r="P50" s="33">
        <f t="shared" si="16"/>
        <v>0</v>
      </c>
      <c r="Q50" s="34">
        <f>COUNTIF(Vertices[PageRank],"&gt;= "&amp;P50)-COUNTIF(Vertices[PageRank],"&gt;="&amp;P51)</f>
        <v>0</v>
      </c>
      <c r="R50" s="33">
        <f t="shared" si="17"/>
        <v>0</v>
      </c>
      <c r="S50" s="39">
        <f>COUNTIF(Vertices[Clustering Coefficient],"&gt;= "&amp;R50)-COUNTIF(Vertices[Clustering Coefficient],"&gt;="&amp;R51)</f>
        <v>0</v>
      </c>
      <c r="T50" s="33" t="e">
        <f ca="1" t="shared" si="18"/>
        <v>#REF!</v>
      </c>
      <c r="U50" s="34" t="e">
        <f ca="1" t="shared" si="0"/>
        <v>#REF!</v>
      </c>
    </row>
    <row r="51" spans="4:21" ht="15">
      <c r="D51" s="28">
        <f t="shared" si="10"/>
        <v>4.363636363636361</v>
      </c>
      <c r="E51">
        <f>COUNTIF(Vertices[Degree],"&gt;= "&amp;D51)-COUNTIF(Vertices[Degree],"&gt;="&amp;D52)</f>
        <v>0</v>
      </c>
      <c r="F51" s="35">
        <f t="shared" si="11"/>
        <v>0</v>
      </c>
      <c r="G51" s="36">
        <f>COUNTIF(Vertices[In-Degree],"&gt;= "&amp;F51)-COUNTIF(Vertices[In-Degree],"&gt;="&amp;F52)</f>
        <v>0</v>
      </c>
      <c r="H51" s="35">
        <f t="shared" si="12"/>
        <v>0</v>
      </c>
      <c r="I51" s="36">
        <f>COUNTIF(Vertices[Out-Degree],"&gt;= "&amp;H51)-COUNTIF(Vertices[Out-Degree],"&gt;="&amp;H52)</f>
        <v>0</v>
      </c>
      <c r="J51" s="35">
        <f t="shared" si="13"/>
        <v>0</v>
      </c>
      <c r="K51" s="36">
        <f>COUNTIF(Vertices[Betweenness Centrality],"&gt;= "&amp;J51)-COUNTIF(Vertices[Betweenness Centrality],"&gt;="&amp;J52)</f>
        <v>0</v>
      </c>
      <c r="L51" s="35">
        <f t="shared" si="14"/>
        <v>0</v>
      </c>
      <c r="M51" s="36">
        <f>COUNTIF(Vertices[Closeness Centrality],"&gt;= "&amp;L51)-COUNTIF(Vertices[Closeness Centrality],"&gt;="&amp;L52)</f>
        <v>0</v>
      </c>
      <c r="N51" s="35">
        <f t="shared" si="15"/>
        <v>0</v>
      </c>
      <c r="O51" s="36">
        <f>COUNTIF(Vertices[Eigenvector Centrality],"&gt;= "&amp;N51)-COUNTIF(Vertices[Eigenvector Centrality],"&gt;="&amp;N52)</f>
        <v>0</v>
      </c>
      <c r="P51" s="35">
        <f t="shared" si="16"/>
        <v>0</v>
      </c>
      <c r="Q51" s="36">
        <f>COUNTIF(Vertices[PageRank],"&gt;= "&amp;P51)-COUNTIF(Vertices[PageRank],"&gt;="&amp;P52)</f>
        <v>0</v>
      </c>
      <c r="R51" s="35">
        <f t="shared" si="17"/>
        <v>0</v>
      </c>
      <c r="S51" s="40">
        <f>COUNTIF(Vertices[Clustering Coefficient],"&gt;= "&amp;R51)-COUNTIF(Vertices[Clustering Coefficient],"&gt;="&amp;R52)</f>
        <v>0</v>
      </c>
      <c r="T51" s="35" t="e">
        <f ca="1" t="shared" si="18"/>
        <v>#REF!</v>
      </c>
      <c r="U51" s="36" t="e">
        <f ca="1" t="shared" si="0"/>
        <v>#REF!</v>
      </c>
    </row>
    <row r="52" spans="4:21" ht="15">
      <c r="D52" s="28">
        <f t="shared" si="10"/>
        <v>4.4545454545454515</v>
      </c>
      <c r="E52">
        <f>COUNTIF(Vertices[Degree],"&gt;= "&amp;D52)-COUNTIF(Vertices[Degree],"&gt;="&amp;D53)</f>
        <v>0</v>
      </c>
      <c r="F52" s="33">
        <f t="shared" si="11"/>
        <v>0</v>
      </c>
      <c r="G52" s="34">
        <f>COUNTIF(Vertices[In-Degree],"&gt;= "&amp;F52)-COUNTIF(Vertices[In-Degree],"&gt;="&amp;F53)</f>
        <v>0</v>
      </c>
      <c r="H52" s="33">
        <f t="shared" si="12"/>
        <v>0</v>
      </c>
      <c r="I52" s="34">
        <f>COUNTIF(Vertices[Out-Degree],"&gt;= "&amp;H52)-COUNTIF(Vertices[Out-Degree],"&gt;="&amp;H53)</f>
        <v>0</v>
      </c>
      <c r="J52" s="33">
        <f t="shared" si="13"/>
        <v>0</v>
      </c>
      <c r="K52" s="34">
        <f>COUNTIF(Vertices[Betweenness Centrality],"&gt;= "&amp;J52)-COUNTIF(Vertices[Betweenness Centrality],"&gt;="&amp;J53)</f>
        <v>0</v>
      </c>
      <c r="L52" s="33">
        <f t="shared" si="14"/>
        <v>0</v>
      </c>
      <c r="M52" s="34">
        <f>COUNTIF(Vertices[Closeness Centrality],"&gt;= "&amp;L52)-COUNTIF(Vertices[Closeness Centrality],"&gt;="&amp;L53)</f>
        <v>0</v>
      </c>
      <c r="N52" s="33">
        <f t="shared" si="15"/>
        <v>0</v>
      </c>
      <c r="O52" s="34">
        <f>COUNTIF(Vertices[Eigenvector Centrality],"&gt;= "&amp;N52)-COUNTIF(Vertices[Eigenvector Centrality],"&gt;="&amp;N53)</f>
        <v>0</v>
      </c>
      <c r="P52" s="33">
        <f t="shared" si="16"/>
        <v>0</v>
      </c>
      <c r="Q52" s="34">
        <f>COUNTIF(Vertices[PageRank],"&gt;= "&amp;P52)-COUNTIF(Vertices[PageRank],"&gt;="&amp;P53)</f>
        <v>0</v>
      </c>
      <c r="R52" s="33">
        <f t="shared" si="17"/>
        <v>0</v>
      </c>
      <c r="S52" s="39">
        <f>COUNTIF(Vertices[Clustering Coefficient],"&gt;= "&amp;R52)-COUNTIF(Vertices[Clustering Coefficient],"&gt;="&amp;R53)</f>
        <v>0</v>
      </c>
      <c r="T52" s="33" t="e">
        <f ca="1" t="shared" si="18"/>
        <v>#REF!</v>
      </c>
      <c r="U52" s="34" t="e">
        <f ca="1" t="shared" si="0"/>
        <v>#REF!</v>
      </c>
    </row>
    <row r="53" spans="4:21" ht="15">
      <c r="D53" s="28">
        <f t="shared" si="10"/>
        <v>4.545454545454542</v>
      </c>
      <c r="E53">
        <f>COUNTIF(Vertices[Degree],"&gt;= "&amp;D53)-COUNTIF(Vertices[Degree],"&gt;="&amp;D54)</f>
        <v>0</v>
      </c>
      <c r="F53" s="35">
        <f t="shared" si="11"/>
        <v>0</v>
      </c>
      <c r="G53" s="36">
        <f>COUNTIF(Vertices[In-Degree],"&gt;= "&amp;F53)-COUNTIF(Vertices[In-Degree],"&gt;="&amp;F54)</f>
        <v>0</v>
      </c>
      <c r="H53" s="35">
        <f t="shared" si="12"/>
        <v>0</v>
      </c>
      <c r="I53" s="36">
        <f>COUNTIF(Vertices[Out-Degree],"&gt;= "&amp;H53)-COUNTIF(Vertices[Out-Degree],"&gt;="&amp;H54)</f>
        <v>0</v>
      </c>
      <c r="J53" s="35">
        <f t="shared" si="13"/>
        <v>0</v>
      </c>
      <c r="K53" s="36">
        <f>COUNTIF(Vertices[Betweenness Centrality],"&gt;= "&amp;J53)-COUNTIF(Vertices[Betweenness Centrality],"&gt;="&amp;J54)</f>
        <v>0</v>
      </c>
      <c r="L53" s="35">
        <f t="shared" si="14"/>
        <v>0</v>
      </c>
      <c r="M53" s="36">
        <f>COUNTIF(Vertices[Closeness Centrality],"&gt;= "&amp;L53)-COUNTIF(Vertices[Closeness Centrality],"&gt;="&amp;L54)</f>
        <v>0</v>
      </c>
      <c r="N53" s="35">
        <f t="shared" si="15"/>
        <v>0</v>
      </c>
      <c r="O53" s="36">
        <f>COUNTIF(Vertices[Eigenvector Centrality],"&gt;= "&amp;N53)-COUNTIF(Vertices[Eigenvector Centrality],"&gt;="&amp;N54)</f>
        <v>0</v>
      </c>
      <c r="P53" s="35">
        <f t="shared" si="16"/>
        <v>0</v>
      </c>
      <c r="Q53" s="36">
        <f>COUNTIF(Vertices[PageRank],"&gt;= "&amp;P53)-COUNTIF(Vertices[PageRank],"&gt;="&amp;P54)</f>
        <v>0</v>
      </c>
      <c r="R53" s="35">
        <f t="shared" si="17"/>
        <v>0</v>
      </c>
      <c r="S53" s="40">
        <f>COUNTIF(Vertices[Clustering Coefficient],"&gt;= "&amp;R53)-COUNTIF(Vertices[Clustering Coefficient],"&gt;="&amp;R54)</f>
        <v>0</v>
      </c>
      <c r="T53" s="35" t="e">
        <f ca="1" t="shared" si="18"/>
        <v>#REF!</v>
      </c>
      <c r="U53" s="36" t="e">
        <f ca="1" t="shared" si="0"/>
        <v>#REF!</v>
      </c>
    </row>
    <row r="54" spans="4:21" ht="15">
      <c r="D54" s="28">
        <f t="shared" si="10"/>
        <v>4.636363636363633</v>
      </c>
      <c r="E54">
        <f>COUNTIF(Vertices[Degree],"&gt;= "&amp;D54)-COUNTIF(Vertices[Degree],"&gt;="&amp;D55)</f>
        <v>0</v>
      </c>
      <c r="F54" s="33">
        <f t="shared" si="11"/>
        <v>0</v>
      </c>
      <c r="G54" s="34">
        <f>COUNTIF(Vertices[In-Degree],"&gt;= "&amp;F54)-COUNTIF(Vertices[In-Degree],"&gt;="&amp;F55)</f>
        <v>0</v>
      </c>
      <c r="H54" s="33">
        <f t="shared" si="12"/>
        <v>0</v>
      </c>
      <c r="I54" s="34">
        <f>COUNTIF(Vertices[Out-Degree],"&gt;= "&amp;H54)-COUNTIF(Vertices[Out-Degree],"&gt;="&amp;H55)</f>
        <v>0</v>
      </c>
      <c r="J54" s="33">
        <f t="shared" si="13"/>
        <v>0</v>
      </c>
      <c r="K54" s="34">
        <f>COUNTIF(Vertices[Betweenness Centrality],"&gt;= "&amp;J54)-COUNTIF(Vertices[Betweenness Centrality],"&gt;="&amp;J55)</f>
        <v>0</v>
      </c>
      <c r="L54" s="33">
        <f t="shared" si="14"/>
        <v>0</v>
      </c>
      <c r="M54" s="34">
        <f>COUNTIF(Vertices[Closeness Centrality],"&gt;= "&amp;L54)-COUNTIF(Vertices[Closeness Centrality],"&gt;="&amp;L55)</f>
        <v>0</v>
      </c>
      <c r="N54" s="33">
        <f t="shared" si="15"/>
        <v>0</v>
      </c>
      <c r="O54" s="34">
        <f>COUNTIF(Vertices[Eigenvector Centrality],"&gt;= "&amp;N54)-COUNTIF(Vertices[Eigenvector Centrality],"&gt;="&amp;N55)</f>
        <v>0</v>
      </c>
      <c r="P54" s="33">
        <f t="shared" si="16"/>
        <v>0</v>
      </c>
      <c r="Q54" s="34">
        <f>COUNTIF(Vertices[PageRank],"&gt;= "&amp;P54)-COUNTIF(Vertices[PageRank],"&gt;="&amp;P55)</f>
        <v>0</v>
      </c>
      <c r="R54" s="33">
        <f t="shared" si="17"/>
        <v>0</v>
      </c>
      <c r="S54" s="39">
        <f>COUNTIF(Vertices[Clustering Coefficient],"&gt;= "&amp;R54)-COUNTIF(Vertices[Clustering Coefficient],"&gt;="&amp;R55)</f>
        <v>0</v>
      </c>
      <c r="T54" s="33" t="e">
        <f ca="1" t="shared" si="18"/>
        <v>#REF!</v>
      </c>
      <c r="U54" s="34" t="e">
        <f ca="1" t="shared" si="0"/>
        <v>#REF!</v>
      </c>
    </row>
    <row r="55" spans="1:21" ht="15">
      <c r="A55" s="29" t="s">
        <v>81</v>
      </c>
      <c r="B55" s="42">
        <f>IF(COUNT(Vertices[Degree])&gt;0,D2,NoMetricMessage)</f>
        <v>1</v>
      </c>
      <c r="D55" s="28">
        <f t="shared" si="10"/>
        <v>4.727272727272724</v>
      </c>
      <c r="E55">
        <f>COUNTIF(Vertices[Degree],"&gt;= "&amp;D55)-COUNTIF(Vertices[Degree],"&gt;="&amp;D56)</f>
        <v>0</v>
      </c>
      <c r="F55" s="35">
        <f t="shared" si="11"/>
        <v>0</v>
      </c>
      <c r="G55" s="36">
        <f>COUNTIF(Vertices[In-Degree],"&gt;= "&amp;F55)-COUNTIF(Vertices[In-Degree],"&gt;="&amp;F56)</f>
        <v>0</v>
      </c>
      <c r="H55" s="35">
        <f t="shared" si="12"/>
        <v>0</v>
      </c>
      <c r="I55" s="36">
        <f>COUNTIF(Vertices[Out-Degree],"&gt;= "&amp;H55)-COUNTIF(Vertices[Out-Degree],"&gt;="&amp;H56)</f>
        <v>0</v>
      </c>
      <c r="J55" s="35">
        <f t="shared" si="13"/>
        <v>0</v>
      </c>
      <c r="K55" s="36">
        <f>COUNTIF(Vertices[Betweenness Centrality],"&gt;= "&amp;J55)-COUNTIF(Vertices[Betweenness Centrality],"&gt;="&amp;J56)</f>
        <v>0</v>
      </c>
      <c r="L55" s="35">
        <f t="shared" si="14"/>
        <v>0</v>
      </c>
      <c r="M55" s="36">
        <f>COUNTIF(Vertices[Closeness Centrality],"&gt;= "&amp;L55)-COUNTIF(Vertices[Closeness Centrality],"&gt;="&amp;L56)</f>
        <v>0</v>
      </c>
      <c r="N55" s="35">
        <f t="shared" si="15"/>
        <v>0</v>
      </c>
      <c r="O55" s="36">
        <f>COUNTIF(Vertices[Eigenvector Centrality],"&gt;= "&amp;N55)-COUNTIF(Vertices[Eigenvector Centrality],"&gt;="&amp;N56)</f>
        <v>0</v>
      </c>
      <c r="P55" s="35">
        <f t="shared" si="16"/>
        <v>0</v>
      </c>
      <c r="Q55" s="36">
        <f>COUNTIF(Vertices[PageRank],"&gt;= "&amp;P55)-COUNTIF(Vertices[PageRank],"&gt;="&amp;P56)</f>
        <v>0</v>
      </c>
      <c r="R55" s="35">
        <f t="shared" si="17"/>
        <v>0</v>
      </c>
      <c r="S55" s="40">
        <f>COUNTIF(Vertices[Clustering Coefficient],"&gt;= "&amp;R55)-COUNTIF(Vertices[Clustering Coefficient],"&gt;="&amp;R56)</f>
        <v>0</v>
      </c>
      <c r="T55" s="35" t="e">
        <f ca="1" t="shared" si="18"/>
        <v>#REF!</v>
      </c>
      <c r="U55" s="36" t="e">
        <f ca="1" t="shared" si="0"/>
        <v>#REF!</v>
      </c>
    </row>
    <row r="56" spans="1:21" ht="15">
      <c r="A56" s="29" t="s">
        <v>82</v>
      </c>
      <c r="B56" s="42">
        <f>IF(COUNT(Vertices[Degree])&gt;0,D57,NoMetricMessage)</f>
        <v>6</v>
      </c>
      <c r="D56" s="28">
        <f t="shared" si="10"/>
        <v>4.818181818181815</v>
      </c>
      <c r="E56">
        <f>COUNTIF(Vertices[Degree],"&gt;= "&amp;D56)-COUNTIF(Vertices[Degree],"&gt;="&amp;D57)</f>
        <v>1</v>
      </c>
      <c r="F56" s="33">
        <f t="shared" si="11"/>
        <v>0</v>
      </c>
      <c r="G56" s="34">
        <f>COUNTIF(Vertices[In-Degree],"&gt;= "&amp;F56)-COUNTIF(Vertices[In-Degree],"&gt;="&amp;F57)</f>
        <v>0</v>
      </c>
      <c r="H56" s="33">
        <f t="shared" si="12"/>
        <v>0</v>
      </c>
      <c r="I56" s="34">
        <f>COUNTIF(Vertices[Out-Degree],"&gt;= "&amp;H56)-COUNTIF(Vertices[Out-Degree],"&gt;="&amp;H57)</f>
        <v>0</v>
      </c>
      <c r="J56" s="33">
        <f t="shared" si="13"/>
        <v>0</v>
      </c>
      <c r="K56" s="34">
        <f>COUNTIF(Vertices[Betweenness Centrality],"&gt;= "&amp;J56)-COUNTIF(Vertices[Betweenness Centrality],"&gt;="&amp;J57)</f>
        <v>0</v>
      </c>
      <c r="L56" s="33">
        <f t="shared" si="14"/>
        <v>0</v>
      </c>
      <c r="M56" s="34">
        <f>COUNTIF(Vertices[Closeness Centrality],"&gt;= "&amp;L56)-COUNTIF(Vertices[Closeness Centrality],"&gt;="&amp;L57)</f>
        <v>0</v>
      </c>
      <c r="N56" s="33">
        <f t="shared" si="15"/>
        <v>0</v>
      </c>
      <c r="O56" s="34">
        <f>COUNTIF(Vertices[Eigenvector Centrality],"&gt;= "&amp;N56)-COUNTIF(Vertices[Eigenvector Centrality],"&gt;="&amp;N57)</f>
        <v>0</v>
      </c>
      <c r="P56" s="33">
        <f t="shared" si="16"/>
        <v>0</v>
      </c>
      <c r="Q56" s="34">
        <f>COUNTIF(Vertices[PageRank],"&gt;= "&amp;P56)-COUNTIF(Vertices[PageRank],"&gt;="&amp;P57)</f>
        <v>0</v>
      </c>
      <c r="R56" s="33">
        <f t="shared" si="17"/>
        <v>0</v>
      </c>
      <c r="S56" s="39">
        <f>COUNTIF(Vertices[Clustering Coefficient],"&gt;= "&amp;R56)-COUNTIF(Vertices[Clustering Coefficient],"&gt;="&amp;R57)</f>
        <v>0</v>
      </c>
      <c r="T56" s="33" t="e">
        <f ca="1" t="shared" si="18"/>
        <v>#REF!</v>
      </c>
      <c r="U56" s="34" t="e">
        <f ca="1" t="shared" si="0"/>
        <v>#REF!</v>
      </c>
    </row>
    <row r="57" spans="1:21" ht="15">
      <c r="A57" s="29" t="s">
        <v>83</v>
      </c>
      <c r="B57" s="43">
        <f>_xlfn.IFERROR(AVERAGE(Vertices[Degree]),NoMetricMessage)</f>
        <v>3.5</v>
      </c>
      <c r="D57" s="28">
        <f>MAX(Vertices[Degree])</f>
        <v>6</v>
      </c>
      <c r="E57">
        <f>COUNTIF(Vertices[Degree],"&gt;= "&amp;D57)-COUNTIF(Vertices[Degree],"&gt;="&amp;D58)</f>
        <v>1</v>
      </c>
      <c r="F57" s="37">
        <f>MAX(Vertices[In-Degree])</f>
        <v>0</v>
      </c>
      <c r="G57" s="38">
        <f>COUNTIF(Vertices[In-Degree],"&gt;= "&amp;F57)-COUNTIF(Vertices[In-Degree],"&gt;="&amp;F58)</f>
        <v>0</v>
      </c>
      <c r="H57" s="37">
        <f>MAX(Vertices[Out-Degree])</f>
        <v>0</v>
      </c>
      <c r="I57" s="38">
        <f>COUNTIF(Vertices[Out-Degree],"&gt;= "&amp;H57)-COUNTIF(Vertices[Out-Degree],"&gt;="&amp;H58)</f>
        <v>0</v>
      </c>
      <c r="J57" s="37">
        <f>MAX(Vertices[Betweenness Centrality])</f>
        <v>0</v>
      </c>
      <c r="K57" s="38">
        <f>COUNTIF(Vertices[Betweenness Centrality],"&gt;= "&amp;J57)-COUNTIF(Vertices[Betweenness Centrality],"&gt;="&amp;J58)</f>
        <v>0</v>
      </c>
      <c r="L57" s="37">
        <f>MAX(Vertices[Closeness Centrality])</f>
        <v>0</v>
      </c>
      <c r="M57" s="38">
        <f>COUNTIF(Vertices[Closeness Centrality],"&gt;= "&amp;L57)-COUNTIF(Vertices[Closeness Centrality],"&gt;="&amp;L58)</f>
        <v>0</v>
      </c>
      <c r="N57" s="37">
        <f>MAX(Vertices[Eigenvector Centrality])</f>
        <v>0</v>
      </c>
      <c r="O57" s="38">
        <f>COUNTIF(Vertices[Eigenvector Centrality],"&gt;= "&amp;N57)-COUNTIF(Vertices[Eigenvector Centrality],"&gt;="&amp;N58)</f>
        <v>0</v>
      </c>
      <c r="P57" s="37">
        <f>MAX(Vertices[PageRank])</f>
        <v>0</v>
      </c>
      <c r="Q57" s="38">
        <f>COUNTIF(Vertices[PageRank],"&gt;= "&amp;P57)-COUNTIF(Vertices[PageRank],"&gt;="&amp;P58)</f>
        <v>0</v>
      </c>
      <c r="R57" s="37">
        <f>MAX(Vertices[Clustering Coefficient])</f>
        <v>0</v>
      </c>
      <c r="S57" s="41">
        <f>COUNTIF(Vertices[Clustering Coefficient],"&gt;= "&amp;R57)-COUNTIF(Vertices[Clustering Coefficient],"&gt;="&amp;R58)</f>
        <v>0</v>
      </c>
      <c r="T57" s="37" t="e">
        <f ca="1">MAX(INDIRECT(DynamicFilterSourceColumnRange))</f>
        <v>#REF!</v>
      </c>
      <c r="U57" s="38" t="e">
        <f ca="1" t="shared" si="0"/>
        <v>#REF!</v>
      </c>
    </row>
    <row r="58" spans="1:2" ht="15">
      <c r="A58" s="29" t="s">
        <v>84</v>
      </c>
      <c r="B58" s="43">
        <f>_xlfn.IFERROR(MEDIAN(Vertices[Degree]),NoMetricMessage)</f>
        <v>3.5</v>
      </c>
    </row>
    <row r="69" spans="1:2" ht="15">
      <c r="A69" s="29" t="s">
        <v>88</v>
      </c>
      <c r="B69" s="42" t="str">
        <f>IF(COUNT(Vertices[In-Degree])&gt;0,F2,NoMetricMessage)</f>
        <v>Not Available</v>
      </c>
    </row>
    <row r="70" spans="1:2" ht="15">
      <c r="A70" s="29" t="s">
        <v>89</v>
      </c>
      <c r="B70" s="42" t="str">
        <f>IF(COUNT(Vertices[In-Degree])&gt;0,F57,NoMetricMessage)</f>
        <v>Not Available</v>
      </c>
    </row>
    <row r="71" spans="1:2" ht="15">
      <c r="A71" s="29" t="s">
        <v>90</v>
      </c>
      <c r="B71" s="43" t="str">
        <f>_xlfn.IFERROR(AVERAGE(Vertices[In-Degree]),NoMetricMessage)</f>
        <v>Not Available</v>
      </c>
    </row>
    <row r="72" spans="1:2" ht="15">
      <c r="A72" s="29" t="s">
        <v>91</v>
      </c>
      <c r="B72" s="43" t="str">
        <f>_xlfn.IFERROR(MEDIAN(Vertices[In-Degree]),NoMetricMessage)</f>
        <v>Not Available</v>
      </c>
    </row>
    <row r="83" spans="1:2" ht="15">
      <c r="A83" s="29" t="s">
        <v>94</v>
      </c>
      <c r="B83" s="42" t="str">
        <f>IF(COUNT(Vertices[Out-Degree])&gt;0,H2,NoMetricMessage)</f>
        <v>Not Available</v>
      </c>
    </row>
    <row r="84" spans="1:2" ht="15">
      <c r="A84" s="29" t="s">
        <v>95</v>
      </c>
      <c r="B84" s="42" t="str">
        <f>IF(COUNT(Vertices[Out-Degree])&gt;0,H57,NoMetricMessage)</f>
        <v>Not Available</v>
      </c>
    </row>
    <row r="85" spans="1:2" ht="15">
      <c r="A85" s="29" t="s">
        <v>96</v>
      </c>
      <c r="B85" s="43" t="str">
        <f>_xlfn.IFERROR(AVERAGE(Vertices[Out-Degree]),NoMetricMessage)</f>
        <v>Not Available</v>
      </c>
    </row>
    <row r="86" spans="1:2" ht="15">
      <c r="A86" s="29" t="s">
        <v>97</v>
      </c>
      <c r="B86" s="43" t="str">
        <f>_xlfn.IFERROR(MEDIAN(Vertices[Out-Degree]),NoMetricMessage)</f>
        <v>Not Available</v>
      </c>
    </row>
    <row r="97" spans="1:2" ht="15">
      <c r="A97" s="29" t="s">
        <v>100</v>
      </c>
      <c r="B97" s="43" t="str">
        <f>IF(COUNT(Vertices[Betweenness Centrality])&gt;0,J2,NoMetricMessage)</f>
        <v>Not Available</v>
      </c>
    </row>
    <row r="98" spans="1:2" ht="15">
      <c r="A98" s="29" t="s">
        <v>101</v>
      </c>
      <c r="B98" s="43" t="str">
        <f>IF(COUNT(Vertices[Betweenness Centrality])&gt;0,J57,NoMetricMessage)</f>
        <v>Not Available</v>
      </c>
    </row>
    <row r="99" spans="1:2" ht="15">
      <c r="A99" s="29" t="s">
        <v>102</v>
      </c>
      <c r="B99" s="43" t="str">
        <f>_xlfn.IFERROR(AVERAGE(Vertices[Betweenness Centrality]),NoMetricMessage)</f>
        <v>Not Available</v>
      </c>
    </row>
    <row r="100" spans="1:2" ht="15">
      <c r="A100" s="29" t="s">
        <v>103</v>
      </c>
      <c r="B100" s="43" t="str">
        <f>_xlfn.IFERROR(MEDIAN(Vertices[Betweenness Centrality]),NoMetricMessage)</f>
        <v>Not Available</v>
      </c>
    </row>
    <row r="111" spans="1:2" ht="15">
      <c r="A111" s="29" t="s">
        <v>106</v>
      </c>
      <c r="B111" s="43" t="str">
        <f>IF(COUNT(Vertices[Closeness Centrality])&gt;0,L2,NoMetricMessage)</f>
        <v>Not Available</v>
      </c>
    </row>
    <row r="112" spans="1:2" ht="15">
      <c r="A112" s="29" t="s">
        <v>107</v>
      </c>
      <c r="B112" s="43" t="str">
        <f>IF(COUNT(Vertices[Closeness Centrality])&gt;0,L57,NoMetricMessage)</f>
        <v>Not Available</v>
      </c>
    </row>
    <row r="113" spans="1:2" ht="15">
      <c r="A113" s="29" t="s">
        <v>108</v>
      </c>
      <c r="B113" s="43" t="str">
        <f>_xlfn.IFERROR(AVERAGE(Vertices[Closeness Centrality]),NoMetricMessage)</f>
        <v>Not Available</v>
      </c>
    </row>
    <row r="114" spans="1:2" ht="15">
      <c r="A114" s="29" t="s">
        <v>109</v>
      </c>
      <c r="B114" s="43" t="str">
        <f>_xlfn.IFERROR(MEDIAN(Vertices[Closeness Centrality]),NoMetricMessage)</f>
        <v>Not Available</v>
      </c>
    </row>
    <row r="125" spans="1:2" ht="15">
      <c r="A125" s="29" t="s">
        <v>112</v>
      </c>
      <c r="B125" s="43" t="str">
        <f>IF(COUNT(Vertices[Eigenvector Centrality])&gt;0,N2,NoMetricMessage)</f>
        <v>Not Available</v>
      </c>
    </row>
    <row r="126" spans="1:2" ht="15">
      <c r="A126" s="29" t="s">
        <v>113</v>
      </c>
      <c r="B126" s="43" t="str">
        <f>IF(COUNT(Vertices[Eigenvector Centrality])&gt;0,N57,NoMetricMessage)</f>
        <v>Not Available</v>
      </c>
    </row>
    <row r="127" spans="1:2" ht="15">
      <c r="A127" s="29" t="s">
        <v>114</v>
      </c>
      <c r="B127" s="43" t="str">
        <f>_xlfn.IFERROR(AVERAGE(Vertices[Eigenvector Centrality]),NoMetricMessage)</f>
        <v>Not Available</v>
      </c>
    </row>
    <row r="128" spans="1:2" ht="15">
      <c r="A128" s="29" t="s">
        <v>115</v>
      </c>
      <c r="B128" s="43" t="str">
        <f>_xlfn.IFERROR(MEDIAN(Vertices[Eigenvector Centrality]),NoMetricMessage)</f>
        <v>Not Available</v>
      </c>
    </row>
    <row r="139" spans="1:2" ht="15">
      <c r="A139" s="29" t="s">
        <v>140</v>
      </c>
      <c r="B139" s="43" t="str">
        <f>IF(COUNT(Vertices[PageRank])&gt;0,P2,NoMetricMessage)</f>
        <v>Not Available</v>
      </c>
    </row>
    <row r="140" spans="1:2" ht="15">
      <c r="A140" s="29" t="s">
        <v>141</v>
      </c>
      <c r="B140" s="43" t="str">
        <f>IF(COUNT(Vertices[PageRank])&gt;0,P57,NoMetricMessage)</f>
        <v>Not Available</v>
      </c>
    </row>
    <row r="141" spans="1:2" ht="15">
      <c r="A141" s="29" t="s">
        <v>142</v>
      </c>
      <c r="B141" s="43" t="str">
        <f>_xlfn.IFERROR(AVERAGE(Vertices[PageRank]),NoMetricMessage)</f>
        <v>Not Available</v>
      </c>
    </row>
    <row r="142" spans="1:2" ht="15">
      <c r="A142" s="29" t="s">
        <v>143</v>
      </c>
      <c r="B142" s="43" t="str">
        <f>_xlfn.IFERROR(MEDIAN(Vertices[PageRank]),NoMetricMessage)</f>
        <v>Not Available</v>
      </c>
    </row>
    <row r="153" spans="1:2" ht="15">
      <c r="A153" s="29" t="s">
        <v>118</v>
      </c>
      <c r="B153" s="43" t="str">
        <f>IF(COUNT(Vertices[Clustering Coefficient])&gt;0,R2,NoMetricMessage)</f>
        <v>Not Available</v>
      </c>
    </row>
    <row r="154" spans="1:2" ht="15">
      <c r="A154" s="29" t="s">
        <v>119</v>
      </c>
      <c r="B154" s="43" t="str">
        <f>IF(COUNT(Vertices[Clustering Coefficient])&gt;0,R57,NoMetricMessage)</f>
        <v>Not Available</v>
      </c>
    </row>
    <row r="155" spans="1:2" ht="15">
      <c r="A155" s="29" t="s">
        <v>120</v>
      </c>
      <c r="B155" s="43" t="str">
        <f>_xlfn.IFERROR(AVERAGE(Vertices[Clustering Coefficient]),NoMetricMessage)</f>
        <v>Not Available</v>
      </c>
    </row>
    <row r="156" spans="1:2" ht="15">
      <c r="A156" s="29" t="s">
        <v>121</v>
      </c>
      <c r="B156" s="43" t="str">
        <f>_xlfn.IFERROR(MEDIAN(Vertices[Clustering Coefficient]),NoMetricMessage)</f>
        <v>Not Available</v>
      </c>
    </row>
  </sheetData>
  <printOptions/>
  <pageMargins left="0.7" right="0.7" top="0.75" bottom="0.75" header="0.3" footer="0.3"/>
  <pageSetup horizontalDpi="600" verticalDpi="600" orientation="portrait" r:id="rId8"/>
  <drawing r:id="rId7"/>
  <legacyDrawing r:id="rId2"/>
  <tableParts>
    <tablePart r:id="rId6"/>
    <tablePart r:id="rId3"/>
    <tablePart r:id="rId5"/>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3"/>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182</v>
      </c>
    </row>
    <row r="4" spans="1:10" ht="15">
      <c r="A4" s="1" t="s">
        <v>53</v>
      </c>
      <c r="B4" s="1" t="s">
        <v>134</v>
      </c>
      <c r="C4" t="s">
        <v>53</v>
      </c>
      <c r="D4" t="s">
        <v>57</v>
      </c>
      <c r="E4" t="s">
        <v>57</v>
      </c>
      <c r="F4" s="1" t="s">
        <v>53</v>
      </c>
      <c r="G4">
        <v>0</v>
      </c>
      <c r="H4" t="s">
        <v>69</v>
      </c>
      <c r="J4" t="s">
        <v>78</v>
      </c>
    </row>
    <row r="5" spans="1:11" ht="409.5">
      <c r="A5">
        <v>1</v>
      </c>
      <c r="B5" s="1" t="s">
        <v>135</v>
      </c>
      <c r="C5" t="s">
        <v>51</v>
      </c>
      <c r="D5" t="s">
        <v>58</v>
      </c>
      <c r="E5" t="s">
        <v>58</v>
      </c>
      <c r="F5">
        <v>1</v>
      </c>
      <c r="G5">
        <v>1</v>
      </c>
      <c r="H5" t="s">
        <v>70</v>
      </c>
      <c r="J5" t="s">
        <v>172</v>
      </c>
      <c r="K5" s="7" t="s">
        <v>187</v>
      </c>
    </row>
    <row r="6" spans="1:18" ht="15">
      <c r="A6">
        <v>0</v>
      </c>
      <c r="B6" s="1" t="s">
        <v>136</v>
      </c>
      <c r="C6">
        <v>1</v>
      </c>
      <c r="D6" t="s">
        <v>59</v>
      </c>
      <c r="E6" t="s">
        <v>59</v>
      </c>
      <c r="F6">
        <v>0</v>
      </c>
      <c r="H6" t="s">
        <v>71</v>
      </c>
      <c r="J6" t="s">
        <v>173</v>
      </c>
      <c r="K6">
        <v>3</v>
      </c>
      <c r="R6" t="s">
        <v>129</v>
      </c>
    </row>
    <row r="7" spans="1:11" ht="15">
      <c r="A7">
        <v>2</v>
      </c>
      <c r="B7">
        <v>1</v>
      </c>
      <c r="C7">
        <v>0</v>
      </c>
      <c r="D7" t="s">
        <v>60</v>
      </c>
      <c r="E7" t="s">
        <v>60</v>
      </c>
      <c r="F7">
        <v>2</v>
      </c>
      <c r="H7" t="s">
        <v>72</v>
      </c>
      <c r="J7" t="s">
        <v>179</v>
      </c>
      <c r="K7" t="s">
        <v>184</v>
      </c>
    </row>
    <row r="8" spans="1:11" ht="15">
      <c r="A8"/>
      <c r="B8">
        <v>2</v>
      </c>
      <c r="C8">
        <v>2</v>
      </c>
      <c r="D8" t="s">
        <v>61</v>
      </c>
      <c r="E8" t="s">
        <v>61</v>
      </c>
      <c r="H8" t="s">
        <v>73</v>
      </c>
      <c r="J8" t="s">
        <v>180</v>
      </c>
      <c r="K8" t="s">
        <v>211</v>
      </c>
    </row>
    <row r="9" spans="1:11" ht="409.5">
      <c r="A9"/>
      <c r="B9">
        <v>3</v>
      </c>
      <c r="C9">
        <v>4</v>
      </c>
      <c r="D9" t="s">
        <v>62</v>
      </c>
      <c r="E9" t="s">
        <v>62</v>
      </c>
      <c r="H9" t="s">
        <v>74</v>
      </c>
      <c r="J9" t="s">
        <v>181</v>
      </c>
      <c r="K9" s="7" t="s">
        <v>191</v>
      </c>
    </row>
    <row r="10" spans="1:11" ht="409.5">
      <c r="A10"/>
      <c r="B10">
        <v>4</v>
      </c>
      <c r="D10" t="s">
        <v>63</v>
      </c>
      <c r="E10" t="s">
        <v>63</v>
      </c>
      <c r="H10" t="s">
        <v>75</v>
      </c>
      <c r="J10" t="s">
        <v>183</v>
      </c>
      <c r="K10" s="79" t="s">
        <v>192</v>
      </c>
    </row>
    <row r="11" spans="1:8" ht="15">
      <c r="A11"/>
      <c r="B11">
        <v>5</v>
      </c>
      <c r="D11" t="s">
        <v>46</v>
      </c>
      <c r="E11">
        <v>1</v>
      </c>
      <c r="H11" t="s">
        <v>76</v>
      </c>
    </row>
    <row r="12" spans="1:8" ht="15">
      <c r="A12"/>
      <c r="B12"/>
      <c r="D12" t="s">
        <v>64</v>
      </c>
      <c r="E12">
        <v>2</v>
      </c>
      <c r="H12">
        <v>0</v>
      </c>
    </row>
    <row r="13" spans="1:8" ht="15">
      <c r="A13"/>
      <c r="B13"/>
      <c r="D13">
        <v>1</v>
      </c>
      <c r="E13">
        <v>3</v>
      </c>
      <c r="H13">
        <v>1</v>
      </c>
    </row>
    <row r="14" spans="4:8" ht="15">
      <c r="D14">
        <v>2</v>
      </c>
      <c r="E14">
        <v>4</v>
      </c>
      <c r="H14">
        <v>2</v>
      </c>
    </row>
    <row r="15" spans="4:8" ht="15">
      <c r="D15">
        <v>3</v>
      </c>
      <c r="E15">
        <v>5</v>
      </c>
      <c r="H15">
        <v>3</v>
      </c>
    </row>
    <row r="16" spans="4:8" ht="15">
      <c r="D16">
        <v>4</v>
      </c>
      <c r="E16">
        <v>6</v>
      </c>
      <c r="H16">
        <v>4</v>
      </c>
    </row>
    <row r="17" spans="4:8" ht="15">
      <c r="D17">
        <v>5</v>
      </c>
      <c r="E17">
        <v>7</v>
      </c>
      <c r="H17">
        <v>5</v>
      </c>
    </row>
    <row r="18" spans="4:8" ht="15">
      <c r="D18">
        <v>6</v>
      </c>
      <c r="E18">
        <v>8</v>
      </c>
      <c r="H18">
        <v>6</v>
      </c>
    </row>
    <row r="19" spans="4:8" ht="15">
      <c r="D19">
        <v>7</v>
      </c>
      <c r="E19">
        <v>9</v>
      </c>
      <c r="H19">
        <v>7</v>
      </c>
    </row>
    <row r="20" spans="4:8" ht="15">
      <c r="D20">
        <v>8</v>
      </c>
      <c r="H20">
        <v>8</v>
      </c>
    </row>
    <row r="21" spans="4:8" ht="15">
      <c r="D21">
        <v>9</v>
      </c>
      <c r="H21">
        <v>9</v>
      </c>
    </row>
    <row r="22" ht="15">
      <c r="D22">
        <v>10</v>
      </c>
    </row>
    <row r="23" ht="15">
      <c r="D23">
        <v>11</v>
      </c>
    </row>
  </sheetData>
  <printOptions/>
  <pageMargins left="0.7" right="0.7" top="0.75" bottom="0.75" header="0.3" footer="0.3"/>
  <pageSetup horizontalDpi="600" verticalDpi="600" orientation="portrait" r:id="rId4"/>
  <drawing r:id="rId3"/>
  <tableParts>
    <tablePart r:id="rId2"/>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051E8AC-E34B-4A31-9EC5-D6922115CA7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Digital Space Lab</cp:lastModifiedBy>
  <dcterms:created xsi:type="dcterms:W3CDTF">2008-01-30T00:41:58Z</dcterms:created>
  <dcterms:modified xsi:type="dcterms:W3CDTF">2023-05-04T15:58:41Z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