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<sst xmlns="http://schemas.openxmlformats.org/spreadsheetml/2006/main" count="4004" uniqueCount="900">
  <si>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</si>
  <si>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</si>
  <si>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</si>
  <si>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</si>
  <si>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</si>
  <si>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</si>
  <si>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</si>
  <si>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</si>
  <si>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</si>
  <si>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</si>
  <si>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</si>
  <si>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</si>
  <si>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</si>
  <si>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</si>
  <si>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</si>
  <si>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</si>
  <si>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</si>
  <si>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</si>
  <si>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</si>
  <si>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</si>
  <si>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</si>
  <si>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</si>
  <si>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</si>
  <si>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</si>
  <si>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</si>
  <si>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</si>
  <si>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</si>
  <si>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</si>
  <si>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</si>
  <si>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</si>
  <si>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</si>
  <si>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</si>
  <si>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</si>
  <si>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</si>
  <si>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</si>
  <si>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</si>
  <si>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</si>
  <si>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</si>
  <si>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</si>
  <si>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</si>
  <si>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</si>
  <si>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</si>
  <si>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</si>
  <si>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</si>
  <si>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</si>
  <si>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</si>
  <si>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</si>
  <si>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</si>
  <si>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</si>
  <si>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</si>
  <si>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</si>
  <si>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</si>
  <si>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</si>
  <si>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</si>
  <si>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</si>
  <si>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</si>
  <si>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</si>
  <si>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</si>
  <si>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</si>
  <si>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</si>
  <si>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</si>
  <si>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</si>
  <si>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</si>
  <si>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</si>
  <si>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</si>
  <si>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</si>
  <si>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</si>
  <si>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</si>
  <si>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</si>
  <si>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</si>
  <si>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</si>
  <si>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</si>
  <si>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</si>
  <si>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</si>
  <si>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</si>
  <si>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</si>
  <si>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</si>
  <si>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</si>
  <si>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</si>
  <si>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</si>
  <si>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</si>
  <si>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</si>
  <si>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</si>
  <si>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</si>
  <si>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</si>
  <si>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</si>
  <si>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</si>
  <si>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</si>
  <si>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</si>
  <si>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</si>
  <si>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</si>
  <si>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</si>
  <si>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</si>
  <si>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</si>
  <si>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</si>
  <si>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</si>
  <si>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</si>
  <si>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</si>
  <si>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</si>
  <si>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</si>
  <si>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</si>
  <si>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</si>
  <si>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</si>
  <si>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</si>
  <si>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</si>
  <si>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</si>
  <si>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</si>
  <si>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</si>
  <si>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</si>
  <si>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</si>
  <si>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</si>
  <si>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</si>
  <si>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</si>
  <si>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</si>
  <si>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</si>
  <si>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</si>
  <si>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</si>
  <si>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</si>
  <si>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</si>
  <si>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</si>
  <si>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</si>
  <si>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</si>
  <si>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</si>
  <si>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</si>
  <si>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</si>
  <si>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</si>
  <si>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</si>
  <si>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</si>
  <si>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</si>
  <si>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</si>
  <si>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</si>
  <si>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</si>
  <si>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</si>
  <si>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</si>
  <si>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</si>
  <si>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</si>
  <si>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</si>
  <si>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</si>
  <si>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</si>
  <si>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</si>
  <si>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</si>
  <si>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</si>
  <si>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</si>
  <si>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</si>
  <si>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</si>
  <si>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</si>
  <si>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</si>
  <si>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</si>
  <si>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</si>
  <si>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</si>
  <si>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</si>
  <si>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</si>
  <si>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</si>
  <si>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</si>
  <si>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</si>
  <si>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</si>
  <si>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</si>
  <si>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</si>
  <si>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</si>
  <si>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</si>
  <si>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</si>
  <si>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</si>
  <si>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</si>
  <si>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</si>
  <si>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</si>
  <si>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</si>
  <si>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</si>
  <si>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</si>
  <si>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</si>
  <si>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</si>
  <si>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</si>
  <si>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</si>
  <si>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</si>
  <si>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</si>
  <si>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</si>
  <si>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</si>
  <si>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</si>
  <si>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</si>
  <si>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</si>
  <si>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</si>
  <si>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</si>
  <si>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</si>
  <si>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</si>
  <si>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</si>
  <si>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</si>
  <si>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</si>
  <si>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</si>
  <si>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</si>
  <si>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</si>
  <si>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</si>
  <si>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</si>
  <si>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</si>
  <si>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</si>
  <si>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</si>
  <si>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</si>
  <si>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</si>
  <si>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</si>
  <si>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</si>
  <si>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</si>
  <si>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</si>
  <si>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</si>
  <si>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</si>
  <si>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</si>
  <si>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</si>
  <si>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</si>
  <si>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</si>
  <si>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</si>
  <si>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</si>
  <si>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</si>
  <si>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</si>
  <si>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</si>
  <si>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</si>
  <si>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</si>
  <si>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</si>
  <si>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</si>
  <si>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</si>
  <si>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</si>
  <si>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</si>
  <si>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</si>
  <si>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</si>
  <si>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</si>
  <si>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</si>
  <si>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</si>
  <si>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</si>
  <si>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</si>
  <si>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</si>
  <si>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</si>
  <si>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</si>
  <si>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</si>
  <si>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</si>
  <si>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</si>
  <si>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</si>
  <si>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</si>
  <si>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</si>
  <si>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</si>
  <si>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</si>
  <si>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</si>
  <si>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</si>
  <si>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</si>
  <si>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</si>
  <si>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</si>
  <si>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</si>
  <si>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</si>
  <si>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</si>
  <si>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</si>
  <si>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</si>
  <si>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</si>
  <si>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</si>
  <si>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</si>
  <si>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edserhanker190</t>
  </si>
  <si>
    <t>connectedaction</t>
  </si>
  <si>
    <t>paoloigna1</t>
  </si>
  <si>
    <t>iosu_blanco</t>
  </si>
  <si>
    <t>nodexl_mktng</t>
  </si>
  <si>
    <t>emiliobarredam</t>
  </si>
  <si>
    <t>ordencamacho</t>
  </si>
  <si>
    <t>assuntaigor18</t>
  </si>
  <si>
    <t>hashtagmarketi7</t>
  </si>
  <si>
    <t>daya1angel</t>
  </si>
  <si>
    <t>chadloder</t>
  </si>
  <si>
    <t>drodbone</t>
  </si>
  <si>
    <t>itsjefftiedrich</t>
  </si>
  <si>
    <t>rspolitics</t>
  </si>
  <si>
    <t>ninaturner</t>
  </si>
  <si>
    <t>mnateshyamalan</t>
  </si>
  <si>
    <t>foxnews</t>
  </si>
  <si>
    <t>lindyli</t>
  </si>
  <si>
    <t>williamlegate</t>
  </si>
  <si>
    <t>elonmusk</t>
  </si>
  <si>
    <t>nodexl</t>
  </si>
  <si>
    <t>MentionsInRetweet</t>
  </si>
  <si>
    <t>Retweet</t>
  </si>
  <si>
    <t>Mentions</t>
  </si>
  <si>
    <t>RT @assuntaigor18: RT @hashtagmarketi7: #SenÇalKapımı Cuando es el #hashtag de una #novela el que genera TODAS las PASIONES  #SEOhashtag  https://t.co/2ImpsJ9IJp</t>
  </si>
  <si>
    <t>Check out ⭐️ 2023 Winter School Social Networks &amp;amp; #NodeXL Pro “a few clicks to insights” on #Eventbrite 
_xD83D__xDD39_ Our Winter School will introduce you to #socialnetwork analysis of #socialmedia data for academic #research #ScienceTwitter #PhDchat #SEOhashtag
https://t.co/WPhZMRZk2E</t>
  </si>
  <si>
    <t>_xD83C__xDF10_ ¡Gestiona tus #redessociales aprovechando la viralidad de los #hashtags de los que habla tu audiencia! _xD83C__xDF10_  #seohashtag 
Ya disponible en #amazon #ebook #MarketingDigital
#️⃣https://t.co/WHfzKbAkH0 https://t.co/uaoprvWH9A</t>
  </si>
  <si>
    <t>Creo que #ElonMusk va a vivir en carne propia lo que vivimos a diario los especialistas en #MarketingDigital 
          ⭐️ Nuestro trabajo VALE MUCHO!! ⭐️
   ⚡️ Pero muy pocos están dispuestos a pagarlo! ⚡️
_xD83D__xDEA8_¿Les pasa igual?  ¿O soy solo YO?_xD83D__xDEA8_#SEOhashtag https://t.co/LA42yCS8qX</t>
  </si>
  <si>
    <t>Check out ⭐️ 2023 Winter School Social Networks &amp;amp; #NodeXL Pro “a few clicks to insights” on #Eventbrite 
_xD83D__xDD39_ Our Winter School will introduce you to #socialnetwork analysis of #socialmedia data for academic #research #ScienceTwitter #PhDchat #SEOhashtag
https://t.co/yCmFW6F6XA</t>
  </si>
  <si>
    <t>#SenÇalKapımı Cuando es el #hashtag de una #novela el que genera TODAS las PASIONES  #SEOhashtag  https://t.co/f70uLXUzDq</t>
  </si>
  <si>
    <t>Audiences Elon Musk @NodeXL #SEOhashtag
@elonmusk
@williamlegate
@lindyli
@foxnews
@mnateshyamalan
@ninaturner
@rspolitics
@itsjefftiedrich
@drodbone
@chadloder
Top hashtags
#musk
#twitter
#elonmusk
#midterms2022
#bluetsunami2022
#votebluetosavedemocracy 
https://t.co/YsexkPzjq4</t>
  </si>
  <si>
    <t>_xD83D__xDCA1_  CÓMO ENCONTRAR LOS #HASHTAGS MÁS POTENTES _xD83D__xDCA1_
_xD83D__xDCC8_  Para convertir LEADS _xD83D__xDC65__xD83D__xDC65__xD83D__xDC65_  a #VENTAS  _xD83D__xDCB0__xD83D__xDCB0__xD83D__xDCB0_  #SEOhashtag
Para tu #Emprendimiento, Para tu #PYME , Para tu EMPRESA 
⭐️ https://t.co/WHfzKbAkH0 https://t.co/ZCxJ7RIKQ3</t>
  </si>
  <si>
    <t>_xD83D__xDCA1_ CÓMO ENCONTRAR LOS #HASHTAGS MÁS POTENTES _xD83D__xDCA1_
Para convertir _xD83D__xDC65__xD83D__xDC65__xD83D__xDC65_ LEADS a  #VENTAS _xD83D__xDCB0__xD83D__xDCB0__xD83D__xDCB0_  #SEOhashtag 
Para tu #Emprendimiento, Para tu #PYME , Para tu EMPRESA 
#️⃣ https://t.co/WHfzKbAkH0 https://t.co/j0fUeFJhw9</t>
  </si>
  <si>
    <t>Los #hashtags ayudan en las búsquedas de oportunidades #Empleo #Trabajo  #SeoHashtag  https://t.co/ztG247l6DV</t>
  </si>
  <si>
    <t>Control Parental De #TikTok Pueden Bloquear Términos De Búsqueda, Usuarios Y #Hashtags  by #SEOhashtag 
https://t.co/k6opZP3P0y</t>
  </si>
  <si>
    <t>¡Llegó el momento  _xD83D__xDE80_ de sacarle provecho a los #hastags en las #RedesSociales  
▶  Ya disponible en #amazon #ebook  #MarketingDigital
by #Seohashtag  https://t.co/WHfzKbAkH0 https://t.co/lYdBVBfpsv</t>
  </si>
  <si>
    <t>✅ CURSO #LINKEDIN como HERRAMIENTA de #VENTAS #B2B para tu empresa  
_xD83D__xDCF1_ Necesitas SER digital para que tu empresa SOBREVIVA _xD83D__xDD1D_ by #SEOhashtag
_xD83D__xDED1_ No es VIDEO es en LÍNEA con tu Negocio!   
➡️ https://t.co/jBfEteaVTb https://t.co/bqbLfhiCux</t>
  </si>
  <si>
    <t>✅  CÓMO ENCONTRAR LOS #HASHTAGS MÁS POTENTES
➡️  Para convertir LEADS  _xD83D__xDC65__xD83D__xDC65_  a #VENTAS  _xD83D__xDCB0__xD83D__xDCB0__xD83D__xDCB0_  #SEOhashtag
Para tu #Emprendimiento, Para tu #PYME , Para tu EMPRESA 
_xD83D__xDD39_ https://t.co/WHfzKbAkH0 https://t.co/rjQijW78NG</t>
  </si>
  <si>
    <t>Comienza desde hoy a Posicionar tu #hashtags como todo un Experto  by #SEOhashtag https://t.co/BcCOa8fSJV</t>
  </si>
  <si>
    <t>#SEOHashtag  ESTRATEGIA para #Twitter ADS exitosos: conocer de qué y cómo habla tu audiencia para incrementar resultados de impresiones e interacciones con mis herramientas favoritas #nodexl #Metricool  https://t.co/5YSRJpdwj7</t>
  </si>
  <si>
    <t>#YouTube  lleva los hashtags al siguiente nivel de importancia  by #SEOHashtag   https://t.co/ZFzJDV4y36</t>
  </si>
  <si>
    <t>#SEOHashtag  #NodeXL Pro en formato Power BI completamente INTERACTIVO NodeXL Pro INSIGHTS es una plantilla de informe de Microsoft Power BI que permite la creación de informes de red interactivos  https://t.co/b6cS5QMLYp</t>
  </si>
  <si>
    <t>_xD83D__xDD0E_ CÓMO ENCONTRAR LOS #HASHTAGS MÁS POTENTES
 Para convertir LEADS  _xD83D__xDC64__xD83D__xDC64__xD83D__xDC64_  a  #VENTAS  _xD83D__xDCB0__xD83D__xDCB0__xD83D__xDCB0_  #SEOhashtag
Para tu #Emprendimiento, Para tu #PYME , Para tu EMPRESA
➡️ https://t.co/WHfzKbAkH0 https://t.co/V5Y15Tl2NJ</t>
  </si>
  <si>
    <t>La importancia del posicionamiento en las #RedesSociales by #SEOhashtag  https://t.co/rN7DvRIfgb</t>
  </si>
  <si>
    <t>The #Twitter Rules  #SEOhashtag https://t.co/TBT7Id3kGA</t>
  </si>
  <si>
    <t>Las #RedesSociales y el #Bitcoin : ¿se aman o se odian?  by #SEOhashtag
Cuando hablan por #RedesSociales de #Bitcoin las audiencias generan pasiones  https://t.co/IsM9M4AS4Y</t>
  </si>
  <si>
    <t>_xD83D__xDCA1_  CÓMO ENCONTRAR LOS #HASHTAGS MÁS POTENTES _xD83D__xDCA1_
_xD83D__xDCC8_  Para convertir LEADS _xD83D__xDC65__xD83D__xDC65__xD83D__xDC65_  a #VENTAS  _xD83D__xDCB0__xD83D__xDCB0__xD83D__xDCB0_  #SEOhashtag
Para tu #Emprendimiento, Para tu #PYME , Para tu EMPRESA 
⭐️ https://t.co/WHfzKbAkH0 https://t.co/ynoXwxIUVE</t>
  </si>
  <si>
    <t>#SEOhashtag  ¿Cómo usar #Hashtag para aumentar las #ventas  ?  https://t.co/RGg4XY3exc</t>
  </si>
  <si>
    <t>_xD83D__xDCA1_ CÓMO ENCONTRAR LOS #HASHTAGS MÁS POTENTES _xD83D__xDCA1_
Para convertir _xD83D__xDC65__xD83D__xDC65__xD83D__xDC65_ LEADS a  #VENTAS _xD83D__xDCB0__xD83D__xDCB0__xD83D__xDCB0_  #SEOhashtag 
Para tu #Emprendimiento, Para tu #PYME , Para tu EMPRESA 
#️⃣ https://t.co/WHfzKbAkH0 https://t.co/SDqa4pnyGH</t>
  </si>
  <si>
    <t>#Hashtags para #Pinterest : Todo lo que necesitas saber  !   by #SEOhashtag  https://t.co/y9YLwyiich</t>
  </si>
  <si>
    <t>Revisa esta guía de #hashtags en  #TikTok    by #seohashtag https://t.co/x6bdAvUiJV</t>
  </si>
  <si>
    <t>#SEOHashtag  ESTRATEGIA para #Twitter ADS exitosos: conocer de qué y cómo habla tu audiencia para incrementar resultados de impresiones e interacciones con mis herramientas favoritas #nodexl #Metricool  https://t.co/v0Iyb42kHe</t>
  </si>
  <si>
    <t>¡Llegó el momento  _xD83D__xDE80_ de sacarle provecho a los #hastags en las #RedesSociales  
▶  Ya disponible en #amazon #ebook  #MarketingDigital
by #Seohashtag  https://t.co/WHfzKbAkH0 https://t.co/fna6ZgzD5i</t>
  </si>
  <si>
    <t>El arte de la guerra #SunTzu en #redessociales #DigitalWARroom
by #seohashtag https://t.co/4dXwpyo3CH</t>
  </si>
  <si>
    <t>vivianfrancos.com</t>
  </si>
  <si>
    <t>eventbrite.com</t>
  </si>
  <si>
    <t>amazon.es</t>
  </si>
  <si>
    <t>twitter.com</t>
  </si>
  <si>
    <t>nodexlgraphgallery.org</t>
  </si>
  <si>
    <t>linkedin.com</t>
  </si>
  <si>
    <t>sençalkapımı hashtag novela seohashtag</t>
  </si>
  <si>
    <t>nodexl eventbrite socialnetwork socialmedia research sciencetwitter phdchat seohashtag</t>
  </si>
  <si>
    <t>redessociales hashtags seohashtag amazon ebook marketingdigital</t>
  </si>
  <si>
    <t>elonmusk marketingdigital seohashtag</t>
  </si>
  <si>
    <t>seohashtag musk twitter elonmusk midterms2022 bluetsunami2022 votebluetosavedemocracy</t>
  </si>
  <si>
    <t>hashtags ventas seohashtag emprendimiento pyme</t>
  </si>
  <si>
    <t>hashtags empleo trabajo seohashtag</t>
  </si>
  <si>
    <t>tiktok hashtags seohashtag</t>
  </si>
  <si>
    <t>hastags redessociales amazon ebook marketingdigital seohashtag</t>
  </si>
  <si>
    <t>linkedin ventas b2b seohashtag</t>
  </si>
  <si>
    <t>hashtags seohashtag</t>
  </si>
  <si>
    <t>seohashtag twitter nodexl metricool</t>
  </si>
  <si>
    <t>youtube seohashtag</t>
  </si>
  <si>
    <t>seohashtag nodexl</t>
  </si>
  <si>
    <t>redessociales seohashtag</t>
  </si>
  <si>
    <t>twitter seohashtag</t>
  </si>
  <si>
    <t>redessociales bitcoin seohashtag redessociales bitcoin</t>
  </si>
  <si>
    <t>seohashtag hashtag ventas</t>
  </si>
  <si>
    <t>hashtags pinterest seohashtag</t>
  </si>
  <si>
    <t>hashtags tiktok seohashtag</t>
  </si>
  <si>
    <t>suntzu redessociales digitalwarroom seohashtag</t>
  </si>
  <si>
    <t>15:28:58</t>
  </si>
  <si>
    <t>20:42:47</t>
  </si>
  <si>
    <t>22:07:55</t>
  </si>
  <si>
    <t>10:44:48</t>
  </si>
  <si>
    <t>13:09:18</t>
  </si>
  <si>
    <t>14:52:06</t>
  </si>
  <si>
    <t>21:05:33</t>
  </si>
  <si>
    <t>11:54:30</t>
  </si>
  <si>
    <t>11:09:37</t>
  </si>
  <si>
    <t>16:05:55</t>
  </si>
  <si>
    <t>13:14:28</t>
  </si>
  <si>
    <t>14:19:25</t>
  </si>
  <si>
    <t>14:15:22</t>
  </si>
  <si>
    <t>06:14:17</t>
  </si>
  <si>
    <t>22:03:16</t>
  </si>
  <si>
    <t>16:14:17</t>
  </si>
  <si>
    <t>18:59:24</t>
  </si>
  <si>
    <t>06:14:19</t>
  </si>
  <si>
    <t>14:15:33</t>
  </si>
  <si>
    <t>16:11:25</t>
  </si>
  <si>
    <t>22:03:17</t>
  </si>
  <si>
    <t>16:14:25</t>
  </si>
  <si>
    <t>18:59:19</t>
  </si>
  <si>
    <t>11:33:17</t>
  </si>
  <si>
    <t>14:15:16</t>
  </si>
  <si>
    <t>16:14:13</t>
  </si>
  <si>
    <t>13:30:47</t>
  </si>
  <si>
    <t>16:14:21</t>
  </si>
  <si>
    <t>10:13:52</t>
  </si>
  <si>
    <t>11:33:29</t>
  </si>
  <si>
    <t>14:15:49</t>
  </si>
  <si>
    <t>18:03:38</t>
  </si>
  <si>
    <t>22:03:18</t>
  </si>
  <si>
    <t>16:14:34</t>
  </si>
  <si>
    <t>06:14:18</t>
  </si>
  <si>
    <t>11:33:16</t>
  </si>
  <si>
    <t>15:07:50</t>
  </si>
  <si>
    <t>18:22:31</t>
  </si>
  <si>
    <t>1587829123556077570</t>
  </si>
  <si>
    <t>1587908099372773376</t>
  </si>
  <si>
    <t>1589379076179234816</t>
  </si>
  <si>
    <t>1589931937346760705</t>
  </si>
  <si>
    <t>1589968302042144769</t>
  </si>
  <si>
    <t>1589994176174694400</t>
  </si>
  <si>
    <t>1590088155944091648</t>
  </si>
  <si>
    <t>1587775152909127686</t>
  </si>
  <si>
    <t>1587763855412924418</t>
  </si>
  <si>
    <t>1587838425234808839</t>
  </si>
  <si>
    <t>1587795276181405699</t>
  </si>
  <si>
    <t>1590710726079172609</t>
  </si>
  <si>
    <t>1587448214545989634</t>
  </si>
  <si>
    <t>1587327146330038274</t>
  </si>
  <si>
    <t>1587565965008584705</t>
  </si>
  <si>
    <t>1587840527868825600</t>
  </si>
  <si>
    <t>1587882081874591744</t>
  </si>
  <si>
    <t>1588051929372020736</t>
  </si>
  <si>
    <t>1588173036250857473</t>
  </si>
  <si>
    <t>1588202194041556998</t>
  </si>
  <si>
    <t>1588290746674733057</t>
  </si>
  <si>
    <t>1588565337062121472</t>
  </si>
  <si>
    <t>1588606838022471688</t>
  </si>
  <si>
    <t>1588776699654717440</t>
  </si>
  <si>
    <t>1588856977966481409</t>
  </si>
  <si>
    <t>1589260130482372611</t>
  </si>
  <si>
    <t>1589290064709918722</t>
  </si>
  <si>
    <t>1589377904055656449</t>
  </si>
  <si>
    <t>1589611323247448065</t>
  </si>
  <si>
    <t>1589652486364749825</t>
  </si>
  <si>
    <t>1589924153452548097</t>
  </si>
  <si>
    <t>1589944189516759045</t>
  </si>
  <si>
    <t>1589985042645778435</t>
  </si>
  <si>
    <t>1590042373312188416</t>
  </si>
  <si>
    <t>1590102687592419330</t>
  </si>
  <si>
    <t>1590377314206076935</t>
  </si>
  <si>
    <t>1590588641650348033</t>
  </si>
  <si>
    <t>1590668912617832448</t>
  </si>
  <si>
    <t>1590709750584561664</t>
  </si>
  <si>
    <t>1590722911433678848</t>
  </si>
  <si>
    <t>1587510412748136449</t>
  </si>
  <si>
    <t/>
  </si>
  <si>
    <t>es</t>
  </si>
  <si>
    <t>en</t>
  </si>
  <si>
    <t>fr</t>
  </si>
  <si>
    <t>1589791846737522688</t>
  </si>
  <si>
    <t>Twitter for Android</t>
  </si>
  <si>
    <t>Twitter for iPhone</t>
  </si>
  <si>
    <t>Twitter Web App</t>
  </si>
  <si>
    <t>IFTTT</t>
  </si>
  <si>
    <t>Metricool</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</si>
  <si>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</si>
  <si>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</si>
  <si>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</si>
  <si>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</si>
  <si>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</si>
  <si>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</si>
  <si>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</si>
  <si>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</si>
  <si>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</si>
  <si>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</si>
  <si>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</si>
  <si>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</si>
  <si>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</si>
  <si>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</si>
  <si>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</si>
  <si>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</si>
  <si>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</si>
  <si>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</si>
  <si>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</si>
  <si>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</si>
  <si>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</si>
  <si>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</si>
  <si>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</si>
  <si>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SEOHASHTAG conoce tus_xD83C__xDF10_audiencias #hashtag#️⃣</t>
  </si>
  <si>
    <t>hankerlove</t>
  </si>
  <si>
    <t>Assunta _xD83E__xDD1F__xD83E__xDD8B_</t>
  </si>
  <si>
    <t>Cesar Camacho</t>
  </si>
  <si>
    <t>Connected Action</t>
  </si>
  <si>
    <t>paolo ignazio marong</t>
  </si>
  <si>
    <t>iosu_Blanco #DesMarketingES</t>
  </si>
  <si>
    <t>NodeXL Pro</t>
  </si>
  <si>
    <t>Emilio de la Barreda Martín</t>
  </si>
  <si>
    <t>Chad Loder</t>
  </si>
  <si>
    <t>Paranoid Humanoid</t>
  </si>
  <si>
    <t>Jeff Tiedrich</t>
  </si>
  <si>
    <t>Rolling Stone Politics</t>
  </si>
  <si>
    <t>Nina Turner</t>
  </si>
  <si>
    <t>soul nate</t>
  </si>
  <si>
    <t>Fox News</t>
  </si>
  <si>
    <t>Lindy Li</t>
  </si>
  <si>
    <t>.</t>
  </si>
  <si>
    <t>Elon Musk</t>
  </si>
  <si>
    <t>NodeXL Project</t>
  </si>
  <si>
    <t>Dayana Angel #Ventas #hashtagteam</t>
  </si>
  <si>
    <t>1377239026432888832</t>
  </si>
  <si>
    <t>1554298610552119296</t>
  </si>
  <si>
    <t>3002116025</t>
  </si>
  <si>
    <t>708058051484450816</t>
  </si>
  <si>
    <t>98097823</t>
  </si>
  <si>
    <t>1341462944</t>
  </si>
  <si>
    <t>1395144847</t>
  </si>
  <si>
    <t>864995845673897984</t>
  </si>
  <si>
    <t>1492463263</t>
  </si>
  <si>
    <t>98575337</t>
  </si>
  <si>
    <t>1005657448831692800</t>
  </si>
  <si>
    <t>1009577803304656896</t>
  </si>
  <si>
    <t>524434283</t>
  </si>
  <si>
    <t>188793260</t>
  </si>
  <si>
    <t>218166083</t>
  </si>
  <si>
    <t>1367531</t>
  </si>
  <si>
    <t>270132611</t>
  </si>
  <si>
    <t>38029205</t>
  </si>
  <si>
    <t>44196397</t>
  </si>
  <si>
    <t>87606674</t>
  </si>
  <si>
    <t>865662805</t>
  </si>
  <si>
    <t>#️⃣ Vivian Francos #SEOhashtag
⚡️ Estrategias #hashtag #marketing para campañas políticas y para posicionar marcas y eventos _xD83D__xDCC8_
#NodeXL #TweetBinder #Metricool</t>
  </si>
  <si>
    <t>edser</t>
  </si>
  <si>
    <t>Connected Action applies social science methods to social media strategy &amp; reporting. We provide maps &amp; measures of social media spaces to guide investment.</t>
  </si>
  <si>
    <t>libero professionista, analista sereno navigatore nel mondo che cambia per cercare rotte nuove ed insolite. Degusta il tempo sa di non sapere. #i4Emploi</t>
  </si>
  <si>
    <t>#DesMarketingES  _xD83C__xDFAF_ #AnabelaNogs  @DesMarketingES _xD83C__xDF0D_ @Micro_influence Te invito a ᴠɪꜱɪᴛᴀʀ ɴᴜᴇꜱᴛʀᴀ ᴡᴇʙ  https://t.co/dZp44fFd3e</t>
  </si>
  <si>
    <t>For research : @NodeXL
NodeXL PRO - for Brands &amp; Digital Marketers. Social listening, brand monitoring,  sentiment, content  &amp; Influencer analysis, &amp; more .</t>
  </si>
  <si>
    <t>#Docencia #Consultoría y #Asesoría en  #SocialMedia para #Comercios #Autónomos #PYMES</t>
  </si>
  <si>
    <t>me? i don't like fascists very much</t>
  </si>
  <si>
    <t>Candidate For Prime Minister Of Canada.Proud Canadian. Half-assed musician. Whole assed Anti-Racist/Anti-Fascist.</t>
  </si>
  <si>
    <t>don't blame me, I voted for the email lady</t>
  </si>
  <si>
    <t>"It never got weird enough for me." ― Hunter S. Thompson. Sign up for our hand-curated daily newsletter: https://t.co/CecKaVQNDH</t>
  </si>
  <si>
    <t>Educator. Activist. Senior Fellow at @RacePowerPolicy. Former Ohio State Senator &amp; Professor. Host of @UnbossedTYT.</t>
  </si>
  <si>
    <t>forbes' 7.4 billion under 7.4 billion.</t>
  </si>
  <si>
    <t>Follow America's #1 cable news network, delivering you breaking news, insightful analysis, and must-see videos. https://t.co/sXA1eVB5Gv</t>
  </si>
  <si>
    <t>political commentator. @joebiden delegate _xD83C__xDDFA__xD83C__xDDF8_. @princeton alumni class president. vegan. runner _xD83C__xDFC3__xD83C__xDFFB_‍♀️</t>
  </si>
  <si>
    <t>Twitter Complaint Hotline Operator</t>
  </si>
  <si>
    <t>#Socialmedia network analysis and visualization #influencer analysis #marketing Get #NodeXL https://t.co/CAYK8AJLMv</t>
  </si>
  <si>
    <t>Community Manager. #DigitalMarketing 
#SocialMedia #DigitalTransformation #eMailMarketing Convierte tus #Hashtag en #VENTAS.</t>
  </si>
  <si>
    <t>Israel #️⃣</t>
  </si>
  <si>
    <t>Belmont, CA</t>
  </si>
  <si>
    <t>Pamplona</t>
  </si>
  <si>
    <t>Redwood City, CA</t>
  </si>
  <si>
    <t>Puertollano, Ciudad Real</t>
  </si>
  <si>
    <t>Los Angeles _xD83C__xDF34_</t>
  </si>
  <si>
    <t>Canadia</t>
  </si>
  <si>
    <t>New York, NY</t>
  </si>
  <si>
    <t>Cleveland, OH</t>
  </si>
  <si>
    <t>tweets</t>
  </si>
  <si>
    <t>U.S.A.</t>
  </si>
  <si>
    <t>Philadelphia, PA</t>
  </si>
  <si>
    <t>miami</t>
  </si>
  <si>
    <t>Medellin Colombia</t>
  </si>
  <si>
    <t>Open Twitter Page for This Person</t>
  </si>
  <si>
    <t>hashtagmarketi7
El arte de la guerra #SunTzu en
#redessociales #DigitalWARroom
by #seohashtag https://t.co/4dXwpyo3CH</t>
  </si>
  <si>
    <t>edserhanker190
RT @assuntaigor18: RT @hashtagmarketi7:
#SenÇalKapımı Cuando es el #hashtag
de una #novela el que genera TODAS
las PASIONES  #SEOhashtag  https://t.co/2ImpsJ9IJp</t>
  </si>
  <si>
    <t>assuntaigor18
RT @assuntaigor18: RT @hashtagmarketi7:
#SenÇalKapımı Cuando es el #hashtag
de una #novela el que genera TODAS
las PASIONES  #SEOhashtag  https://t.co/2ImpsJ9IJp</t>
  </si>
  <si>
    <t>ordencamacho
RT @assuntaigor18: RT @hashtagmarketi7:
#SenÇalKapımı Cuando es el #hashtag
de una #novela el que genera TODAS
las PASIONES  #SEOhashtag  https://t.co/2ImpsJ9IJp</t>
  </si>
  <si>
    <t>connectedaction
Check out ⭐️ 2023 Winter School
Social Networks &amp;amp; #NodeXL Pro
“a few clicks to insights” on #Eventbrite 
_xD83D__xDD39_ Our Winter School will introduce
you to #socialnetwork analysis
of #socialmedia data for academic
#research #ScienceTwitter #PhDchat
#SEOhashtag https://t.co/WPhZMRZk2E</t>
  </si>
  <si>
    <t>paoloigna1
Creo que #ElonMusk va a vivir en
carne propia lo que vivimos a diario
los especialistas en #MarketingDigital
⭐️ Nuestro trabajo VALE MUCHO!!
⭐️ ⚡️ Pero muy pocos están dispuestos
a pagarlo! ⚡️ _xD83D__xDEA8_¿Les pasa igual?
¿O soy solo YO?_xD83D__xDEA8_#SEOhashtag https://t.co/LA42yCS8qX</t>
  </si>
  <si>
    <t>iosu_blanco
Creo que #ElonMusk va a vivir en
carne propia lo que vivimos a diario
los especialistas en #MarketingDigital
⭐️ Nuestro trabajo VALE MUCHO!!
⭐️ ⚡️ Pero muy pocos están dispuestos
a pagarlo! ⚡️ _xD83D__xDEA8_¿Les pasa igual?
¿O soy solo YO?_xD83D__xDEA8_#SEOhashtag https://t.co/LA42yCS8qX</t>
  </si>
  <si>
    <t>nodexl_mktng
Check out ⭐️ 2023 Winter School
Social Networks &amp;amp; #NodeXL Pro
“a few clicks to insights” on #Eventbrite 
_xD83D__xDD39_ Our Winter School will introduce
you to #socialnetwork analysis
of #socialmedia data for academic
#research #ScienceTwitter #PhDchat
#SEOhashtag https://t.co/yCmFW6F6XA</t>
  </si>
  <si>
    <t>emiliobarredam
Creo que #ElonMusk va a vivir en
carne propia lo que vivimos a diario
los especialistas en #MarketingDigital
⭐️ Nuestro trabajo VALE MUCHO!!
⭐️ ⚡️ Pero muy pocos están dispuestos
a pagarlo! ⚡️ _xD83D__xDEA8_¿Les pasa igual?
¿O soy solo YO?_xD83D__xDEA8_#SEOhashtag https://t.co/LA42yCS8qX</t>
  </si>
  <si>
    <t xml:space="preserve">chadloder
</t>
  </si>
  <si>
    <t xml:space="preserve">drodbone
</t>
  </si>
  <si>
    <t xml:space="preserve">itsjefftiedrich
</t>
  </si>
  <si>
    <t xml:space="preserve">rspolitics
</t>
  </si>
  <si>
    <t xml:space="preserve">ninaturner
</t>
  </si>
  <si>
    <t xml:space="preserve">mnateshyamalan
</t>
  </si>
  <si>
    <t xml:space="preserve">foxnews
</t>
  </si>
  <si>
    <t xml:space="preserve">lindyli
</t>
  </si>
  <si>
    <t xml:space="preserve">williamlegate
</t>
  </si>
  <si>
    <t xml:space="preserve">elonmusk
</t>
  </si>
  <si>
    <t xml:space="preserve">nodexl
</t>
  </si>
  <si>
    <t>daya1angel
_xD83D__xDCA1_  CÓMO ENCONTRAR LOS #HASHTAGS
MÁS POTENTES _xD83D__xDCA1_ _xD83D__xDCC8_  Para convertir
LEADS _xD83D__xDC65__xD83D__xDC65__xD83D__xDC65_  a #VENTAS  _xD83D__xDCB0__xD83D__xDCB0__xD83D__xDCB0_ 
#SEOhashtag Para tu #Emprendimiento,
Para tu #PYME , Para tu EMPRESA 
⭐️ https://t.co/WHfzKbAkH0 https://t.co/ZCxJ7RIKQ3</t>
  </si>
  <si>
    <t>Directed</t>
  </si>
  <si>
    <t>Edge Weight</t>
  </si>
  <si>
    <t>G1</t>
  </si>
  <si>
    <t>G2</t>
  </si>
  <si>
    <t>0, 12, 96</t>
  </si>
  <si>
    <t>0, 136, 227</t>
  </si>
  <si>
    <t>Vertex Group</t>
  </si>
  <si>
    <t>Vertex 1 Group</t>
  </si>
  <si>
    <t>Vertex 2 Group</t>
  </si>
  <si>
    <t>Top URLs in Tweet in Entire Graph</t>
  </si>
  <si>
    <t>https://www.amazon.es/C%C3%93MO-ENCONTRAR-LOS-HASHTAGS-POTENTES-ebook/dp/B08D9W3Q3V/</t>
  </si>
  <si>
    <t>https://vivianfrancos.com/sencalkapimi-cuando-es-el-hashtag-de-una-novela-el-que-genera-todas-las-pasiones/</t>
  </si>
  <si>
    <t>https://twitter.com/elonmusk/status/1589791846737522688</t>
  </si>
  <si>
    <t>https://eventbrite.com/e/2023-winter-school-social-networks-nodexl-pro-a-few-clicks-to-insights-tickets-393167403287</t>
  </si>
  <si>
    <t>https://vivianfrancos.com/estrategia-para-twitter-ads-exitosos-conocer-de-que-y-como-habla-tu-audiencia-para-incrementar-resultados-de-impresiones-e-interacciones/</t>
  </si>
  <si>
    <t>https://nodexlgraphgallery.org/Pages/Graph.aspx?graphID=284368</t>
  </si>
  <si>
    <t>https://www.linkedin.com/feed/update/urn:li:ugcPost:6996488536824659969</t>
  </si>
  <si>
    <t>https://vivianfrancos.com/revisa-esta-guia-de-hashtags-en-tiktok/</t>
  </si>
  <si>
    <t>https://vivianfrancos.com/hashtags-para-pinterest-esto-es-todo-lo-que-necesitas-saber/</t>
  </si>
  <si>
    <t>https://vivianfrancos.com/como-usar-hashtag-para-aumentar-las-ventas/</t>
  </si>
  <si>
    <t>Entire Graph Count</t>
  </si>
  <si>
    <t>Top URLs in Tweet in G1</t>
  </si>
  <si>
    <t>https://vivianfrancos.com/los-hashtags-ayudan-en-las-busquedas-de-oportunidades-laborales/</t>
  </si>
  <si>
    <t>https://vivianfrancos.com/control-parental-de-tiktok-pueden-bloquear-terminos-de-busqueda-usuarios-y-hashtags/</t>
  </si>
  <si>
    <t>https://vivianfrancos.com/linkedin-como-herramienta-de-ventas-b2b-para-tu-empresa/</t>
  </si>
  <si>
    <t>https://vivianfrancos.com/comienza-desde-hoy-a-posicionar-tu-hashtags-como-todo-un-experto/</t>
  </si>
  <si>
    <t>Top URLs in Tweet in G2</t>
  </si>
  <si>
    <t>G1 Count</t>
  </si>
  <si>
    <t>G2 Count</t>
  </si>
  <si>
    <t>Top URLs in Tweet</t>
  </si>
  <si>
    <t>https://www.amazon.es/C%C3%93MO-ENCONTRAR-LOS-HASHTAGS-POTENTES-ebook/dp/B08D9W3Q3V/ https://eventbrite.com/e/2023-winter-school-social-networks-nodexl-pro-a-few-clicks-to-insights-tickets-393167403287 https://twitter.com/elonmusk/status/1589791846737522688 https://vivianfrancos.com/sencalkapimi-cuando-es-el-hashtag-de-una-novela-el-que-genera-todas-las-pasiones/ https://vivianfrancos.com/estrategia-para-twitter-ads-exitosos-conocer-de-que-y-como-habla-tu-audiencia-para-incrementar-resultados-de-impresiones-e-interacciones/ https://nodexlgraphgallery.org/Pages/Graph.aspx?graphID=284368 https://vivianfrancos.com/los-hashtags-ayudan-en-las-busquedas-de-oportunidades-laborales/ https://vivianfrancos.com/control-parental-de-tiktok-pueden-bloquear-terminos-de-busqueda-usuarios-y-hashtags/ https://vivianfrancos.com/linkedin-como-herramienta-de-ventas-b2b-para-tu-empresa/ https://vivianfrancos.com/comienza-desde-hoy-a-posicionar-tu-hashtags-como-todo-un-experto/</t>
  </si>
  <si>
    <t>Top Domains in Tweet in Entire Graph</t>
  </si>
  <si>
    <t>Top Domains in Tweet in G1</t>
  </si>
  <si>
    <t>Top Domains in Tweet in G2</t>
  </si>
  <si>
    <t>Top Domains in Tweet</t>
  </si>
  <si>
    <t>vivianfrancos.com amazon.es twitter.com eventbrite.com nodexlgraphgallery.org linkedin.com</t>
  </si>
  <si>
    <t>Top Hashtags in Tweet in Entire Graph</t>
  </si>
  <si>
    <t>seohashtag</t>
  </si>
  <si>
    <t>hashtags</t>
  </si>
  <si>
    <t>ventas</t>
  </si>
  <si>
    <t>marketingdigital</t>
  </si>
  <si>
    <t>redessociales</t>
  </si>
  <si>
    <t>hashtag</t>
  </si>
  <si>
    <t>emprendimiento</t>
  </si>
  <si>
    <t>pyme</t>
  </si>
  <si>
    <t>sençalkapımı</t>
  </si>
  <si>
    <t>Top Hashtags in Tweet in G1</t>
  </si>
  <si>
    <t>twitter</t>
  </si>
  <si>
    <t>Top Hashtags in Tweet in G2</t>
  </si>
  <si>
    <t>novela</t>
  </si>
  <si>
    <t>Top Hashtags in Tweet</t>
  </si>
  <si>
    <t>seohashtag hashtags ventas redessociales marketingdigital emprendimiento pyme nodexl elonmusk twitter</t>
  </si>
  <si>
    <t>Top Words in Tweet in Entire Graph</t>
  </si>
  <si>
    <t>#seohashtag</t>
  </si>
  <si>
    <t>tu</t>
  </si>
  <si>
    <t>#hashtags</t>
  </si>
  <si>
    <t>cómo</t>
  </si>
  <si>
    <t>empresa</t>
  </si>
  <si>
    <t>#ventas</t>
  </si>
  <si>
    <t>#redessociales</t>
  </si>
  <si>
    <t>school</t>
  </si>
  <si>
    <t>winter</t>
  </si>
  <si>
    <t>#marketingdigital</t>
  </si>
  <si>
    <t>Top Words in Tweet in G1</t>
  </si>
  <si>
    <t>Top Words in Tweet in G2</t>
  </si>
  <si>
    <t>cuando</t>
  </si>
  <si>
    <t>todas</t>
  </si>
  <si>
    <t>genera</t>
  </si>
  <si>
    <t>#sençalkapımı</t>
  </si>
  <si>
    <t>#novela</t>
  </si>
  <si>
    <t>#hashtag</t>
  </si>
  <si>
    <t>pasiones</t>
  </si>
  <si>
    <t>Top Words in Tweet</t>
  </si>
  <si>
    <t>#seohashtag tu #hashtags cómo empresa #ventas #redessociales school winter #marketingdigital</t>
  </si>
  <si>
    <t>cuando todas genera #sençalkapımı #novela #seohashtag #hashtag pasiones assuntaigor18 hashtagmarketi7</t>
  </si>
  <si>
    <t>Top Word Pairs in Tweet in Entire Graph</t>
  </si>
  <si>
    <t>tu,empresa</t>
  </si>
  <si>
    <t>winter,school</t>
  </si>
  <si>
    <t>#hashtags,más</t>
  </si>
  <si>
    <t>potentes,convertir</t>
  </si>
  <si>
    <t>convertir,leads</t>
  </si>
  <si>
    <t>#pyme,tu</t>
  </si>
  <si>
    <t>más,potentes</t>
  </si>
  <si>
    <t>cómo,encontrar</t>
  </si>
  <si>
    <t>leads,#ventas</t>
  </si>
  <si>
    <t>#seohashtag,tu</t>
  </si>
  <si>
    <t>Top Word Pairs in Tweet in G1</t>
  </si>
  <si>
    <t>Top Word Pairs in Tweet in G2</t>
  </si>
  <si>
    <t>#sençalkapımı,cuando</t>
  </si>
  <si>
    <t>pasiones,#seohashtag</t>
  </si>
  <si>
    <t>#hashtag,#novela</t>
  </si>
  <si>
    <t>genera,todas</t>
  </si>
  <si>
    <t>#novela,genera</t>
  </si>
  <si>
    <t>todas,pasiones</t>
  </si>
  <si>
    <t>cuando,#hashtag</t>
  </si>
  <si>
    <t>hashtagmarketi7,#sençalkapımı</t>
  </si>
  <si>
    <t>assuntaigor18,hashtagmarketi7</t>
  </si>
  <si>
    <t>Top Word Pairs in Tweet</t>
  </si>
  <si>
    <t>tu,empresa  winter,school  #hashtags,más  potentes,convertir  convertir,leads  #pyme,tu  más,potentes  cómo,encontrar  leads,#ventas  #seohashtag,tu</t>
  </si>
  <si>
    <t>#sençalkapımı,cuando  pasiones,#seohashtag  #hashtag,#novela  genera,todas  #novela,genera  todas,pasiones  cuando,#hashtag  hashtagmarketi7,#sençalkapımı  assuntaigor18,hashtagmarketi7</t>
  </si>
  <si>
    <t>Top Replied-To in Entire Graph</t>
  </si>
  <si>
    <t>Top Mentioned in Entire Graph</t>
  </si>
  <si>
    <t>Top Replied-To in G1</t>
  </si>
  <si>
    <t>Top Replied-To in G2</t>
  </si>
  <si>
    <t>Top Mentioned in G1</t>
  </si>
  <si>
    <t>Top Mentioned in G2</t>
  </si>
  <si>
    <t>Top Replied-To in Tweet</t>
  </si>
  <si>
    <t>Top Mentioned in Tweet</t>
  </si>
  <si>
    <t>nodexl elonmusk williamlegate lindyli foxnews mnateshyamalan ninaturner rspolitics itsjefftiedrich drodbone</t>
  </si>
  <si>
    <t>assuntaigor18 hashtagmarketi7</t>
  </si>
  <si>
    <t>Top Tweeters in Entire Graph</t>
  </si>
  <si>
    <t>Top Tweeters in G1</t>
  </si>
  <si>
    <t>Top Tweeters in G2</t>
  </si>
  <si>
    <t>Top Tweeters</t>
  </si>
  <si>
    <t>paoloigna1 foxnews iosu_blanco williamlegate chadloder ninaturner itsjefftiedrich mnateshyamalan emiliobarredam elonmusk</t>
  </si>
  <si>
    <t>assuntaigor18 edserhanker190 ordencamacho</t>
  </si>
  <si>
    <t>Top URLs in Tweet by Count</t>
  </si>
  <si>
    <t>https://www.amazon.es/C%C3%93MO-ENCONTRAR-LOS-HASHTAGS-POTENTES-ebook/dp/B08D9W3Q3V/ https://vivianfrancos.com/sencalkapimi-cuando-es-el-hashtag-de-una-novela-el-que-genera-todas-las-pasiones/ https://vivianfrancos.com/estrategia-para-twitter-ads-exitosos-conocer-de-que-y-como-habla-tu-audiencia-para-incrementar-resultados-de-impresiones-e-interacciones/ https://eventbrite.com/e/2023-winter-school-social-networks-nodexl-pro-a-few-clicks-to-insights-tickets-393167403287 https://nodexlgraphgallery.org/Pages/Graph.aspx?graphID=284368 https://www.linkedin.com/feed/update/urn:li:ugcPost:6996488536824659969 https://vivianfrancos.com/revisa-esta-guia-de-hashtags-en-tiktok/ https://vivianfrancos.com/hashtags-para-pinterest-esto-es-todo-lo-que-necesitas-saber/ https://vivianfrancos.com/como-usar-hashtag-para-aumentar-las-ventas/ https://twitter.com/elonmusk/status/1589791846737522688</t>
  </si>
  <si>
    <t>https://twitter.com/elonmusk/status/1589791846737522688 https://www.amazon.es/C%C3%93MO-ENCONTRAR-LOS-HASHTAGS-POTENTES-ebook/dp/B08D9W3Q3V/</t>
  </si>
  <si>
    <t>Top URLs in Tweet by Salience</t>
  </si>
  <si>
    <t>https://www.amazon.es/C%C3%93MO-ENCONTRAR-LOS-HASHTAGS-POTENTES-ebook/dp/B08D9W3Q3V/ https://vivianfrancos.com/estrategia-para-twitter-ads-exitosos-conocer-de-que-y-como-habla-tu-audiencia-para-incrementar-resultados-de-impresiones-e-interacciones/ https://vivianfrancos.com/sencalkapimi-cuando-es-el-hashtag-de-una-novela-el-que-genera-todas-las-pasiones/ https://eventbrite.com/e/2023-winter-school-social-networks-nodexl-pro-a-few-clicks-to-insights-tickets-393167403287 https://vivianfrancos.com/youtube-lleva-los-hashtags-al-siguiente-nivel-de-importancia-al-ofrecer-paginas-dedicadas/ https://vivianfrancos.com/los-hashtags-ayudan-en-las-busquedas-de-oportunidades-laborales/ https://vivianfrancos.com/linkedin-como-herramienta-de-ventas-b2b-para-tu-empresa/ https://www.linkedin.com/feed/update/urn:li:ugcPost:6996488536824659969 https://vivianfrancos.com/control-parental-de-tiktok-pueden-bloquear-terminos-de-busqueda-usuarios-y-hashtags/ https://vivianfrancos.com/la-importancia-del-posicionamiento-en-las-redessociales/</t>
  </si>
  <si>
    <t>Top Domains in Tweet by Count</t>
  </si>
  <si>
    <t>vivianfrancos.com amazon.es eventbrite.com twitter.com nodexlgraphgallery.org linkedin.com</t>
  </si>
  <si>
    <t>twitter.com amazon.es</t>
  </si>
  <si>
    <t>Top Domains in Tweet by Salience</t>
  </si>
  <si>
    <t>amazon.es vivianfrancos.com twitter.com eventbrite.com linkedin.com nodexlgraphgallery.org</t>
  </si>
  <si>
    <t>amazon.es twitter.com</t>
  </si>
  <si>
    <t>Top Hashtags in Tweet by Count</t>
  </si>
  <si>
    <t>seohashtag hashtags ventas redessociales emprendimiento pyme nodexl twitter marketingdigital hashtag</t>
  </si>
  <si>
    <t>marketingdigital seohashtag elonmusk redessociales hashtags amazon ebook</t>
  </si>
  <si>
    <t>Top Hashtags in Tweet by Salience</t>
  </si>
  <si>
    <t>hashtags emprendimiento pyme seohashtag ventas</t>
  </si>
  <si>
    <t>redessociales hashtags ventas pyme emprendimiento nodexl twitter marketingdigital amazon ebook</t>
  </si>
  <si>
    <t>novela hashtag seohashtag sençalkapımı</t>
  </si>
  <si>
    <t>eventbrite socialnetwork sciencetwitter socialmedia phdchat seohashtag research nodexl</t>
  </si>
  <si>
    <t>elonmusk amazon ebook hashtags redessociales marketingdigital seohashtag</t>
  </si>
  <si>
    <t>Top Words in Tweet by Count</t>
  </si>
  <si>
    <t>para tu #emprendimiento #ventas encontrar leads cómo potentes los empresa</t>
  </si>
  <si>
    <t>para tu de en los #hashtags cómo las que empresa</t>
  </si>
  <si>
    <t>el cuando assuntaigor18 #hashtag es de que todas hashtagmarketi7 genera</t>
  </si>
  <si>
    <t>el cuando #hashtag es de que todas genera #sençalkapımı una</t>
  </si>
  <si>
    <t>winter school pro few social #nodexl clicks #sciencetwitter 2023 academic</t>
  </si>
  <si>
    <t>los que en #marketingdigital de tus va ya #redessociales #elonmusk</t>
  </si>
  <si>
    <t>que en va los #elonmusk vivimos pagarlo dispuestos vivir #marketingdigital</t>
  </si>
  <si>
    <t>Top Words in Tweet by Salience</t>
  </si>
  <si>
    <t>para tu de en el los las que empresa #redessociales</t>
  </si>
  <si>
    <t>assuntaigor18 hashtagmarketi7 el cuando #hashtag es de que todas genera</t>
  </si>
  <si>
    <t>de tus va ya #redessociales #elonmusk vivimos pagarlo dispuestos vivir</t>
  </si>
  <si>
    <t>Top Word Pairs in Tweet by Count</t>
  </si>
  <si>
    <t>para,tu  para,convertir  potentes,para  cómo,encontrar  #pyme,para  #emprendimiento,para  los,#hashtags  tu,#pyme  más,potentes  encontrar,los</t>
  </si>
  <si>
    <t>para,tu  los,#hashtags  tu,empresa  #hashtags,más  convertir,leads  #emprendimiento,para  potentes,para  más,potentes  cómo,encontrar  leads,#ventas</t>
  </si>
  <si>
    <t>#sençalkapımı,cuando  las,pasiones  #novela,el  cuando,es  hashtagmarketi7,#sençalkapımı  es,el  pasiones,#seohashtag  de,una  una,#novela  el,que</t>
  </si>
  <si>
    <t>#sençalkapımı,cuando  las,pasiones  #novela,el  cuando,es  es,el  pasiones,#seohashtag  de,una  una,#novela  el,que  #hashtag,de</t>
  </si>
  <si>
    <t>winter,school  #eventbrite,winter  #socialmedia,data  networks,#nodexl  academic,#research  insights,#eventbrite  #research,#sciencetwitter  data,academic  2023,winter  #socialnetwork,analysis</t>
  </si>
  <si>
    <t>de,los  en,#marketingdigital  viralidad,de  pasa,igual  que,vivimos  muy,pocos  los,especialistas  ya,disponible  pocos,están  en,#amazon</t>
  </si>
  <si>
    <t>en,#marketingdigital  pasa,igual  que,vivimos  muy,pocos  los,especialistas  pocos,están  o,soy  propia,lo  vivir,en  nuestro,trabajo</t>
  </si>
  <si>
    <t>Top Word Pairs in Tweet by Salience</t>
  </si>
  <si>
    <t>para,tu  tu,empresa  winter,school  los,#hashtags  #hashtags,más  convertir,leads  #emprendimiento,para  potentes,para  más,potentes  cómo,encontrar</t>
  </si>
  <si>
    <t>hashtagmarketi7,#sençalkapımı  assuntaigor18,hashtagmarketi7  #sençalkapımı,cuando  las,pasiones  #novela,el  cuando,es  es,el  pasiones,#seohashtag  de,una  una,#novela</t>
  </si>
  <si>
    <t>Word</t>
  </si>
  <si>
    <t>Sentiment List#1</t>
  </si>
  <si>
    <t>Sentiment List#2</t>
  </si>
  <si>
    <t>Sentiment List#3</t>
  </si>
  <si>
    <t>Words in Sentiment List#1</t>
  </si>
  <si>
    <t>Words in Sentiment List#2</t>
  </si>
  <si>
    <t>Words in Sentiment List#3</t>
  </si>
  <si>
    <t>Non-categorized Words</t>
  </si>
  <si>
    <t>Total Words</t>
  </si>
  <si>
    <t>#pyme</t>
  </si>
  <si>
    <t>#nodexl</t>
  </si>
  <si>
    <t>#emprendimiento</t>
  </si>
  <si>
    <t>más</t>
  </si>
  <si>
    <t>leads</t>
  </si>
  <si>
    <t>encontrar</t>
  </si>
  <si>
    <t>convertir</t>
  </si>
  <si>
    <t>potentes</t>
  </si>
  <si>
    <t>pro</t>
  </si>
  <si>
    <t>#elonmusk</t>
  </si>
  <si>
    <t>insights</t>
  </si>
  <si>
    <t>solo</t>
  </si>
  <si>
    <t>clicks</t>
  </si>
  <si>
    <t>#ebook</t>
  </si>
  <si>
    <t>especialistas</t>
  </si>
  <si>
    <t>#twitter</t>
  </si>
  <si>
    <t>#</t>
  </si>
  <si>
    <t>diario</t>
  </si>
  <si>
    <t>data</t>
  </si>
  <si>
    <t>están</t>
  </si>
  <si>
    <t>igual</t>
  </si>
  <si>
    <t>habla</t>
  </si>
  <si>
    <t>dispuestos</t>
  </si>
  <si>
    <t>nuestro</t>
  </si>
  <si>
    <t>disponible</t>
  </si>
  <si>
    <t>trabajo</t>
  </si>
  <si>
    <t>#sciencetwitter</t>
  </si>
  <si>
    <t>pasa</t>
  </si>
  <si>
    <t>social</t>
  </si>
  <si>
    <t>va</t>
  </si>
  <si>
    <t>soy</t>
  </si>
  <si>
    <t>vale</t>
  </si>
  <si>
    <t>vivir</t>
  </si>
  <si>
    <t>academic</t>
  </si>
  <si>
    <t>introduce</t>
  </si>
  <si>
    <t>vivimos</t>
  </si>
  <si>
    <t>propia</t>
  </si>
  <si>
    <t>pocos</t>
  </si>
  <si>
    <t>#phdchat</t>
  </si>
  <si>
    <t>2023</t>
  </si>
  <si>
    <t>networks</t>
  </si>
  <si>
    <t>pagarlo</t>
  </si>
  <si>
    <t>out</t>
  </si>
  <si>
    <t>mucho</t>
  </si>
  <si>
    <t>#eventbrite</t>
  </si>
  <si>
    <t>#socialnetwork</t>
  </si>
  <si>
    <t>analysis</t>
  </si>
  <si>
    <t>#research</t>
  </si>
  <si>
    <t>few</t>
  </si>
  <si>
    <t>les</t>
  </si>
  <si>
    <t>carne</t>
  </si>
  <si>
    <t>#socialmedia</t>
  </si>
  <si>
    <t>#amazon</t>
  </si>
  <si>
    <t>audiencia</t>
  </si>
  <si>
    <t>check</t>
  </si>
  <si>
    <t>whfzkbakh0</t>
  </si>
  <si>
    <t>impresiones</t>
  </si>
  <si>
    <t>herramientas</t>
  </si>
  <si>
    <t>sacarle</t>
  </si>
  <si>
    <t>gestiona</t>
  </si>
  <si>
    <t>ads</t>
  </si>
  <si>
    <t>provecho</t>
  </si>
  <si>
    <t>necesitas</t>
  </si>
  <si>
    <t>favoritas</t>
  </si>
  <si>
    <t>viralidad</t>
  </si>
  <si>
    <t>mis</t>
  </si>
  <si>
    <t>qué</t>
  </si>
  <si>
    <t>e</t>
  </si>
  <si>
    <t>t</t>
  </si>
  <si>
    <t>momento</t>
  </si>
  <si>
    <t>#hastags</t>
  </si>
  <si>
    <t>#bitcoin</t>
  </si>
  <si>
    <t>#metricool</t>
  </si>
  <si>
    <t>resultados</t>
  </si>
  <si>
    <t>llegó</t>
  </si>
  <si>
    <t>bi</t>
  </si>
  <si>
    <t>incrementar</t>
  </si>
  <si>
    <t>estrategia</t>
  </si>
  <si>
    <t>tus</t>
  </si>
  <si>
    <t>co</t>
  </si>
  <si>
    <t>conocer</t>
  </si>
  <si>
    <t>importancia</t>
  </si>
  <si>
    <t>https</t>
  </si>
  <si>
    <t>interacciones</t>
  </si>
  <si>
    <t>power</t>
  </si>
  <si>
    <t>exitosos</t>
  </si>
  <si>
    <t>#tiktok</t>
  </si>
  <si>
    <t>aprovechando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</si>
  <si>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</si>
  <si>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</si>
  <si>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</si>
  <si>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</si>
  <si>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</si>
  <si>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</si>
  <si>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</si>
  <si>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</si>
  <si>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</si>
  <si>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</si>
  <si>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</si>
  <si>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</si>
  <si>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</si>
  <si>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</si>
  <si>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</si>
  <si>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</si>
  <si>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</si>
  <si>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</si>
  <si>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</si>
  <si>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</si>
  <si>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</si>
  <si>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</si>
  <si>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</si>
  <si>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</si>
  <si>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</si>
  <si>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</si>
  <si>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</si>
  <si>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</si>
  <si>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</si>
  <si>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</si>
  <si>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</si>
  <si>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</si>
  <si>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</si>
  <si>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</si>
  <si>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</si>
  <si>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</si>
  <si>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</si>
  <si>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</si>
  <si>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</si>
  <si>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</si>
  <si>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</si>
  <si>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</si>
  <si>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</si>
  <si>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</si>
  <si>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</si>
  <si>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</si>
  <si>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</si>
  <si>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</si>
  <si>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</si>
  <si>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</si>
  <si>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</si>
  <si>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</si>
  <si>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</si>
  <si>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</si>
  <si>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</si>
  <si>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</si>
  <si>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</si>
  <si>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</si>
  <si>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</si>
  <si>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</si>
  <si>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</si>
  <si>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</si>
  <si>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</si>
  <si>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</si>
  <si>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Cuenta de Tweet Date (UTC)</t>
  </si>
  <si>
    <t>Etiquetas de fila</t>
  </si>
  <si>
    <t>Total general</t>
  </si>
  <si>
    <t>2022</t>
  </si>
  <si>
    <t>Nov</t>
  </si>
  <si>
    <t>01-Nov</t>
  </si>
  <si>
    <t>6 AM</t>
  </si>
  <si>
    <t>2 PM</t>
  </si>
  <si>
    <t>6 PM</t>
  </si>
  <si>
    <t>10 PM</t>
  </si>
  <si>
    <t>02-Nov</t>
  </si>
  <si>
    <t>11 AM</t>
  </si>
  <si>
    <t>1 PM</t>
  </si>
  <si>
    <t>3 PM</t>
  </si>
  <si>
    <t>4 PM</t>
  </si>
  <si>
    <t>8 PM</t>
  </si>
  <si>
    <t>03-Nov</t>
  </si>
  <si>
    <t>04-Nov</t>
  </si>
  <si>
    <t>05-Nov</t>
  </si>
  <si>
    <t>06-Nov</t>
  </si>
  <si>
    <t>07-Nov</t>
  </si>
  <si>
    <t>08-Nov</t>
  </si>
  <si>
    <t>10 AM</t>
  </si>
  <si>
    <t>9 PM</t>
  </si>
  <si>
    <t>09-Nov</t>
  </si>
  <si>
    <t>10-Nov</t>
  </si>
  <si>
    <t>Green</t>
  </si>
  <si>
    <t>7, 125, 0</t>
  </si>
  <si>
    <t>Red</t>
  </si>
  <si>
    <t>G1: #seohashtag tu #hashtags cómo empresa #ventas #redessociales school winter #marketingdigital</t>
  </si>
  <si>
    <t>G2: cuando todas genera #sençalkapımı #novela #seohashtag #hashtag pasiones assuntaigor18 hashtagmarketi7</t>
  </si>
  <si>
    <t>Edge Weight▓1▓28▓0▓True▓Green▓Red▓▓Edge Weight▓2▓28▓0▓3▓10▓False▓Edge Weight▓1▓28▓0▓32▓6▓False▓▓0▓0▓0▓True▓Black▓Black▓▓Followers▓23▓22949190▓0▓162▓1000▓False▓▓0▓0▓0▓0▓0▓False▓▓0▓0▓0▓0▓0▓False▓▓0▓0▓0▓0▓0▓False</t>
  </si>
  <si>
    <t>Subgraph</t>
  </si>
  <si>
    <t>GraphSource░TwitterSearch▓GraphTerm░#seohashtag▓ImportDescription░The graph represents a network of 21 Twitter users whose recent tweets contained "#seohashtag", or who were replied to or mentioned in those tweets, taken from a data set limited to a maximum of 18,000 tweets.  The network was obtained from Twitter on Thursday, 10 November 2022 at 16:23 UTC.
The tweets in the network were tweeted over the 8-day, 17-hour, 4-minute period from Tuesday, 01 November 2022 at 22:03 UTC to Thursday, 10 November 2022 at 15:07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"mentions".▓ImportSuggestedTitle░#seohashtag Twitter NodeXL SNA Map and Report for Thursday, 10 November 2022 at 16:22 UTC▓ImportSuggestedFileNameNoExtension░2022-11-10 16-22-59 NodeXL Twitter Search #seohashtag▓GroupingDescription░The graph's vertices were grouped by cluster using the Clauset-Newman-Moore cluster algorithm.▓LayoutAlgorithm░The graph was laid out using the Harel-Koren Fast Multiscale layout algorithm.▓GraphDirectedness░The graph is directed.</t>
  </si>
  <si>
    <t>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t>
  </si>
  <si>
    <t>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</si>
  <si>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</si>
  <si>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21 Twitter users whose recent tweets contained "#seohashtag", or who were replied to or mentioned in those tweets, taken from a data set limited to a maximum of 18,000 tweets.  The network was obtained from Twitter on Thursday, 10 November 2022 at 16:23 UTC.
The tweets in the network were tweeted over the 8-day, 17-hour, 4-minute period from Tuesday, 01 November 2022 at 22:03 UTC to Thursday, 10 November 2022 at 15:07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</si>
  <si>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</si>
  <si>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</si>
  <si>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https://nodexlgraphgallery.org/Pages/Graph.aspx?graphID=284376</t>
  </si>
  <si>
    <t>https://nodexlgraphgallery.org/Images/Image.ashx?graphID=284376&amp;type=f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</si>
</sst>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6"/>
      <tableStyleElement type="headerRow" dxfId="375"/>
    </tableStyle>
    <tableStyle name="NodeXL Table" pivot="0" count="1">
      <tableStyleElement type="headerRow" dxfId="37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271104"/>
        <c:axId val="59569025"/>
      </c:barChart>
      <c:catAx>
        <c:axId val="662711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69025"/>
        <c:crosses val="autoZero"/>
        <c:auto val="1"/>
        <c:lblOffset val="100"/>
        <c:noMultiLvlLbl val="0"/>
      </c:catAx>
      <c:valAx>
        <c:axId val="595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711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6 AM
01-Nov
Nov
2022</c:v>
                </c:pt>
                <c:pt idx="1">
                  <c:v>2 PM</c:v>
                </c:pt>
                <c:pt idx="2">
                  <c:v>6 PM</c:v>
                </c:pt>
                <c:pt idx="3">
                  <c:v>10 PM</c:v>
                </c:pt>
                <c:pt idx="4">
                  <c:v>11 AM
02-Nov</c:v>
                </c:pt>
                <c:pt idx="5">
                  <c:v>1 PM</c:v>
                </c:pt>
                <c:pt idx="6">
                  <c:v>3 PM</c:v>
                </c:pt>
                <c:pt idx="7">
                  <c:v>4 PM</c:v>
                </c:pt>
                <c:pt idx="8">
                  <c:v>6 PM</c:v>
                </c:pt>
                <c:pt idx="9">
                  <c:v>8 PM</c:v>
                </c:pt>
                <c:pt idx="10">
                  <c:v>6 AM
03-Nov</c:v>
                </c:pt>
                <c:pt idx="11">
                  <c:v>2 PM</c:v>
                </c:pt>
                <c:pt idx="12">
                  <c:v>4 PM</c:v>
                </c:pt>
                <c:pt idx="13">
                  <c:v>10 PM</c:v>
                </c:pt>
                <c:pt idx="14">
                  <c:v>4 PM
04-Nov</c:v>
                </c:pt>
                <c:pt idx="15">
                  <c:v>6 PM</c:v>
                </c:pt>
                <c:pt idx="16">
                  <c:v>6 AM
05-Nov</c:v>
                </c:pt>
                <c:pt idx="17">
                  <c:v>11 AM</c:v>
                </c:pt>
                <c:pt idx="18">
                  <c:v>2 PM
06-Nov</c:v>
                </c:pt>
                <c:pt idx="19">
                  <c:v>4 PM</c:v>
                </c:pt>
                <c:pt idx="20">
                  <c:v>10 PM</c:v>
                </c:pt>
                <c:pt idx="21">
                  <c:v>1 PM
07-Nov</c:v>
                </c:pt>
                <c:pt idx="22">
                  <c:v>4 PM</c:v>
                </c:pt>
                <c:pt idx="23">
                  <c:v>10 AM
08-Nov</c:v>
                </c:pt>
                <c:pt idx="24">
                  <c:v>11 AM</c:v>
                </c:pt>
                <c:pt idx="25">
                  <c:v>1 PM</c:v>
                </c:pt>
                <c:pt idx="26">
                  <c:v>2 PM</c:v>
                </c:pt>
                <c:pt idx="27">
                  <c:v>6 PM</c:v>
                </c:pt>
                <c:pt idx="28">
                  <c:v>9 PM</c:v>
                </c:pt>
                <c:pt idx="29">
                  <c:v>10 PM</c:v>
                </c:pt>
                <c:pt idx="30">
                  <c:v>4 PM
09-Nov</c:v>
                </c:pt>
                <c:pt idx="31">
                  <c:v>6 AM
10-Nov</c:v>
                </c:pt>
                <c:pt idx="32">
                  <c:v>11 AM</c:v>
                </c:pt>
                <c:pt idx="33">
                  <c:v>2 PM</c:v>
                </c:pt>
                <c:pt idx="34">
                  <c:v>3 PM</c:v>
                </c:pt>
              </c:strCache>
            </c:strRef>
          </c:cat>
          <c:val>
            <c:numRef>
              <c:f>'Time Series'!$B$26:$B$73</c:f>
              <c:numCache>
                <c:formatCode>General</c:formatCode>
                <c:ptCount val="35"/>
                <c:pt idx="0">
                  <c:v>1</c:v>
                </c:pt>
                <c:pt idx="1">
                  <c:v>1</c:v>
                </c:pt>
                <c:pt idx="2">
                  <c:v>1</c:v>
                </c:pt>
                <c:pt idx="3">
                  <c:v>1</c:v>
                </c:pt>
                <c:pt idx="4">
                  <c:v>2</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2</c:v>
                </c:pt>
                <c:pt idx="24">
                  <c:v>1</c:v>
                </c:pt>
                <c:pt idx="25">
                  <c:v>1</c:v>
                </c:pt>
                <c:pt idx="26">
                  <c:v>2</c:v>
                </c:pt>
                <c:pt idx="27">
                  <c:v>1</c:v>
                </c:pt>
                <c:pt idx="28">
                  <c:v>1</c:v>
                </c:pt>
                <c:pt idx="29">
                  <c:v>1</c:v>
                </c:pt>
                <c:pt idx="30">
                  <c:v>1</c:v>
                </c:pt>
                <c:pt idx="31">
                  <c:v>1</c:v>
                </c:pt>
                <c:pt idx="32">
                  <c:v>1</c:v>
                </c:pt>
                <c:pt idx="33">
                  <c:v>2</c:v>
                </c:pt>
                <c:pt idx="34">
                  <c:v>1</c:v>
                </c:pt>
              </c:numCache>
            </c:numRef>
          </c:val>
        </c:ser>
        <c:axId val="57641050"/>
        <c:axId val="49007403"/>
      </c:barChart>
      <c:catAx>
        <c:axId val="57641050"/>
        <c:scaling>
          <c:orientation val="minMax"/>
        </c:scaling>
        <c:axPos val="b"/>
        <c:delete val="0"/>
        <c:numFmt formatCode="General" sourceLinked="1"/>
        <c:majorTickMark val="out"/>
        <c:minorTickMark val="none"/>
        <c:tickLblPos val="nextTo"/>
        <c:crossAx val="49007403"/>
        <c:crosses val="autoZero"/>
        <c:auto val="1"/>
        <c:lblOffset val="100"/>
        <c:noMultiLvlLbl val="0"/>
      </c:catAx>
      <c:valAx>
        <c:axId val="49007403"/>
        <c:scaling>
          <c:orientation val="minMax"/>
        </c:scaling>
        <c:axPos val="l"/>
        <c:majorGridlines/>
        <c:delete val="0"/>
        <c:numFmt formatCode="General" sourceLinked="1"/>
        <c:majorTickMark val="out"/>
        <c:minorTickMark val="none"/>
        <c:tickLblPos val="nextTo"/>
        <c:crossAx val="57641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59178"/>
        <c:axId val="60361691"/>
      </c:barChart>
      <c:catAx>
        <c:axId val="663591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61691"/>
        <c:crosses val="autoZero"/>
        <c:auto val="1"/>
        <c:lblOffset val="100"/>
        <c:noMultiLvlLbl val="0"/>
      </c:catAx>
      <c:valAx>
        <c:axId val="6036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91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57010"/>
        <c:axId val="5442179"/>
      </c:barChart>
      <c:catAx>
        <c:axId val="60257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2179"/>
        <c:crosses val="autoZero"/>
        <c:auto val="1"/>
        <c:lblOffset val="100"/>
        <c:noMultiLvlLbl val="0"/>
      </c:catAx>
      <c:valAx>
        <c:axId val="54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70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79612"/>
        <c:axId val="38163325"/>
      </c:barChart>
      <c:catAx>
        <c:axId val="48979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63325"/>
        <c:crosses val="autoZero"/>
        <c:auto val="1"/>
        <c:lblOffset val="100"/>
        <c:noMultiLvlLbl val="0"/>
      </c:catAx>
      <c:valAx>
        <c:axId val="3816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5606"/>
        <c:axId val="4221591"/>
      </c:barChart>
      <c:catAx>
        <c:axId val="7925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1591"/>
        <c:crosses val="autoZero"/>
        <c:auto val="1"/>
        <c:lblOffset val="100"/>
        <c:noMultiLvlLbl val="0"/>
      </c:catAx>
      <c:valAx>
        <c:axId val="422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6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994320"/>
        <c:axId val="6404561"/>
      </c:barChart>
      <c:catAx>
        <c:axId val="37994320"/>
        <c:scaling>
          <c:orientation val="minMax"/>
        </c:scaling>
        <c:axPos val="b"/>
        <c:delete val="1"/>
        <c:majorTickMark val="out"/>
        <c:minorTickMark val="none"/>
        <c:tickLblPos val="none"/>
        <c:crossAx val="6404561"/>
        <c:crosses val="autoZero"/>
        <c:auto val="1"/>
        <c:lblOffset val="100"/>
        <c:noMultiLvlLbl val="0"/>
      </c:catAx>
      <c:valAx>
        <c:axId val="6404561"/>
        <c:scaling>
          <c:orientation val="minMax"/>
        </c:scaling>
        <c:axPos val="l"/>
        <c:delete val="1"/>
        <c:majorTickMark val="out"/>
        <c:minorTickMark val="none"/>
        <c:tickLblPos val="none"/>
        <c:crossAx val="37994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daya1ang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hashtagmarketi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dserhanker19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assuntaigor1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ordencamac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onnectedac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aoloign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iosu_blanc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nodexl_mkt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emiliobarred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hadlod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rodbo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tsjefftiedri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spolitic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inatur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nateshyamal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ox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lindyl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williamlegat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elonmus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nodex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User" refreshedVersion="8">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1">
        <s v="hashtags ventas seohashtag emprendimiento pyme"/>
        <s v="sençalkapımı hashtag novela seohashtag"/>
        <s v="nodexl eventbrite socialnetwork socialmedia research sciencetwitter phdchat seohashtag"/>
        <s v="redessociales hashtags seohashtag amazon ebook marketingdigital"/>
        <s v="elonmusk marketingdigital seohashtag"/>
        <s v="seohashtag musk twitter elonmusk midterms2022 bluetsunami2022 votebluetosavedemocracy"/>
        <s v="hashtags empleo trabajo seohashtag"/>
        <s v="tiktok hashtags seohashtag"/>
        <s v="hastags redessociales amazon ebook marketingdigital seohashtag"/>
        <s v="linkedin ventas b2b seohashtag"/>
        <s v="hashtags seohashtag"/>
        <s v="seohashtag twitter nodexl metricool"/>
        <s v="youtube seohashtag"/>
        <s v="seohashtag nodexl"/>
        <s v="redessociales seohashtag"/>
        <s v="twitter seohashtag"/>
        <s v="redessociales bitcoin seohashtag redessociales bitcoin"/>
        <s v="seohashtag hashtag ventas"/>
        <s v="hashtags pinterest seohashtag"/>
        <s v="hashtags tiktok seohashtag"/>
        <s v="suntzu redessociales digitalwarroom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2-11-01T18:22:31.000"/>
        <d v="2022-11-02T15:28:58.000"/>
        <d v="2022-11-02T20:42:47.000"/>
        <d v="2022-11-06T22:07:55.000"/>
        <d v="2022-11-08T10:44:48.000"/>
        <d v="2022-11-08T13:09:18.000"/>
        <d v="2022-11-08T14:52:06.000"/>
        <d v="2022-11-08T21:05:33.000"/>
        <d v="2022-11-02T11:54:30.000"/>
        <d v="2022-11-02T11:09:37.000"/>
        <d v="2022-11-02T16:05:55.000"/>
        <d v="2022-11-02T13:14:28.000"/>
        <d v="2022-11-10T14:19:25.000"/>
        <d v="2022-11-01T14:15:22.000"/>
        <d v="2022-11-01T06:14:17.000"/>
        <d v="2022-11-01T22:03:16.000"/>
        <d v="2022-11-02T16:14:17.000"/>
        <d v="2022-11-02T18:59:24.000"/>
        <d v="2022-11-03T06:14:19.000"/>
        <d v="2022-11-03T14:15:33.000"/>
        <d v="2022-11-03T16:11:25.000"/>
        <d v="2022-11-03T22:03:17.000"/>
        <d v="2022-11-04T16:14:25.000"/>
        <d v="2022-11-04T18:59:19.000"/>
        <d v="2022-11-05T06:14:17.000"/>
        <d v="2022-11-05T11:33:17.000"/>
        <d v="2022-11-06T14:15:16.000"/>
        <d v="2022-11-06T16:14:13.000"/>
        <d v="2022-11-06T22:03:16.000"/>
        <d v="2022-11-07T13:30:47.000"/>
        <d v="2022-11-07T16:14:21.000"/>
        <d v="2022-11-08T10:13:52.000"/>
        <d v="2022-11-08T11:33:29.000"/>
        <d v="2022-11-08T14:15:49.000"/>
        <d v="2022-11-08T18:03:38.000"/>
        <d v="2022-11-08T22:03:18.000"/>
        <d v="2022-11-09T16:14:34.000"/>
        <d v="2022-11-10T06:14:18.000"/>
        <d v="2022-11-10T11:33:16.000"/>
        <d v="2022-11-10T14:15:33.000"/>
        <d v="2022-11-10T15:07:50.000"/>
      </sharedItems>
      <fieldGroup par="68" base="22">
        <rangePr groupBy="hours" autoEnd="1" autoStart="1" startDate="2022-11-01T06:14:17.000" endDate="2022-11-10T15:07:50.000"/>
        <groupItems count="26">
          <s v="&lt;01/11/22"/>
          <s v="12 AM"/>
          <s v="1 AM"/>
          <s v="2 AM"/>
          <s v="3 AM"/>
          <s v="4 AM"/>
          <s v="5 AM"/>
          <s v="6 AM"/>
          <s v="7 AM"/>
          <s v="8 AM"/>
          <s v="9 AM"/>
          <s v="10 AM"/>
          <s v="11 AM"/>
          <s v="12 PM"/>
          <s v="1 PM"/>
          <s v="2 PM"/>
          <s v="3 PM"/>
          <s v="4 PM"/>
          <s v="5 PM"/>
          <s v="6 PM"/>
          <s v="7 PM"/>
          <s v="8 PM"/>
          <s v="9 PM"/>
          <s v="10 PM"/>
          <s v="11 PM"/>
          <s v="&gt;10/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01T06:14:17.000" endDate="2022-11-10T15:07:50.000"/>
        <groupItems count="368">
          <s v="&lt;01/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0/11/22"/>
        </groupItems>
      </fieldGroup>
    </cacheField>
    <cacheField name="Meses" databaseField="0">
      <sharedItems containsMixedTypes="0" count="0"/>
      <fieldGroup base="22">
        <rangePr groupBy="months" autoEnd="1" autoStart="1" startDate="2022-11-01T06:14:17.000" endDate="2022-11-10T15:07:50.000"/>
        <groupItems count="14">
          <s v="&lt;01/11/22"/>
          <s v="Jan"/>
          <s v="Feb"/>
          <s v="Mar"/>
          <s v="Apr"/>
          <s v="May"/>
          <s v="Jun"/>
          <s v="Jul"/>
          <s v="Aug"/>
          <s v="Sep"/>
          <s v="Oct"/>
          <s v="Nov"/>
          <s v="Dec"/>
          <s v="&gt;10/11/22"/>
        </groupItems>
      </fieldGroup>
    </cacheField>
    <cacheField name="Años" databaseField="0">
      <sharedItems containsMixedTypes="0" count="0"/>
      <fieldGroup base="22">
        <rangePr groupBy="years" autoEnd="1" autoStart="1" startDate="2022-11-01T06:14:17.000" endDate="2022-11-10T15:07:50.000"/>
        <groupItems count="3">
          <s v="&lt;01/11/22"/>
          <s v="2022"/>
          <s v="&gt;10/11/22"/>
        </groupItems>
      </fieldGroup>
    </cacheField>
  </cacheFields>
  <extLst>
    <ext xmlns:x14="http://schemas.microsoft.com/office/spreadsheetml/2009/9/main" uri="{725AE2AE-9491-48be-B2B4-4EB974FC3084}">
      <x14:pivotCacheDefinition pivotCacheId="1224355772"/>
    </ext>
  </extLst>
</pivotCacheDefinition>
</file>

<file path=xl/pivotCache/pivotCacheRecords1.xml><?xml version="1.0" encoding="utf-8"?>
<pivotCacheRecords xmlns="http://schemas.openxmlformats.org/spreadsheetml/2006/main" xmlns:r="http://schemas.openxmlformats.org/officeDocument/2006/relationships" count="41">
  <r>
    <s v="daya1angel"/>
    <s v="hashtagmarketi7"/>
    <m/>
    <m/>
    <m/>
    <m/>
    <m/>
    <m/>
    <m/>
    <m/>
    <s v="No"/>
    <n v="3"/>
    <m/>
    <m/>
    <x v="0"/>
    <d v="2022-11-01T18:22:31.000"/>
    <s v="💡  CÓMO ENCONTRAR LOS #HASHTAGS MÁS POTENTES 💡_x000a_📈  Para convertir LEADS 👥👥👥  a #VENTAS  💰💰💰  #SEOhashtag_x000a_Para tu #Emprendimiento, Para tu #PYME , Para tu EMPRESA _x000a_⭐️ https://t.co/WHfzKbAkH0 https://t.co/ZCxJ7RIKQ3"/>
    <s v="https://www.amazon.es/C%C3%93MO-ENCONTRAR-LOS-HASHTAGS-POTENTES-ebook/dp/B08D9W3Q3V/"/>
    <s v="amazon.es"/>
    <x v="0"/>
    <s v="https://pbs.twimg.com/media/Fge_vDJWYAEypkN.jpg"/>
    <s v="https://pbs.twimg.com/media/Fge_vDJWYAEypkN.jpg"/>
    <x v="0"/>
    <d v="2022-11-01T00:00:00.000"/>
    <s v="18:22:31"/>
    <s v="https://twitter.com/daya1angel/status/1587510412748136449"/>
    <m/>
    <m/>
    <s v="1587510412748136449"/>
    <m/>
    <b v="0"/>
    <n v="0"/>
    <s v=""/>
    <b v="0"/>
    <s v="es"/>
    <m/>
    <s v=""/>
    <b v="0"/>
    <n v="1"/>
    <s v="1587448214545989634"/>
    <s v="Twitter for Android"/>
    <b v="0"/>
    <s v="1587448214545989634"/>
    <s v="Tweet"/>
    <n v="0"/>
    <n v="0"/>
    <m/>
    <m/>
    <m/>
    <m/>
    <m/>
    <m/>
    <m/>
    <m/>
    <n v="1"/>
    <s v="1"/>
    <s v="1"/>
    <n v="1"/>
    <n v="4.761904761904762"/>
    <n v="0"/>
    <n v="0"/>
    <n v="0"/>
    <n v="0"/>
    <n v="14"/>
    <n v="66.66666666666667"/>
    <n v="21"/>
  </r>
  <r>
    <s v="edserhanker190"/>
    <s v="hashtagmarketi7"/>
    <m/>
    <m/>
    <m/>
    <m/>
    <m/>
    <m/>
    <m/>
    <m/>
    <s v="No"/>
    <n v="4"/>
    <m/>
    <m/>
    <x v="1"/>
    <d v="2022-11-02T15:28:58.000"/>
    <s v="RT @assuntaigor18: RT @hashtagmarketi7: #SenÇalKapımı Cuando es el #hashtag de una #novela el que genera TODAS las PASIONES  #SEOhashtag  https://t.co/2ImpsJ9IJp"/>
    <s v="https://vivianfrancos.com/sencalkapimi-cuando-es-el-hashtag-de-una-novela-el-que-genera-todas-las-pasiones/"/>
    <s v="vivianfrancos.com"/>
    <x v="1"/>
    <m/>
    <s v="https://pbs.twimg.com/profile_images/1579631275056447489/eB63-C3y_normal.jpg"/>
    <x v="1"/>
    <d v="2022-11-02T00:00:00.000"/>
    <s v="15:28:58"/>
    <s v="https://twitter.com/edserhanker190/status/1587829123556077570"/>
    <m/>
    <m/>
    <s v="1587829123556077570"/>
    <m/>
    <b v="0"/>
    <n v="0"/>
    <s v=""/>
    <b v="0"/>
    <s v="es"/>
    <m/>
    <s v=""/>
    <b v="0"/>
    <n v="3"/>
    <s v="1587775152909127686"/>
    <s v="Twitter for Android"/>
    <b v="0"/>
    <s v="1587775152909127686"/>
    <s v="Tweet"/>
    <n v="0"/>
    <n v="0"/>
    <m/>
    <m/>
    <m/>
    <m/>
    <m/>
    <m/>
    <m/>
    <m/>
    <n v="1"/>
    <s v="2"/>
    <s v="1"/>
    <m/>
    <m/>
    <m/>
    <m/>
    <m/>
    <m/>
    <m/>
    <m/>
    <m/>
  </r>
  <r>
    <s v="connectedaction"/>
    <s v="hashtagmarketi7"/>
    <m/>
    <m/>
    <m/>
    <m/>
    <m/>
    <m/>
    <m/>
    <m/>
    <s v="No"/>
    <n v="7"/>
    <m/>
    <m/>
    <x v="0"/>
    <d v="2022-11-02T20:42:47.000"/>
    <s v="Check out ⭐️ 2023 Winter School Social Networks &amp;amp; #NodeXL Pro “a few clicks to insights” on #Eventbrite _x000a__x000a_🔹 Our Winter School will introduce you to #socialnetwork analysis of #socialmedia data for academic #research #ScienceTwitter #PhDchat #SEOhashtag_x000a__x000a_https://t.co/WPhZMRZk2E"/>
    <s v="https://eventbrite.com/e/2023-winter-school-social-networks-nodexl-pro-a-few-clicks-to-insights-tickets-393167403287"/>
    <s v="eventbrite.com"/>
    <x v="2"/>
    <m/>
    <s v="https://pbs.twimg.com/profile_images/1058449535112867841/JP-rVYlW_normal.jpg"/>
    <x v="2"/>
    <d v="2022-11-02T00:00:00.000"/>
    <s v="20:42:47"/>
    <s v="https://twitter.com/connectedaction/status/1587908099372773376"/>
    <m/>
    <m/>
    <s v="1587908099372773376"/>
    <m/>
    <b v="0"/>
    <n v="0"/>
    <s v=""/>
    <b v="0"/>
    <s v="en"/>
    <m/>
    <s v=""/>
    <b v="0"/>
    <n v="2"/>
    <s v="1587882081874591744"/>
    <s v="Twitter for iPhone"/>
    <b v="0"/>
    <s v="1587882081874591744"/>
    <s v="Tweet"/>
    <n v="0"/>
    <n v="0"/>
    <m/>
    <m/>
    <m/>
    <m/>
    <m/>
    <m/>
    <m/>
    <m/>
    <n v="1"/>
    <s v="1"/>
    <s v="1"/>
    <n v="0"/>
    <n v="0"/>
    <n v="0"/>
    <n v="0"/>
    <n v="0"/>
    <n v="0"/>
    <n v="25"/>
    <n v="71.42857142857143"/>
    <n v="35"/>
  </r>
  <r>
    <s v="paoloigna1"/>
    <s v="hashtagmarketi7"/>
    <m/>
    <m/>
    <m/>
    <m/>
    <m/>
    <m/>
    <m/>
    <m/>
    <s v="No"/>
    <n v="8"/>
    <m/>
    <m/>
    <x v="0"/>
    <d v="2022-11-06T22:07:55.000"/>
    <s v="🌐 ¡Gestiona tus #redessociales aprovechando la viralidad de los #hashtags de los que habla tu audiencia! 🌐  #seohashtag _x000a_Ya disponible en #amazon #ebook #MarketingDigital_x000a_#️⃣https://t.co/WHfzKbAkH0 https://t.co/uaoprvWH9A"/>
    <s v="https://www.amazon.es/C%C3%93MO-ENCONTRAR-LOS-HASHTAGS-POTENTES-ebook/dp/B08D9W3Q3V/"/>
    <s v="amazon.es"/>
    <x v="3"/>
    <s v="https://pbs.twimg.com/media/Fg6axwrXkAI7yGY.jpg"/>
    <s v="https://pbs.twimg.com/media/Fg6axwrXkAI7yGY.jpg"/>
    <x v="3"/>
    <d v="2022-11-06T00:00:00.000"/>
    <s v="22:07:55"/>
    <s v="https://twitter.com/paoloigna1/status/1589379076179234816"/>
    <m/>
    <m/>
    <s v="1589379076179234816"/>
    <m/>
    <b v="0"/>
    <n v="0"/>
    <s v=""/>
    <b v="0"/>
    <s v="es"/>
    <m/>
    <s v=""/>
    <b v="0"/>
    <n v="1"/>
    <s v="1589377904055656449"/>
    <s v="Twitter Web App"/>
    <b v="0"/>
    <s v="1589377904055656449"/>
    <s v="Tweet"/>
    <n v="0"/>
    <n v="0"/>
    <m/>
    <m/>
    <m/>
    <m/>
    <m/>
    <m/>
    <m/>
    <m/>
    <n v="2"/>
    <s v="1"/>
    <s v="1"/>
    <n v="0"/>
    <n v="0"/>
    <n v="0"/>
    <n v="0"/>
    <n v="0"/>
    <n v="0"/>
    <n v="18"/>
    <n v="69.23076923076923"/>
    <n v="26"/>
  </r>
  <r>
    <s v="paoloigna1"/>
    <s v="hashtagmarketi7"/>
    <m/>
    <m/>
    <m/>
    <m/>
    <m/>
    <m/>
    <m/>
    <m/>
    <s v="No"/>
    <n v="9"/>
    <m/>
    <m/>
    <x v="0"/>
    <d v="2022-11-08T10:44:48.000"/>
    <s v="Creo que #ElonMusk va a vivir en carne propia lo que vivimos a diario los especialistas en #MarketingDigital _x000a_          ⭐️ Nuestro trabajo VALE MUCHO!! ⭐️_x000a_   ⚡️ Pero muy pocos están dispuestos a pagarlo! ⚡️_x000a_🚨¿Les pasa igual?  ¿O soy solo YO?🚨#SEOhashtag https://t.co/LA42yCS8qX"/>
    <s v="https://twitter.com/elonmusk/status/1589791846737522688"/>
    <s v="twitter.com"/>
    <x v="4"/>
    <m/>
    <s v="https://pbs.twimg.com/profile_images/1060178682403266561/Kuf9_hvx_normal.jpg"/>
    <x v="4"/>
    <d v="2022-11-08T00:00:00.000"/>
    <s v="10:44:48"/>
    <s v="https://twitter.com/paoloigna1/status/1589931937346760705"/>
    <m/>
    <m/>
    <s v="1589931937346760705"/>
    <m/>
    <b v="0"/>
    <n v="0"/>
    <s v=""/>
    <b v="1"/>
    <s v="es"/>
    <m/>
    <s v="1589791846737522688"/>
    <b v="0"/>
    <n v="3"/>
    <s v="1589924153452548097"/>
    <s v="Twitter Web App"/>
    <b v="0"/>
    <s v="1589924153452548097"/>
    <s v="Tweet"/>
    <n v="0"/>
    <n v="0"/>
    <m/>
    <m/>
    <m/>
    <m/>
    <m/>
    <m/>
    <m/>
    <m/>
    <n v="2"/>
    <s v="1"/>
    <s v="1"/>
    <n v="0"/>
    <n v="0"/>
    <n v="0"/>
    <n v="0"/>
    <n v="0"/>
    <n v="0"/>
    <n v="23"/>
    <n v="62.16216216216216"/>
    <n v="37"/>
  </r>
  <r>
    <s v="iosu_blanco"/>
    <s v="hashtagmarketi7"/>
    <m/>
    <m/>
    <m/>
    <m/>
    <m/>
    <m/>
    <m/>
    <m/>
    <s v="No"/>
    <n v="10"/>
    <m/>
    <m/>
    <x v="0"/>
    <d v="2022-11-08T13:09:18.000"/>
    <s v="Creo que #ElonMusk va a vivir en carne propia lo que vivimos a diario los especialistas en #MarketingDigital _x000a_          ⭐️ Nuestro trabajo VALE MUCHO!! ⭐️_x000a_   ⚡️ Pero muy pocos están dispuestos a pagarlo! ⚡️_x000a_🚨¿Les pasa igual?  ¿O soy solo YO?🚨#SEOhashtag https://t.co/LA42yCS8qX"/>
    <s v="https://twitter.com/elonmusk/status/1589791846737522688"/>
    <s v="twitter.com"/>
    <x v="4"/>
    <m/>
    <s v="https://pbs.twimg.com/profile_images/1575211829978071041/Dv1L40sv_normal.jpg"/>
    <x v="5"/>
    <d v="2022-11-08T00:00:00.000"/>
    <s v="13:09:18"/>
    <s v="https://twitter.com/iosu_blanco/status/1589968302042144769"/>
    <m/>
    <m/>
    <s v="1589968302042144769"/>
    <m/>
    <b v="0"/>
    <n v="0"/>
    <s v=""/>
    <b v="1"/>
    <s v="es"/>
    <m/>
    <s v="1589791846737522688"/>
    <b v="0"/>
    <n v="3"/>
    <s v="1589924153452548097"/>
    <s v="Twitter for Android"/>
    <b v="0"/>
    <s v="1589924153452548097"/>
    <s v="Tweet"/>
    <n v="0"/>
    <n v="0"/>
    <m/>
    <m/>
    <m/>
    <m/>
    <m/>
    <m/>
    <m/>
    <m/>
    <n v="1"/>
    <s v="1"/>
    <s v="1"/>
    <n v="0"/>
    <n v="0"/>
    <n v="0"/>
    <n v="0"/>
    <n v="0"/>
    <n v="0"/>
    <n v="23"/>
    <n v="62.16216216216216"/>
    <n v="37"/>
  </r>
  <r>
    <s v="nodexl_mktng"/>
    <s v="hashtagmarketi7"/>
    <m/>
    <m/>
    <m/>
    <m/>
    <m/>
    <m/>
    <m/>
    <m/>
    <s v="No"/>
    <n v="11"/>
    <m/>
    <m/>
    <x v="0"/>
    <d v="2022-11-08T14:52:06.000"/>
    <s v="Check out ⭐️ 2023 Winter School Social Networks &amp;amp; #NodeXL Pro “a few clicks to insights” on #Eventbrite _x000a__x000a_🔹 Our Winter School will introduce you to #socialnetwork analysis of #socialmedia data for academic #research #ScienceTwitter #PhDchat #SEOhashtag_x000a__x000a_https://t.co/yCmFW6F6XA"/>
    <s v="https://eventbrite.com/e/2023-winter-school-social-networks-nodexl-pro-a-few-clicks-to-insights-tickets-393167403287"/>
    <s v="eventbrite.com"/>
    <x v="2"/>
    <m/>
    <s v="https://pbs.twimg.com/profile_images/864997760621174784/AUqwmm07_normal.jpg"/>
    <x v="6"/>
    <d v="2022-11-08T00:00:00.000"/>
    <s v="14:52:06"/>
    <s v="https://twitter.com/nodexl_mktng/status/1589994176174694400"/>
    <m/>
    <m/>
    <s v="1589994176174694400"/>
    <m/>
    <b v="0"/>
    <n v="0"/>
    <s v=""/>
    <b v="0"/>
    <s v="en"/>
    <m/>
    <s v=""/>
    <b v="0"/>
    <n v="1"/>
    <s v="1589944189516759045"/>
    <s v="Twitter for iPhone"/>
    <b v="0"/>
    <s v="1589944189516759045"/>
    <s v="Tweet"/>
    <n v="0"/>
    <n v="0"/>
    <m/>
    <m/>
    <m/>
    <m/>
    <m/>
    <m/>
    <m/>
    <m/>
    <n v="1"/>
    <s v="1"/>
    <s v="1"/>
    <n v="0"/>
    <n v="0"/>
    <n v="0"/>
    <n v="0"/>
    <n v="0"/>
    <n v="0"/>
    <n v="25"/>
    <n v="71.42857142857143"/>
    <n v="35"/>
  </r>
  <r>
    <s v="emiliobarredam"/>
    <s v="hashtagmarketi7"/>
    <m/>
    <m/>
    <m/>
    <m/>
    <m/>
    <m/>
    <m/>
    <m/>
    <s v="No"/>
    <n v="12"/>
    <m/>
    <m/>
    <x v="0"/>
    <d v="2022-11-08T21:05:33.000"/>
    <s v="Creo que #ElonMusk va a vivir en carne propia lo que vivimos a diario los especialistas en #MarketingDigital _x000a_          ⭐️ Nuestro trabajo VALE MUCHO!! ⭐️_x000a_   ⚡️ Pero muy pocos están dispuestos a pagarlo! ⚡️_x000a_🚨¿Les pasa igual?  ¿O soy solo YO?🚨#SEOhashtag https://t.co/LA42yCS8qX"/>
    <s v="https://twitter.com/elonmusk/status/1589791846737522688"/>
    <s v="twitter.com"/>
    <x v="4"/>
    <m/>
    <s v="https://pbs.twimg.com/profile_images/1573610605356978176/aPKVs--g_normal.jpg"/>
    <x v="7"/>
    <d v="2022-11-08T00:00:00.000"/>
    <s v="21:05:33"/>
    <s v="https://twitter.com/emiliobarredam/status/1590088155944091648"/>
    <m/>
    <m/>
    <s v="1590088155944091648"/>
    <m/>
    <b v="0"/>
    <n v="0"/>
    <s v=""/>
    <b v="1"/>
    <s v="es"/>
    <m/>
    <s v="1589791846737522688"/>
    <b v="0"/>
    <n v="3"/>
    <s v="1589924153452548097"/>
    <s v="Twitter for Android"/>
    <b v="0"/>
    <s v="1589924153452548097"/>
    <s v="Tweet"/>
    <n v="0"/>
    <n v="0"/>
    <m/>
    <m/>
    <m/>
    <m/>
    <m/>
    <m/>
    <m/>
    <m/>
    <n v="1"/>
    <s v="1"/>
    <s v="1"/>
    <n v="0"/>
    <n v="0"/>
    <n v="0"/>
    <n v="0"/>
    <n v="0"/>
    <n v="0"/>
    <n v="23"/>
    <n v="62.16216216216216"/>
    <n v="37"/>
  </r>
  <r>
    <s v="ordencamacho"/>
    <s v="assuntaigor18"/>
    <m/>
    <m/>
    <m/>
    <m/>
    <m/>
    <m/>
    <m/>
    <m/>
    <s v="Yes"/>
    <n v="13"/>
    <m/>
    <m/>
    <x v="2"/>
    <d v="2022-11-02T11:54:30.000"/>
    <s v="RT @assuntaigor18: RT @hashtagmarketi7: #SenÇalKapımı Cuando es el #hashtag de una #novela el que genera TODAS las PASIONES  #SEOhashtag  https://t.co/2ImpsJ9IJp"/>
    <s v="https://vivianfrancos.com/sencalkapimi-cuando-es-el-hashtag-de-una-novela-el-que-genera-todas-las-pasiones/"/>
    <s v="vivianfrancos.com"/>
    <x v="1"/>
    <m/>
    <s v="https://pbs.twimg.com/profile_images/708058715669307392/e7v2PkQQ_normal.jpg"/>
    <x v="8"/>
    <d v="2022-11-02T00:00:00.000"/>
    <s v="11:54:30"/>
    <s v="https://twitter.com/ordencamacho/status/1587775152909127686"/>
    <m/>
    <m/>
    <s v="1587775152909127686"/>
    <m/>
    <b v="0"/>
    <n v="2"/>
    <s v=""/>
    <b v="0"/>
    <s v="es"/>
    <m/>
    <s v=""/>
    <b v="0"/>
    <n v="3"/>
    <s v=""/>
    <s v="IFTTT"/>
    <b v="0"/>
    <s v="1587775152909127686"/>
    <s v="Tweet"/>
    <n v="0"/>
    <n v="0"/>
    <m/>
    <m/>
    <m/>
    <m/>
    <m/>
    <m/>
    <m/>
    <m/>
    <n v="1"/>
    <s v="2"/>
    <s v="2"/>
    <m/>
    <m/>
    <m/>
    <m/>
    <m/>
    <m/>
    <m/>
    <m/>
    <m/>
  </r>
  <r>
    <s v="assuntaigor18"/>
    <s v="hashtagmarketi7"/>
    <m/>
    <m/>
    <m/>
    <m/>
    <m/>
    <m/>
    <m/>
    <m/>
    <s v="Yes"/>
    <n v="14"/>
    <m/>
    <m/>
    <x v="0"/>
    <d v="2022-11-02T11:09:37.000"/>
    <s v="#SenÇalKapımı Cuando es el #hashtag de una #novela el que genera TODAS las PASIONES  #SEOhashtag  https://t.co/f70uLXUzDq"/>
    <s v="https://vivianfrancos.com/sencalkapimi-cuando-es-el-hashtag-de-una-novela-el-que-genera-todas-las-pasiones/"/>
    <s v="vivianfrancos.com"/>
    <x v="1"/>
    <m/>
    <s v="https://pbs.twimg.com/profile_images/1501490089041567749/5cItZGxg_normal.jpg"/>
    <x v="9"/>
    <d v="2022-11-02T00:00:00.000"/>
    <s v="11:09:37"/>
    <s v="https://twitter.com/assuntaigor18/status/1587763855412924418"/>
    <m/>
    <m/>
    <s v="1587763855412924418"/>
    <m/>
    <b v="0"/>
    <n v="0"/>
    <s v=""/>
    <b v="0"/>
    <s v="es"/>
    <m/>
    <s v=""/>
    <b v="0"/>
    <n v="1"/>
    <s v="1587327146330038274"/>
    <s v="Twitter for Android"/>
    <b v="0"/>
    <s v="1587327146330038274"/>
    <s v="Tweet"/>
    <n v="0"/>
    <n v="0"/>
    <m/>
    <m/>
    <m/>
    <m/>
    <m/>
    <m/>
    <m/>
    <m/>
    <n v="1"/>
    <s v="2"/>
    <s v="1"/>
    <n v="0"/>
    <n v="0"/>
    <n v="0"/>
    <n v="0"/>
    <n v="0"/>
    <n v="0"/>
    <n v="8"/>
    <n v="53.333333333333336"/>
    <n v="15"/>
  </r>
  <r>
    <s v="assuntaigor18"/>
    <s v="hashtagmarketi7"/>
    <m/>
    <m/>
    <m/>
    <m/>
    <m/>
    <m/>
    <m/>
    <m/>
    <s v="Yes"/>
    <n v="15"/>
    <m/>
    <m/>
    <x v="1"/>
    <d v="2022-11-02T16:05:55.000"/>
    <s v="RT @assuntaigor18: RT @hashtagmarketi7: #SenÇalKapımı Cuando es el #hashtag de una #novela el que genera TODAS las PASIONES  #SEOhashtag  https://t.co/2ImpsJ9IJp"/>
    <s v="https://vivianfrancos.com/sencalkapimi-cuando-es-el-hashtag-de-una-novela-el-que-genera-todas-las-pasiones/"/>
    <s v="vivianfrancos.com"/>
    <x v="1"/>
    <m/>
    <s v="https://pbs.twimg.com/profile_images/1501490089041567749/5cItZGxg_normal.jpg"/>
    <x v="10"/>
    <d v="2022-11-02T00:00:00.000"/>
    <s v="16:05:55"/>
    <s v="https://twitter.com/assuntaigor18/status/1587838425234808839"/>
    <m/>
    <m/>
    <s v="1587838425234808839"/>
    <m/>
    <b v="0"/>
    <n v="0"/>
    <s v=""/>
    <b v="0"/>
    <s v="es"/>
    <m/>
    <s v=""/>
    <b v="0"/>
    <n v="3"/>
    <s v="1587775152909127686"/>
    <s v="Twitter for Android"/>
    <b v="0"/>
    <s v="1587775152909127686"/>
    <s v="Tweet"/>
    <n v="0"/>
    <n v="0"/>
    <m/>
    <m/>
    <m/>
    <m/>
    <m/>
    <m/>
    <m/>
    <m/>
    <n v="1"/>
    <s v="2"/>
    <s v="1"/>
    <m/>
    <m/>
    <m/>
    <m/>
    <m/>
    <m/>
    <m/>
    <m/>
    <m/>
  </r>
  <r>
    <s v="hashtagmarketi7"/>
    <s v="assuntaigor18"/>
    <m/>
    <m/>
    <m/>
    <m/>
    <m/>
    <m/>
    <m/>
    <m/>
    <s v="Yes"/>
    <n v="17"/>
    <m/>
    <m/>
    <x v="1"/>
    <d v="2022-11-02T13:14:28.000"/>
    <s v="RT @assuntaigor18: RT @hashtagmarketi7: #SenÇalKapımı Cuando es el #hashtag de una #novela el que genera TODAS las PASIONES  #SEOhashtag  https://t.co/2ImpsJ9IJp"/>
    <s v="https://vivianfrancos.com/sencalkapimi-cuando-es-el-hashtag-de-una-novela-el-que-genera-todas-las-pasiones/"/>
    <s v="vivianfrancos.com"/>
    <x v="1"/>
    <m/>
    <s v="https://pbs.twimg.com/profile_images/1487756429276684289/Kqq9xAOb_normal.png"/>
    <x v="11"/>
    <d v="2022-11-02T00:00:00.000"/>
    <s v="13:14:28"/>
    <s v="https://twitter.com/hashtagmarketi7/status/1587795276181405699"/>
    <m/>
    <m/>
    <s v="1587795276181405699"/>
    <m/>
    <b v="0"/>
    <n v="0"/>
    <s v=""/>
    <b v="0"/>
    <s v="es"/>
    <m/>
    <s v=""/>
    <b v="0"/>
    <n v="3"/>
    <s v="1587775152909127686"/>
    <s v="Twitter for Android"/>
    <b v="0"/>
    <s v="1587775152909127686"/>
    <s v="Tweet"/>
    <n v="0"/>
    <n v="0"/>
    <m/>
    <m/>
    <m/>
    <m/>
    <m/>
    <m/>
    <m/>
    <m/>
    <n v="1"/>
    <s v="1"/>
    <s v="2"/>
    <m/>
    <m/>
    <m/>
    <m/>
    <m/>
    <m/>
    <m/>
    <m/>
    <m/>
  </r>
  <r>
    <s v="hashtagmarketi7"/>
    <s v="chadloder"/>
    <m/>
    <m/>
    <m/>
    <m/>
    <m/>
    <m/>
    <m/>
    <m/>
    <s v="No"/>
    <n v="20"/>
    <m/>
    <m/>
    <x v="2"/>
    <d v="2022-11-10T14:19:25.000"/>
    <s v="Audiences Elon Musk @NodeXL #SEOhashtag_x000a_@elonmusk_x000a_@williamlegate_x000a_@lindyli_x000a_@foxnews_x000a_@mnateshyamalan_x000a_@ninaturner_x000a_@rspolitics_x000a_@itsjefftiedrich_x000a_@drodbone_x000a_@chadloder_x000a_Top hashtags_x000a_#musk_x000a_#twitter_x000a_#elonmusk_x000a_#midterms2022_x000a_#bluetsunami2022_x000a_#votebluetosavedemocracy _x000a_https://t.co/YsexkPzjq4"/>
    <s v="https://nodexlgraphgallery.org/Pages/Graph.aspx?graphID=284368"/>
    <s v="nodexlgraphgallery.org"/>
    <x v="5"/>
    <m/>
    <s v="https://pbs.twimg.com/profile_images/1487756429276684289/Kqq9xAOb_normal.png"/>
    <x v="12"/>
    <d v="2022-11-10T00:00:00.000"/>
    <s v="14:19:25"/>
    <s v="https://twitter.com/hashtagmarketi7/status/1590710726079172609"/>
    <m/>
    <m/>
    <s v="1590710726079172609"/>
    <m/>
    <b v="0"/>
    <n v="1"/>
    <s v=""/>
    <b v="0"/>
    <s v="fr"/>
    <m/>
    <s v=""/>
    <b v="0"/>
    <n v="0"/>
    <s v=""/>
    <s v="Twitter Web App"/>
    <b v="0"/>
    <s v="1590710726079172609"/>
    <s v="Tweet"/>
    <n v="0"/>
    <n v="0"/>
    <m/>
    <m/>
    <m/>
    <m/>
    <m/>
    <m/>
    <m/>
    <m/>
    <n v="1"/>
    <s v="1"/>
    <s v="1"/>
    <m/>
    <m/>
    <m/>
    <m/>
    <m/>
    <m/>
    <m/>
    <m/>
    <m/>
  </r>
  <r>
    <s v="hashtagmarketi7"/>
    <s v="hashtagmarketi7"/>
    <m/>
    <m/>
    <m/>
    <m/>
    <m/>
    <m/>
    <m/>
    <m/>
    <s v="No"/>
    <n v="31"/>
    <m/>
    <m/>
    <x v="3"/>
    <d v="2022-11-01T14:15:22.000"/>
    <s v="💡  CÓMO ENCONTRAR LOS #HASHTAGS MÁS POTENTES 💡_x000a_📈  Para convertir LEADS 👥👥👥  a #VENTAS  💰💰💰  #SEOhashtag_x000a_Para tu #Emprendimiento, Para tu #PYME , Para tu EMPRESA _x000a_⭐️ https://t.co/WHfzKbAkH0 https://t.co/ZCxJ7RIKQ3"/>
    <s v="https://www.amazon.es/C%C3%93MO-ENCONTRAR-LOS-HASHTAGS-POTENTES-ebook/dp/B08D9W3Q3V/"/>
    <s v="amazon.es"/>
    <x v="0"/>
    <s v="https://pbs.twimg.com/media/Fge_vDJWYAEypkN.jpg"/>
    <s v="https://pbs.twimg.com/media/Fge_vDJWYAEypkN.jpg"/>
    <x v="13"/>
    <d v="2022-11-01T00:00:00.000"/>
    <s v="14:15:22"/>
    <s v="https://twitter.com/hashtagmarketi7/status/1587448214545989634"/>
    <m/>
    <m/>
    <s v="1587448214545989634"/>
    <m/>
    <b v="0"/>
    <n v="1"/>
    <s v=""/>
    <b v="0"/>
    <s v="es"/>
    <m/>
    <s v=""/>
    <b v="0"/>
    <n v="1"/>
    <s v=""/>
    <s v="Metricool"/>
    <b v="0"/>
    <s v="1587448214545989634"/>
    <s v="Retweet"/>
    <n v="0"/>
    <n v="0"/>
    <m/>
    <m/>
    <m/>
    <m/>
    <m/>
    <m/>
    <m/>
    <m/>
    <n v="28"/>
    <s v="1"/>
    <s v="1"/>
    <n v="1"/>
    <n v="4.761904761904762"/>
    <n v="0"/>
    <n v="0"/>
    <n v="0"/>
    <n v="0"/>
    <n v="14"/>
    <n v="66.66666666666667"/>
    <n v="21"/>
  </r>
  <r>
    <s v="hashtagmarketi7"/>
    <s v="hashtagmarketi7"/>
    <m/>
    <m/>
    <m/>
    <m/>
    <m/>
    <m/>
    <m/>
    <m/>
    <s v="No"/>
    <n v="32"/>
    <m/>
    <m/>
    <x v="3"/>
    <d v="2022-11-01T06:14:17.000"/>
    <s v="#SenÇalKapımı Cuando es el #hashtag de una #novela el que genera TODAS las PASIONES  #SEOhashtag  https://t.co/f70uLXUzDq"/>
    <s v="https://vivianfrancos.com/sencalkapimi-cuando-es-el-hashtag-de-una-novela-el-que-genera-todas-las-pasiones/"/>
    <s v="vivianfrancos.com"/>
    <x v="1"/>
    <m/>
    <s v="https://pbs.twimg.com/profile_images/1487756429276684289/Kqq9xAOb_normal.png"/>
    <x v="14"/>
    <d v="2022-11-01T00:00:00.000"/>
    <s v="06:14:17"/>
    <s v="https://twitter.com/hashtagmarketi7/status/1587327146330038274"/>
    <m/>
    <m/>
    <s v="1587327146330038274"/>
    <m/>
    <b v="0"/>
    <n v="0"/>
    <s v=""/>
    <b v="0"/>
    <s v="es"/>
    <m/>
    <s v=""/>
    <b v="0"/>
    <n v="1"/>
    <s v=""/>
    <s v="Metricool"/>
    <b v="0"/>
    <s v="1587327146330038274"/>
    <s v="Retweet"/>
    <n v="0"/>
    <n v="0"/>
    <m/>
    <m/>
    <m/>
    <m/>
    <m/>
    <m/>
    <m/>
    <m/>
    <n v="28"/>
    <s v="1"/>
    <s v="1"/>
    <n v="0"/>
    <n v="0"/>
    <n v="0"/>
    <n v="0"/>
    <n v="0"/>
    <n v="0"/>
    <n v="8"/>
    <n v="53.333333333333336"/>
    <n v="15"/>
  </r>
  <r>
    <s v="hashtagmarketi7"/>
    <s v="hashtagmarketi7"/>
    <m/>
    <m/>
    <m/>
    <m/>
    <m/>
    <m/>
    <m/>
    <m/>
    <s v="No"/>
    <n v="33"/>
    <m/>
    <m/>
    <x v="3"/>
    <d v="2022-11-01T22:03:16.000"/>
    <s v="💡 CÓMO ENCONTRAR LOS #HASHTAGS MÁS POTENTES 💡_x000a_Para convertir 👥👥👥 LEADS a  #VENTAS 💰💰💰  #SEOhashtag _x000a_Para tu #Emprendimiento, Para tu #PYME , Para tu EMPRESA _x000a_#️⃣ https://t.co/WHfzKbAkH0 https://t.co/j0fUeFJhw9"/>
    <s v="https://www.amazon.es/C%C3%93MO-ENCONTRAR-LOS-HASHTAGS-POTENTES-ebook/dp/B08D9W3Q3V/"/>
    <s v="amazon.es"/>
    <x v="0"/>
    <s v="https://pbs.twimg.com/media/Fggq1AwWQAA5OKl.jpg"/>
    <s v="https://pbs.twimg.com/media/Fggq1AwWQAA5OKl.jpg"/>
    <x v="15"/>
    <d v="2022-11-01T00:00:00.000"/>
    <s v="22:03:16"/>
    <s v="https://twitter.com/hashtagmarketi7/status/1587565965008584705"/>
    <m/>
    <m/>
    <s v="1587565965008584705"/>
    <m/>
    <b v="0"/>
    <n v="0"/>
    <s v=""/>
    <b v="0"/>
    <s v="es"/>
    <m/>
    <s v=""/>
    <b v="0"/>
    <n v="0"/>
    <s v=""/>
    <s v="Metricool"/>
    <b v="0"/>
    <s v="1587565965008584705"/>
    <s v="Tweet"/>
    <n v="0"/>
    <n v="0"/>
    <m/>
    <m/>
    <m/>
    <m/>
    <m/>
    <m/>
    <m/>
    <m/>
    <n v="28"/>
    <s v="1"/>
    <s v="1"/>
    <n v="1"/>
    <n v="4.761904761904762"/>
    <n v="0"/>
    <n v="0"/>
    <n v="0"/>
    <n v="0"/>
    <n v="14"/>
    <n v="66.66666666666667"/>
    <n v="21"/>
  </r>
  <r>
    <s v="hashtagmarketi7"/>
    <s v="hashtagmarketi7"/>
    <m/>
    <m/>
    <m/>
    <m/>
    <m/>
    <m/>
    <m/>
    <m/>
    <s v="No"/>
    <n v="34"/>
    <m/>
    <m/>
    <x v="3"/>
    <d v="2022-11-02T16:14:17.000"/>
    <s v="Los #hashtags ayudan en las búsquedas de oportunidades #Empleo #Trabajo  #SeoHashtag  https://t.co/ztG247l6DV"/>
    <s v="https://vivianfrancos.com/los-hashtags-ayudan-en-las-busquedas-de-oportunidades-laborales/"/>
    <s v="vivianfrancos.com"/>
    <x v="6"/>
    <m/>
    <s v="https://pbs.twimg.com/profile_images/1487756429276684289/Kqq9xAOb_normal.png"/>
    <x v="16"/>
    <d v="2022-11-02T00:00:00.000"/>
    <s v="16:14:17"/>
    <s v="https://twitter.com/hashtagmarketi7/status/1587840527868825600"/>
    <m/>
    <m/>
    <s v="1587840527868825600"/>
    <m/>
    <b v="0"/>
    <n v="1"/>
    <s v=""/>
    <b v="0"/>
    <s v="es"/>
    <m/>
    <s v=""/>
    <b v="0"/>
    <n v="0"/>
    <s v=""/>
    <s v="Metricool"/>
    <b v="0"/>
    <s v="1587840527868825600"/>
    <s v="Tweet"/>
    <n v="0"/>
    <n v="0"/>
    <m/>
    <m/>
    <m/>
    <m/>
    <m/>
    <m/>
    <m/>
    <m/>
    <n v="28"/>
    <s v="1"/>
    <s v="1"/>
    <n v="0"/>
    <n v="0"/>
    <n v="0"/>
    <n v="0"/>
    <n v="0"/>
    <n v="0"/>
    <n v="7"/>
    <n v="63.63636363636363"/>
    <n v="11"/>
  </r>
  <r>
    <s v="hashtagmarketi7"/>
    <s v="hashtagmarketi7"/>
    <m/>
    <m/>
    <m/>
    <m/>
    <m/>
    <m/>
    <m/>
    <m/>
    <s v="No"/>
    <n v="35"/>
    <m/>
    <m/>
    <x v="3"/>
    <d v="2022-11-02T18:59:24.000"/>
    <s v="Check out ⭐️ 2023 Winter School Social Networks &amp;amp; #NodeXL Pro “a few clicks to insights” on #Eventbrite _x000a__x000a_🔹 Our Winter School will introduce you to #socialnetwork analysis of #socialmedia data for academic #research #ScienceTwitter #PhDchat #SEOhashtag_x000a__x000a_https://t.co/WPhZMRZk2E"/>
    <s v="https://eventbrite.com/e/2023-winter-school-social-networks-nodexl-pro-a-few-clicks-to-insights-tickets-393167403287"/>
    <s v="eventbrite.com"/>
    <x v="2"/>
    <m/>
    <s v="https://pbs.twimg.com/profile_images/1487756429276684289/Kqq9xAOb_normal.png"/>
    <x v="17"/>
    <d v="2022-11-02T00:00:00.000"/>
    <s v="18:59:24"/>
    <s v="https://twitter.com/hashtagmarketi7/status/1587882081874591744"/>
    <m/>
    <m/>
    <s v="1587882081874591744"/>
    <m/>
    <b v="0"/>
    <n v="7"/>
    <s v=""/>
    <b v="0"/>
    <s v="en"/>
    <m/>
    <s v=""/>
    <b v="0"/>
    <n v="2"/>
    <s v=""/>
    <s v="Metricool"/>
    <b v="0"/>
    <s v="1587882081874591744"/>
    <s v="Tweet"/>
    <n v="0"/>
    <n v="0"/>
    <m/>
    <m/>
    <m/>
    <m/>
    <m/>
    <m/>
    <m/>
    <m/>
    <n v="28"/>
    <s v="1"/>
    <s v="1"/>
    <n v="0"/>
    <n v="0"/>
    <n v="0"/>
    <n v="0"/>
    <n v="0"/>
    <n v="0"/>
    <n v="25"/>
    <n v="71.42857142857143"/>
    <n v="35"/>
  </r>
  <r>
    <s v="hashtagmarketi7"/>
    <s v="hashtagmarketi7"/>
    <m/>
    <m/>
    <m/>
    <m/>
    <m/>
    <m/>
    <m/>
    <m/>
    <s v="No"/>
    <n v="36"/>
    <m/>
    <m/>
    <x v="3"/>
    <d v="2022-11-03T06:14:19.000"/>
    <s v="Control Parental De #TikTok Pueden Bloquear Términos De Búsqueda, Usuarios Y #Hashtags  by #SEOhashtag _x000a_https://t.co/k6opZP3P0y"/>
    <s v="https://vivianfrancos.com/control-parental-de-tiktok-pueden-bloquear-terminos-de-busqueda-usuarios-y-hashtags/"/>
    <s v="vivianfrancos.com"/>
    <x v="7"/>
    <m/>
    <s v="https://pbs.twimg.com/profile_images/1487756429276684289/Kqq9xAOb_normal.png"/>
    <x v="18"/>
    <d v="2022-11-03T00:00:00.000"/>
    <s v="06:14:19"/>
    <s v="https://twitter.com/hashtagmarketi7/status/1588051929372020736"/>
    <m/>
    <m/>
    <s v="1588051929372020736"/>
    <m/>
    <b v="0"/>
    <n v="0"/>
    <s v=""/>
    <b v="0"/>
    <s v="es"/>
    <m/>
    <s v=""/>
    <b v="0"/>
    <n v="0"/>
    <s v=""/>
    <s v="Metricool"/>
    <b v="0"/>
    <s v="1588051929372020736"/>
    <s v="Tweet"/>
    <n v="0"/>
    <n v="0"/>
    <m/>
    <m/>
    <m/>
    <m/>
    <m/>
    <m/>
    <m/>
    <m/>
    <n v="28"/>
    <s v="1"/>
    <s v="1"/>
    <n v="0"/>
    <n v="0"/>
    <n v="0"/>
    <n v="0"/>
    <n v="0"/>
    <n v="0"/>
    <n v="10"/>
    <n v="71.42857142857143"/>
    <n v="14"/>
  </r>
  <r>
    <s v="hashtagmarketi7"/>
    <s v="hashtagmarketi7"/>
    <m/>
    <m/>
    <m/>
    <m/>
    <m/>
    <m/>
    <m/>
    <m/>
    <s v="No"/>
    <n v="37"/>
    <m/>
    <m/>
    <x v="3"/>
    <d v="2022-11-03T14:15:33.000"/>
    <s v="¡Llegó el momento  🚀 de sacarle provecho a los #hastags en las #RedesSociales  _x000a_▶  Ya disponible en #amazon #ebook  #MarketingDigital_x000a_by #Seohashtag  https://t.co/WHfzKbAkH0 https://t.co/lYdBVBfpsv"/>
    <s v="https://www.amazon.es/C%C3%93MO-ENCONTRAR-LOS-HASHTAGS-POTENTES-ebook/dp/B08D9W3Q3V/"/>
    <s v="amazon.es"/>
    <x v="8"/>
    <s v="https://pbs.twimg.com/media/FgpS9NxX0AEh-XD.jpg"/>
    <s v="https://pbs.twimg.com/media/FgpS9NxX0AEh-XD.jpg"/>
    <x v="19"/>
    <d v="2022-11-03T00:00:00.000"/>
    <s v="14:15:33"/>
    <s v="https://twitter.com/hashtagmarketi7/status/1588173036250857473"/>
    <m/>
    <m/>
    <s v="1588173036250857473"/>
    <m/>
    <b v="0"/>
    <n v="1"/>
    <s v=""/>
    <b v="0"/>
    <s v="es"/>
    <m/>
    <s v=""/>
    <b v="0"/>
    <n v="0"/>
    <s v=""/>
    <s v="Metricool"/>
    <b v="0"/>
    <s v="1588173036250857473"/>
    <s v="Tweet"/>
    <n v="0"/>
    <n v="0"/>
    <m/>
    <m/>
    <m/>
    <m/>
    <m/>
    <m/>
    <m/>
    <m/>
    <n v="28"/>
    <s v="1"/>
    <s v="1"/>
    <n v="0"/>
    <n v="0"/>
    <n v="0"/>
    <n v="0"/>
    <n v="0"/>
    <n v="0"/>
    <n v="11"/>
    <n v="55"/>
    <n v="20"/>
  </r>
  <r>
    <s v="hashtagmarketi7"/>
    <s v="hashtagmarketi7"/>
    <m/>
    <m/>
    <m/>
    <m/>
    <m/>
    <m/>
    <m/>
    <m/>
    <s v="No"/>
    <n v="38"/>
    <m/>
    <m/>
    <x v="3"/>
    <d v="2022-11-03T16:11:25.000"/>
    <s v="✅ CURSO #LINKEDIN como HERRAMIENTA de #VENTAS #B2B para tu empresa  _x000a_📱 Necesitas SER digital para que tu empresa SOBREVIVA 🔝 by #SEOhashtag_x000a_🛑 No es VIDEO es en LÍNEA con tu Negocio!   _x000a_➡️ https://t.co/jBfEteaVTb https://t.co/bqbLfhiCux"/>
    <s v="https://vivianfrancos.com/linkedin-como-herramienta-de-ventas-b2b-para-tu-empresa/"/>
    <s v="vivianfrancos.com"/>
    <x v="9"/>
    <s v="https://pbs.twimg.com/ext_tw_video_thumb/1588202174860955654/pu/img/rGkWz-5Lh5d7w78g.jpg"/>
    <s v="https://pbs.twimg.com/ext_tw_video_thumb/1588202174860955654/pu/img/rGkWz-5Lh5d7w78g.jpg"/>
    <x v="20"/>
    <d v="2022-11-03T00:00:00.000"/>
    <s v="16:11:25"/>
    <s v="https://twitter.com/hashtagmarketi7/status/1588202194041556998"/>
    <m/>
    <m/>
    <s v="1588202194041556998"/>
    <m/>
    <b v="0"/>
    <n v="0"/>
    <s v=""/>
    <b v="0"/>
    <s v="es"/>
    <m/>
    <s v=""/>
    <b v="0"/>
    <n v="0"/>
    <s v=""/>
    <s v="Metricool"/>
    <b v="0"/>
    <s v="1588202194041556998"/>
    <s v="Tweet"/>
    <n v="0"/>
    <n v="0"/>
    <m/>
    <m/>
    <m/>
    <m/>
    <m/>
    <m/>
    <m/>
    <m/>
    <n v="28"/>
    <s v="1"/>
    <s v="1"/>
    <n v="0"/>
    <n v="0"/>
    <n v="0"/>
    <n v="0"/>
    <n v="0"/>
    <n v="0"/>
    <n v="17"/>
    <n v="58.62068965517241"/>
    <n v="29"/>
  </r>
  <r>
    <s v="hashtagmarketi7"/>
    <s v="hashtagmarketi7"/>
    <m/>
    <m/>
    <m/>
    <m/>
    <m/>
    <m/>
    <m/>
    <m/>
    <s v="No"/>
    <n v="39"/>
    <m/>
    <m/>
    <x v="3"/>
    <d v="2022-11-03T22:03:17.000"/>
    <s v="✅  CÓMO ENCONTRAR LOS #HASHTAGS MÁS POTENTES_x000a_➡️  Para convertir LEADS  👥👥  a #VENTAS  💰💰💰  #SEOhashtag_x000a_Para tu #Emprendimiento, Para tu #PYME , Para tu EMPRESA _x000a_🔹 https://t.co/WHfzKbAkH0 https://t.co/rjQijW78NG"/>
    <s v="https://www.amazon.es/C%C3%93MO-ENCONTRAR-LOS-HASHTAGS-POTENTES-ebook/dp/B08D9W3Q3V/"/>
    <s v="amazon.es"/>
    <x v="0"/>
    <s v="https://pbs.twimg.com/media/Fgq-A3qWAAM8atW.jpg"/>
    <s v="https://pbs.twimg.com/media/Fgq-A3qWAAM8atW.jpg"/>
    <x v="21"/>
    <d v="2022-11-03T00:00:00.000"/>
    <s v="22:03:17"/>
    <s v="https://twitter.com/hashtagmarketi7/status/1588290746674733057"/>
    <m/>
    <m/>
    <s v="1588290746674733057"/>
    <m/>
    <b v="0"/>
    <n v="2"/>
    <s v=""/>
    <b v="0"/>
    <s v="es"/>
    <m/>
    <s v=""/>
    <b v="0"/>
    <n v="0"/>
    <s v=""/>
    <s v="Metricool"/>
    <b v="0"/>
    <s v="1588290746674733057"/>
    <s v="Tweet"/>
    <n v="0"/>
    <n v="0"/>
    <m/>
    <m/>
    <m/>
    <m/>
    <m/>
    <m/>
    <m/>
    <m/>
    <n v="28"/>
    <s v="1"/>
    <s v="1"/>
    <n v="1"/>
    <n v="4.761904761904762"/>
    <n v="0"/>
    <n v="0"/>
    <n v="0"/>
    <n v="0"/>
    <n v="14"/>
    <n v="66.66666666666667"/>
    <n v="21"/>
  </r>
  <r>
    <s v="hashtagmarketi7"/>
    <s v="hashtagmarketi7"/>
    <m/>
    <m/>
    <m/>
    <m/>
    <m/>
    <m/>
    <m/>
    <m/>
    <s v="No"/>
    <n v="40"/>
    <m/>
    <m/>
    <x v="3"/>
    <d v="2022-11-04T16:14:25.000"/>
    <s v="Comienza desde hoy a Posicionar tu #hashtags como todo un Experto  by #SEOhashtag https://t.co/BcCOa8fSJV"/>
    <s v="https://vivianfrancos.com/comienza-desde-hoy-a-posicionar-tu-hashtags-como-todo-un-experto/"/>
    <s v="vivianfrancos.com"/>
    <x v="10"/>
    <m/>
    <s v="https://pbs.twimg.com/profile_images/1487756429276684289/Kqq9xAOb_normal.png"/>
    <x v="22"/>
    <d v="2022-11-04T00:00:00.000"/>
    <s v="16:14:25"/>
    <s v="https://twitter.com/hashtagmarketi7/status/1588565337062121472"/>
    <m/>
    <m/>
    <s v="1588565337062121472"/>
    <m/>
    <b v="0"/>
    <n v="0"/>
    <s v=""/>
    <b v="0"/>
    <s v="es"/>
    <m/>
    <s v=""/>
    <b v="0"/>
    <n v="0"/>
    <s v=""/>
    <s v="Metricool"/>
    <b v="0"/>
    <s v="1588565337062121472"/>
    <s v="Tweet"/>
    <n v="0"/>
    <n v="0"/>
    <m/>
    <m/>
    <m/>
    <m/>
    <m/>
    <m/>
    <m/>
    <m/>
    <n v="28"/>
    <s v="1"/>
    <s v="1"/>
    <n v="0"/>
    <n v="0"/>
    <n v="0"/>
    <n v="0"/>
    <n v="0"/>
    <n v="0"/>
    <n v="8"/>
    <n v="61.53846153846154"/>
    <n v="13"/>
  </r>
  <r>
    <s v="hashtagmarketi7"/>
    <s v="hashtagmarketi7"/>
    <m/>
    <m/>
    <m/>
    <m/>
    <m/>
    <m/>
    <m/>
    <m/>
    <s v="No"/>
    <n v="41"/>
    <m/>
    <m/>
    <x v="3"/>
    <d v="2022-11-04T18:59:19.000"/>
    <s v="#SEOHashtag  ESTRATEGIA para #Twitter ADS exitosos: conocer de qué y cómo habla tu audiencia para incrementar resultados de impresiones e interacciones con mis herramientas favoritas #nodexl #Metricool  https://t.co/5YSRJpdwj7"/>
    <s v="https://vivianfrancos.com/estrategia-para-twitter-ads-exitosos-conocer-de-que-y-como-habla-tu-audiencia-para-incrementar-resultados-de-impresiones-e-interacciones/"/>
    <s v="vivianfrancos.com"/>
    <x v="11"/>
    <m/>
    <s v="https://pbs.twimg.com/profile_images/1487756429276684289/Kqq9xAOb_normal.png"/>
    <x v="23"/>
    <d v="2022-11-04T00:00:00.000"/>
    <s v="18:59:19"/>
    <s v="https://twitter.com/hashtagmarketi7/status/1588606838022471688"/>
    <m/>
    <m/>
    <s v="1588606838022471688"/>
    <m/>
    <b v="0"/>
    <n v="5"/>
    <s v=""/>
    <b v="0"/>
    <s v="es"/>
    <m/>
    <s v=""/>
    <b v="0"/>
    <n v="0"/>
    <s v=""/>
    <s v="Metricool"/>
    <b v="0"/>
    <s v="1588606838022471688"/>
    <s v="Tweet"/>
    <n v="0"/>
    <n v="0"/>
    <m/>
    <m/>
    <m/>
    <m/>
    <m/>
    <m/>
    <m/>
    <m/>
    <n v="28"/>
    <s v="1"/>
    <s v="1"/>
    <n v="0"/>
    <n v="0"/>
    <n v="0"/>
    <n v="0"/>
    <n v="0"/>
    <n v="0"/>
    <n v="21"/>
    <n v="77.77777777777777"/>
    <n v="27"/>
  </r>
  <r>
    <s v="hashtagmarketi7"/>
    <s v="hashtagmarketi7"/>
    <m/>
    <m/>
    <m/>
    <m/>
    <m/>
    <m/>
    <m/>
    <m/>
    <s v="No"/>
    <n v="42"/>
    <m/>
    <m/>
    <x v="3"/>
    <d v="2022-11-05T06:14:17.000"/>
    <s v="#YouTube  lleva los hashtags al siguiente nivel de importancia  by #SEOHashtag   https://t.co/ZFzJDV4y36"/>
    <s v="https://vivianfrancos.com/youtube-lleva-los-hashtags-al-siguiente-nivel-de-importancia-al-ofrecer-paginas-dedicadas/"/>
    <s v="vivianfrancos.com"/>
    <x v="12"/>
    <m/>
    <s v="https://pbs.twimg.com/profile_images/1487756429276684289/Kqq9xAOb_normal.png"/>
    <x v="24"/>
    <d v="2022-11-05T00:00:00.000"/>
    <s v="06:14:17"/>
    <s v="https://twitter.com/hashtagmarketi7/status/1588776699654717440"/>
    <m/>
    <m/>
    <s v="1588776699654717440"/>
    <m/>
    <b v="0"/>
    <n v="0"/>
    <s v=""/>
    <b v="0"/>
    <s v="es"/>
    <m/>
    <s v=""/>
    <b v="0"/>
    <n v="0"/>
    <s v=""/>
    <s v="Metricool"/>
    <b v="0"/>
    <s v="1588776699654717440"/>
    <s v="Tweet"/>
    <n v="0"/>
    <n v="0"/>
    <m/>
    <m/>
    <m/>
    <m/>
    <m/>
    <m/>
    <m/>
    <m/>
    <n v="28"/>
    <s v="1"/>
    <s v="1"/>
    <n v="0"/>
    <n v="0"/>
    <n v="0"/>
    <n v="0"/>
    <n v="0"/>
    <n v="0"/>
    <n v="7"/>
    <n v="63.63636363636363"/>
    <n v="11"/>
  </r>
  <r>
    <s v="hashtagmarketi7"/>
    <s v="hashtagmarketi7"/>
    <m/>
    <m/>
    <m/>
    <m/>
    <m/>
    <m/>
    <m/>
    <m/>
    <s v="No"/>
    <n v="43"/>
    <m/>
    <m/>
    <x v="3"/>
    <d v="2022-11-05T11:33:17.000"/>
    <s v="#SEOHashtag  #NodeXL Pro en formato Power BI completamente INTERACTIVO NodeXL Pro INSIGHTS es una plantilla de informe de Microsoft Power BI que permite la creación de informes de red interactivos  https://t.co/b6cS5QMLYp"/>
    <s v="https://vivianfrancos.com/nodexl-pro-en-formato-power-bi-completamente-interactivo/"/>
    <s v="vivianfrancos.com"/>
    <x v="13"/>
    <m/>
    <s v="https://pbs.twimg.com/profile_images/1487756429276684289/Kqq9xAOb_normal.png"/>
    <x v="25"/>
    <d v="2022-11-05T00:00:00.000"/>
    <s v="11:33:17"/>
    <s v="https://twitter.com/hashtagmarketi7/status/1588856977966481409"/>
    <m/>
    <m/>
    <s v="1588856977966481409"/>
    <m/>
    <b v="0"/>
    <n v="5"/>
    <s v=""/>
    <b v="0"/>
    <s v="es"/>
    <m/>
    <s v=""/>
    <b v="0"/>
    <n v="0"/>
    <s v=""/>
    <s v="Metricool"/>
    <b v="0"/>
    <s v="1588856977966481409"/>
    <s v="Tweet"/>
    <n v="0"/>
    <n v="0"/>
    <m/>
    <m/>
    <m/>
    <m/>
    <m/>
    <m/>
    <m/>
    <m/>
    <n v="28"/>
    <s v="1"/>
    <s v="1"/>
    <n v="0"/>
    <n v="0"/>
    <n v="0"/>
    <n v="0"/>
    <n v="0"/>
    <n v="0"/>
    <n v="21"/>
    <n v="70"/>
    <n v="30"/>
  </r>
  <r>
    <s v="hashtagmarketi7"/>
    <s v="hashtagmarketi7"/>
    <m/>
    <m/>
    <m/>
    <m/>
    <m/>
    <m/>
    <m/>
    <m/>
    <s v="No"/>
    <n v="44"/>
    <m/>
    <m/>
    <x v="3"/>
    <d v="2022-11-06T14:15:16.000"/>
    <s v="🔎 CÓMO ENCONTRAR LOS #HASHTAGS MÁS POTENTES_x000a_ Para convertir LEADS  👤👤👤  a  #VENTAS  💰💰💰  #SEOhashtag_x000a_Para tu #Emprendimiento, Para tu #PYME , Para tu EMPRESA_x000a_➡️ https://t.co/WHfzKbAkH0 https://t.co/V5Y15Tl2NJ"/>
    <s v="https://www.amazon.es/C%C3%93MO-ENCONTRAR-LOS-HASHTAGS-POTENTES-ebook/dp/B08D9W3Q3V/"/>
    <s v="amazon.es"/>
    <x v="0"/>
    <s v="https://pbs.twimg.com/media/Fg4vqZ3XEAATgAg.jpg"/>
    <s v="https://pbs.twimg.com/media/Fg4vqZ3XEAATgAg.jpg"/>
    <x v="26"/>
    <d v="2022-11-06T00:00:00.000"/>
    <s v="14:15:16"/>
    <s v="https://twitter.com/hashtagmarketi7/status/1589260130482372611"/>
    <m/>
    <m/>
    <s v="1589260130482372611"/>
    <m/>
    <b v="0"/>
    <n v="1"/>
    <s v=""/>
    <b v="0"/>
    <s v="es"/>
    <m/>
    <s v=""/>
    <b v="0"/>
    <n v="0"/>
    <s v=""/>
    <s v="Metricool"/>
    <b v="0"/>
    <s v="1589260130482372611"/>
    <s v="Tweet"/>
    <n v="0"/>
    <n v="0"/>
    <m/>
    <m/>
    <m/>
    <m/>
    <m/>
    <m/>
    <m/>
    <m/>
    <n v="28"/>
    <s v="1"/>
    <s v="1"/>
    <n v="1"/>
    <n v="4.761904761904762"/>
    <n v="0"/>
    <n v="0"/>
    <n v="0"/>
    <n v="0"/>
    <n v="14"/>
    <n v="66.66666666666667"/>
    <n v="21"/>
  </r>
  <r>
    <s v="hashtagmarketi7"/>
    <s v="hashtagmarketi7"/>
    <m/>
    <m/>
    <m/>
    <m/>
    <m/>
    <m/>
    <m/>
    <m/>
    <s v="No"/>
    <n v="45"/>
    <m/>
    <m/>
    <x v="3"/>
    <d v="2022-11-06T16:14:13.000"/>
    <s v="La importancia del posicionamiento en las #RedesSociales by #SEOhashtag  https://t.co/rN7DvRIfgb"/>
    <s v="https://vivianfrancos.com/la-importancia-del-posicionamiento-en-las-redessociales/"/>
    <s v="vivianfrancos.com"/>
    <x v="14"/>
    <m/>
    <s v="https://pbs.twimg.com/profile_images/1487756429276684289/Kqq9xAOb_normal.png"/>
    <x v="27"/>
    <d v="2022-11-06T00:00:00.000"/>
    <s v="16:14:13"/>
    <s v="https://twitter.com/hashtagmarketi7/status/1589290064709918722"/>
    <m/>
    <m/>
    <s v="1589290064709918722"/>
    <m/>
    <b v="0"/>
    <n v="1"/>
    <s v=""/>
    <b v="0"/>
    <s v="es"/>
    <m/>
    <s v=""/>
    <b v="0"/>
    <n v="0"/>
    <s v=""/>
    <s v="Metricool"/>
    <b v="0"/>
    <s v="1589290064709918722"/>
    <s v="Tweet"/>
    <n v="0"/>
    <n v="0"/>
    <m/>
    <m/>
    <m/>
    <m/>
    <m/>
    <m/>
    <m/>
    <m/>
    <n v="28"/>
    <s v="1"/>
    <s v="1"/>
    <n v="0"/>
    <n v="0"/>
    <n v="0"/>
    <n v="0"/>
    <n v="0"/>
    <n v="0"/>
    <n v="4"/>
    <n v="44.44444444444444"/>
    <n v="9"/>
  </r>
  <r>
    <s v="hashtagmarketi7"/>
    <s v="hashtagmarketi7"/>
    <m/>
    <m/>
    <m/>
    <m/>
    <m/>
    <m/>
    <m/>
    <m/>
    <s v="No"/>
    <n v="46"/>
    <m/>
    <m/>
    <x v="3"/>
    <d v="2022-11-06T22:03:16.000"/>
    <s v="🌐 ¡Gestiona tus #redessociales aprovechando la viralidad de los #hashtags de los que habla tu audiencia! 🌐  #seohashtag _x000a_Ya disponible en #amazon #ebook #MarketingDigital_x000a_#️⃣https://t.co/WHfzKbAkH0 https://t.co/uaoprvWH9A"/>
    <s v="https://www.amazon.es/C%C3%93MO-ENCONTRAR-LOS-HASHTAGS-POTENTES-ebook/dp/B08D9W3Q3V/"/>
    <s v="amazon.es"/>
    <x v="3"/>
    <s v="https://pbs.twimg.com/media/Fg6axwrXkAI7yGY.jpg"/>
    <s v="https://pbs.twimg.com/media/Fg6axwrXkAI7yGY.jpg"/>
    <x v="28"/>
    <d v="2022-11-06T00:00:00.000"/>
    <s v="22:03:16"/>
    <s v="https://twitter.com/hashtagmarketi7/status/1589377904055656449"/>
    <m/>
    <m/>
    <s v="1589377904055656449"/>
    <m/>
    <b v="0"/>
    <n v="2"/>
    <s v=""/>
    <b v="0"/>
    <s v="es"/>
    <m/>
    <s v=""/>
    <b v="0"/>
    <n v="1"/>
    <s v=""/>
    <s v="Metricool"/>
    <b v="0"/>
    <s v="1589377904055656449"/>
    <s v="Tweet"/>
    <n v="0"/>
    <n v="0"/>
    <m/>
    <m/>
    <m/>
    <m/>
    <m/>
    <m/>
    <m/>
    <m/>
    <n v="28"/>
    <s v="1"/>
    <s v="1"/>
    <n v="0"/>
    <n v="0"/>
    <n v="0"/>
    <n v="0"/>
    <n v="0"/>
    <n v="0"/>
    <n v="18"/>
    <n v="69.23076923076923"/>
    <n v="26"/>
  </r>
  <r>
    <s v="hashtagmarketi7"/>
    <s v="hashtagmarketi7"/>
    <m/>
    <m/>
    <m/>
    <m/>
    <m/>
    <m/>
    <m/>
    <m/>
    <s v="No"/>
    <n v="47"/>
    <m/>
    <m/>
    <x v="3"/>
    <d v="2022-11-07T13:30:47.000"/>
    <s v="The #Twitter Rules  #SEOhashtag https://t.co/TBT7Id3kGA"/>
    <s v="https://help.twitter.com/en/rules-and-policies/twitter-rules"/>
    <s v="twitter.com"/>
    <x v="15"/>
    <m/>
    <s v="https://pbs.twimg.com/profile_images/1487756429276684289/Kqq9xAOb_normal.png"/>
    <x v="29"/>
    <d v="2022-11-07T00:00:00.000"/>
    <s v="13:30:47"/>
    <s v="https://twitter.com/hashtagmarketi7/status/1589611323247448065"/>
    <m/>
    <m/>
    <s v="1589611323247448065"/>
    <m/>
    <b v="0"/>
    <n v="0"/>
    <s v=""/>
    <b v="0"/>
    <s v="en"/>
    <m/>
    <s v=""/>
    <b v="0"/>
    <n v="0"/>
    <s v=""/>
    <s v="Twitter Web App"/>
    <b v="0"/>
    <s v="1589611323247448065"/>
    <s v="Tweet"/>
    <n v="0"/>
    <n v="0"/>
    <m/>
    <m/>
    <m/>
    <m/>
    <m/>
    <m/>
    <m/>
    <m/>
    <n v="28"/>
    <s v="1"/>
    <s v="1"/>
    <n v="0"/>
    <n v="0"/>
    <n v="0"/>
    <n v="0"/>
    <n v="0"/>
    <n v="0"/>
    <n v="3"/>
    <n v="75"/>
    <n v="4"/>
  </r>
  <r>
    <s v="hashtagmarketi7"/>
    <s v="hashtagmarketi7"/>
    <m/>
    <m/>
    <m/>
    <m/>
    <m/>
    <m/>
    <m/>
    <m/>
    <s v="No"/>
    <n v="48"/>
    <m/>
    <m/>
    <x v="3"/>
    <d v="2022-11-07T16:14:21.000"/>
    <s v="Las #RedesSociales y el #Bitcoin : ¿se aman o se odian?  by #SEOhashtag_x000a_Cuando hablan por #RedesSociales de #Bitcoin las audiencias generan pasiones  https://t.co/IsM9M4AS4Y"/>
    <s v="https://vivianfrancos.com/las-redessociales-y-el-bitcoin-se-aman-o-se-odian/"/>
    <s v="vivianfrancos.com"/>
    <x v="16"/>
    <m/>
    <s v="https://pbs.twimg.com/profile_images/1487756429276684289/Kqq9xAOb_normal.png"/>
    <x v="30"/>
    <d v="2022-11-07T00:00:00.000"/>
    <s v="16:14:21"/>
    <s v="https://twitter.com/hashtagmarketi7/status/1589652486364749825"/>
    <m/>
    <m/>
    <s v="1589652486364749825"/>
    <m/>
    <b v="0"/>
    <n v="0"/>
    <s v=""/>
    <b v="0"/>
    <s v="es"/>
    <m/>
    <s v=""/>
    <b v="0"/>
    <n v="0"/>
    <s v=""/>
    <s v="Metricool"/>
    <b v="0"/>
    <s v="1589652486364749825"/>
    <s v="Tweet"/>
    <n v="0"/>
    <n v="0"/>
    <m/>
    <m/>
    <m/>
    <m/>
    <m/>
    <m/>
    <m/>
    <m/>
    <n v="28"/>
    <s v="1"/>
    <s v="1"/>
    <n v="0"/>
    <n v="0"/>
    <n v="0"/>
    <n v="0"/>
    <n v="0"/>
    <n v="0"/>
    <n v="12"/>
    <n v="54.54545454545455"/>
    <n v="22"/>
  </r>
  <r>
    <s v="hashtagmarketi7"/>
    <s v="hashtagmarketi7"/>
    <m/>
    <m/>
    <m/>
    <m/>
    <m/>
    <m/>
    <m/>
    <m/>
    <s v="No"/>
    <n v="49"/>
    <m/>
    <m/>
    <x v="3"/>
    <d v="2022-11-08T10:13:52.000"/>
    <s v="Creo que #ElonMusk va a vivir en carne propia lo que vivimos a diario los especialistas en #MarketingDigital _x000a_          ⭐️ Nuestro trabajo VALE MUCHO!! ⭐️_x000a_   ⚡️ Pero muy pocos están dispuestos a pagarlo! ⚡️_x000a_🚨¿Les pasa igual?  ¿O soy solo YO?🚨#SEOhashtag https://t.co/LA42yCS8qX"/>
    <s v="https://twitter.com/elonmusk/status/1589791846737522688"/>
    <s v="twitter.com"/>
    <x v="4"/>
    <m/>
    <s v="https://pbs.twimg.com/profile_images/1487756429276684289/Kqq9xAOb_normal.png"/>
    <x v="31"/>
    <d v="2022-11-08T00:00:00.000"/>
    <s v="10:13:52"/>
    <s v="https://twitter.com/hashtagmarketi7/status/1589924153452548097"/>
    <m/>
    <m/>
    <s v="1589924153452548097"/>
    <m/>
    <b v="0"/>
    <n v="8"/>
    <s v=""/>
    <b v="1"/>
    <s v="es"/>
    <m/>
    <s v="1589791846737522688"/>
    <b v="0"/>
    <n v="3"/>
    <s v=""/>
    <s v="Twitter Web App"/>
    <b v="0"/>
    <s v="1589924153452548097"/>
    <s v="Tweet"/>
    <n v="0"/>
    <n v="0"/>
    <m/>
    <m/>
    <m/>
    <m/>
    <m/>
    <m/>
    <m/>
    <m/>
    <n v="28"/>
    <s v="1"/>
    <s v="1"/>
    <n v="0"/>
    <n v="0"/>
    <n v="0"/>
    <n v="0"/>
    <n v="0"/>
    <n v="0"/>
    <n v="23"/>
    <n v="62.16216216216216"/>
    <n v="37"/>
  </r>
  <r>
    <s v="hashtagmarketi7"/>
    <s v="hashtagmarketi7"/>
    <m/>
    <m/>
    <m/>
    <m/>
    <m/>
    <m/>
    <m/>
    <m/>
    <s v="No"/>
    <n v="50"/>
    <m/>
    <m/>
    <x v="3"/>
    <d v="2022-11-08T11:33:29.000"/>
    <s v="Check out ⭐️ 2023 Winter School Social Networks &amp;amp; #NodeXL Pro “a few clicks to insights” on #Eventbrite _x000a__x000a_🔹 Our Winter School will introduce you to #socialnetwork analysis of #socialmedia data for academic #research #ScienceTwitter #PhDchat #SEOhashtag_x000a__x000a_https://t.co/yCmFW6F6XA"/>
    <s v="https://eventbrite.com/e/2023-winter-school-social-networks-nodexl-pro-a-few-clicks-to-insights-tickets-393167403287"/>
    <s v="eventbrite.com"/>
    <x v="2"/>
    <m/>
    <s v="https://pbs.twimg.com/profile_images/1487756429276684289/Kqq9xAOb_normal.png"/>
    <x v="32"/>
    <d v="2022-11-08T00:00:00.000"/>
    <s v="11:33:29"/>
    <s v="https://twitter.com/hashtagmarketi7/status/1589944189516759045"/>
    <m/>
    <m/>
    <s v="1589944189516759045"/>
    <m/>
    <b v="0"/>
    <n v="4"/>
    <s v=""/>
    <b v="0"/>
    <s v="en"/>
    <m/>
    <s v=""/>
    <b v="0"/>
    <n v="1"/>
    <s v=""/>
    <s v="Metricool"/>
    <b v="0"/>
    <s v="1589944189516759045"/>
    <s v="Tweet"/>
    <n v="0"/>
    <n v="0"/>
    <m/>
    <m/>
    <m/>
    <m/>
    <m/>
    <m/>
    <m/>
    <m/>
    <n v="28"/>
    <s v="1"/>
    <s v="1"/>
    <n v="0"/>
    <n v="0"/>
    <n v="0"/>
    <n v="0"/>
    <n v="0"/>
    <n v="0"/>
    <n v="25"/>
    <n v="71.42857142857143"/>
    <n v="35"/>
  </r>
  <r>
    <s v="hashtagmarketi7"/>
    <s v="hashtagmarketi7"/>
    <m/>
    <m/>
    <m/>
    <m/>
    <m/>
    <m/>
    <m/>
    <m/>
    <s v="No"/>
    <n v="51"/>
    <m/>
    <m/>
    <x v="3"/>
    <d v="2022-11-08T14:15:49.000"/>
    <s v="💡  CÓMO ENCONTRAR LOS #HASHTAGS MÁS POTENTES 💡_x000a_📈  Para convertir LEADS 👥👥👥  a #VENTAS  💰💰💰  #SEOhashtag_x000a_Para tu #Emprendimiento, Para tu #PYME , Para tu EMPRESA _x000a_⭐️ https://t.co/WHfzKbAkH0 https://t.co/ynoXwxIUVE"/>
    <s v="https://www.amazon.es/C%C3%93MO-ENCONTRAR-LOS-HASHTAGS-POTENTES-ebook/dp/B08D9W3Q3V/"/>
    <s v="amazon.es"/>
    <x v="0"/>
    <s v="https://pbs.twimg.com/media/FhDC93cWAAEe49X.jpg"/>
    <s v="https://pbs.twimg.com/media/FhDC93cWAAEe49X.jpg"/>
    <x v="33"/>
    <d v="2022-11-08T00:00:00.000"/>
    <s v="14:15:49"/>
    <s v="https://twitter.com/hashtagmarketi7/status/1589985042645778435"/>
    <m/>
    <m/>
    <s v="1589985042645778435"/>
    <m/>
    <b v="0"/>
    <n v="0"/>
    <s v=""/>
    <b v="0"/>
    <s v="es"/>
    <m/>
    <s v=""/>
    <b v="0"/>
    <n v="0"/>
    <s v=""/>
    <s v="Metricool"/>
    <b v="0"/>
    <s v="1589985042645778435"/>
    <s v="Tweet"/>
    <n v="0"/>
    <n v="0"/>
    <m/>
    <m/>
    <m/>
    <m/>
    <m/>
    <m/>
    <m/>
    <m/>
    <n v="28"/>
    <s v="1"/>
    <s v="1"/>
    <n v="1"/>
    <n v="4.761904761904762"/>
    <n v="0"/>
    <n v="0"/>
    <n v="0"/>
    <n v="0"/>
    <n v="14"/>
    <n v="66.66666666666667"/>
    <n v="21"/>
  </r>
  <r>
    <s v="hashtagmarketi7"/>
    <s v="hashtagmarketi7"/>
    <m/>
    <m/>
    <m/>
    <m/>
    <m/>
    <m/>
    <m/>
    <m/>
    <s v="No"/>
    <n v="52"/>
    <m/>
    <m/>
    <x v="3"/>
    <d v="2022-11-08T18:03:38.000"/>
    <s v="#SEOhashtag  ¿Cómo usar #Hashtag para aumentar las #ventas  ?  https://t.co/RGg4XY3exc"/>
    <s v="https://vivianfrancos.com/como-usar-hashtag-para-aumentar-las-ventas/"/>
    <s v="vivianfrancos.com"/>
    <x v="17"/>
    <m/>
    <s v="https://pbs.twimg.com/profile_images/1487756429276684289/Kqq9xAOb_normal.png"/>
    <x v="34"/>
    <d v="2022-11-08T00:00:00.000"/>
    <s v="18:03:38"/>
    <s v="https://twitter.com/hashtagmarketi7/status/1590042373312188416"/>
    <m/>
    <m/>
    <s v="1590042373312188416"/>
    <m/>
    <b v="0"/>
    <n v="0"/>
    <s v=""/>
    <b v="0"/>
    <s v="es"/>
    <m/>
    <s v=""/>
    <b v="0"/>
    <n v="0"/>
    <s v=""/>
    <s v="Metricool"/>
    <b v="0"/>
    <s v="1590042373312188416"/>
    <s v="Tweet"/>
    <n v="0"/>
    <n v="0"/>
    <m/>
    <m/>
    <m/>
    <m/>
    <m/>
    <m/>
    <m/>
    <m/>
    <n v="28"/>
    <s v="1"/>
    <s v="1"/>
    <n v="0"/>
    <n v="0"/>
    <n v="0"/>
    <n v="0"/>
    <n v="0"/>
    <n v="0"/>
    <n v="6"/>
    <n v="75"/>
    <n v="8"/>
  </r>
  <r>
    <s v="hashtagmarketi7"/>
    <s v="hashtagmarketi7"/>
    <m/>
    <m/>
    <m/>
    <m/>
    <m/>
    <m/>
    <m/>
    <m/>
    <s v="No"/>
    <n v="53"/>
    <m/>
    <m/>
    <x v="3"/>
    <d v="2022-11-08T22:03:18.000"/>
    <s v="💡 CÓMO ENCONTRAR LOS #HASHTAGS MÁS POTENTES 💡_x000a_Para convertir 👥👥👥 LEADS a  #VENTAS 💰💰💰  #SEOhashtag _x000a_Para tu #Emprendimiento, Para tu #PYME , Para tu EMPRESA _x000a_#️⃣ https://t.co/WHfzKbAkH0 https://t.co/SDqa4pnyGH"/>
    <s v="https://www.amazon.es/C%C3%93MO-ENCONTRAR-LOS-HASHTAGS-POTENTES-ebook/dp/B08D9W3Q3V/"/>
    <s v="amazon.es"/>
    <x v="0"/>
    <s v="https://pbs.twimg.com/media/FhEt9swWIAEeDsv.jpg"/>
    <s v="https://pbs.twimg.com/media/FhEt9swWIAEeDsv.jpg"/>
    <x v="35"/>
    <d v="2022-11-08T00:00:00.000"/>
    <s v="22:03:18"/>
    <s v="https://twitter.com/hashtagmarketi7/status/1590102687592419330"/>
    <m/>
    <m/>
    <s v="1590102687592419330"/>
    <m/>
    <b v="0"/>
    <n v="0"/>
    <s v=""/>
    <b v="0"/>
    <s v="es"/>
    <m/>
    <s v=""/>
    <b v="0"/>
    <n v="0"/>
    <s v=""/>
    <s v="Metricool"/>
    <b v="0"/>
    <s v="1590102687592419330"/>
    <s v="Tweet"/>
    <n v="0"/>
    <n v="0"/>
    <m/>
    <m/>
    <m/>
    <m/>
    <m/>
    <m/>
    <m/>
    <m/>
    <n v="28"/>
    <s v="1"/>
    <s v="1"/>
    <n v="1"/>
    <n v="4.761904761904762"/>
    <n v="0"/>
    <n v="0"/>
    <n v="0"/>
    <n v="0"/>
    <n v="14"/>
    <n v="66.66666666666667"/>
    <n v="21"/>
  </r>
  <r>
    <s v="hashtagmarketi7"/>
    <s v="hashtagmarketi7"/>
    <m/>
    <m/>
    <m/>
    <m/>
    <m/>
    <m/>
    <m/>
    <m/>
    <s v="No"/>
    <n v="54"/>
    <m/>
    <m/>
    <x v="3"/>
    <d v="2022-11-09T16:14:34.000"/>
    <s v="#Hashtags para #Pinterest : Todo lo que necesitas saber  !   by #SEOhashtag  https://t.co/y9YLwyiich"/>
    <s v="https://vivianfrancos.com/hashtags-para-pinterest-esto-es-todo-lo-que-necesitas-saber/"/>
    <s v="vivianfrancos.com"/>
    <x v="18"/>
    <m/>
    <s v="https://pbs.twimg.com/profile_images/1487756429276684289/Kqq9xAOb_normal.png"/>
    <x v="36"/>
    <d v="2022-11-09T00:00:00.000"/>
    <s v="16:14:34"/>
    <s v="https://twitter.com/hashtagmarketi7/status/1590377314206076935"/>
    <m/>
    <m/>
    <s v="1590377314206076935"/>
    <m/>
    <b v="0"/>
    <n v="0"/>
    <s v=""/>
    <b v="0"/>
    <s v="es"/>
    <m/>
    <s v=""/>
    <b v="0"/>
    <n v="0"/>
    <s v=""/>
    <s v="Metricool"/>
    <b v="0"/>
    <s v="1590377314206076935"/>
    <s v="Tweet"/>
    <n v="0"/>
    <n v="0"/>
    <m/>
    <m/>
    <m/>
    <m/>
    <m/>
    <m/>
    <m/>
    <m/>
    <n v="28"/>
    <s v="1"/>
    <s v="1"/>
    <n v="0"/>
    <n v="0"/>
    <n v="0"/>
    <n v="0"/>
    <n v="0"/>
    <n v="0"/>
    <n v="5"/>
    <n v="50"/>
    <n v="10"/>
  </r>
  <r>
    <s v="hashtagmarketi7"/>
    <s v="hashtagmarketi7"/>
    <m/>
    <m/>
    <m/>
    <m/>
    <m/>
    <m/>
    <m/>
    <m/>
    <s v="No"/>
    <n v="55"/>
    <m/>
    <m/>
    <x v="3"/>
    <d v="2022-11-10T06:14:18.000"/>
    <s v="Revisa esta guía de #hashtags en  #TikTok    by #seohashtag https://t.co/x6bdAvUiJV"/>
    <s v="https://vivianfrancos.com/revisa-esta-guia-de-hashtags-en-tiktok/"/>
    <s v="vivianfrancos.com"/>
    <x v="19"/>
    <m/>
    <s v="https://pbs.twimg.com/profile_images/1487756429276684289/Kqq9xAOb_normal.png"/>
    <x v="37"/>
    <d v="2022-11-10T00:00:00.000"/>
    <s v="06:14:18"/>
    <s v="https://twitter.com/hashtagmarketi7/status/1590588641650348033"/>
    <m/>
    <m/>
    <s v="1590588641650348033"/>
    <m/>
    <b v="0"/>
    <n v="0"/>
    <s v=""/>
    <b v="0"/>
    <s v="es"/>
    <m/>
    <s v=""/>
    <b v="0"/>
    <n v="0"/>
    <s v=""/>
    <s v="Metricool"/>
    <b v="0"/>
    <s v="1590588641650348033"/>
    <s v="Tweet"/>
    <n v="0"/>
    <n v="0"/>
    <m/>
    <m/>
    <m/>
    <m/>
    <m/>
    <m/>
    <m/>
    <m/>
    <n v="28"/>
    <s v="1"/>
    <s v="1"/>
    <n v="0"/>
    <n v="0"/>
    <n v="0"/>
    <n v="0"/>
    <n v="0"/>
    <n v="0"/>
    <n v="5"/>
    <n v="55.55555555555556"/>
    <n v="9"/>
  </r>
  <r>
    <s v="hashtagmarketi7"/>
    <s v="hashtagmarketi7"/>
    <m/>
    <m/>
    <m/>
    <m/>
    <m/>
    <m/>
    <m/>
    <m/>
    <s v="No"/>
    <n v="56"/>
    <m/>
    <m/>
    <x v="3"/>
    <d v="2022-11-10T11:33:16.000"/>
    <s v="#SEOHashtag  ESTRATEGIA para #Twitter ADS exitosos: conocer de qué y cómo habla tu audiencia para incrementar resultados de impresiones e interacciones con mis herramientas favoritas #nodexl #Metricool  https://t.co/v0Iyb42kHe"/>
    <s v="https://vivianfrancos.com/estrategia-para-twitter-ads-exitosos-conocer-de-que-y-como-habla-tu-audiencia-para-incrementar-resultados-de-impresiones-e-interacciones/"/>
    <s v="vivianfrancos.com"/>
    <x v="11"/>
    <m/>
    <s v="https://pbs.twimg.com/profile_images/1487756429276684289/Kqq9xAOb_normal.png"/>
    <x v="38"/>
    <d v="2022-11-10T00:00:00.000"/>
    <s v="11:33:16"/>
    <s v="https://twitter.com/hashtagmarketi7/status/1590668912617832448"/>
    <m/>
    <m/>
    <s v="1590668912617832448"/>
    <m/>
    <b v="0"/>
    <n v="3"/>
    <s v=""/>
    <b v="0"/>
    <s v="es"/>
    <m/>
    <s v=""/>
    <b v="0"/>
    <n v="0"/>
    <s v=""/>
    <s v="Metricool"/>
    <b v="0"/>
    <s v="1590668912617832448"/>
    <s v="Tweet"/>
    <n v="0"/>
    <n v="0"/>
    <m/>
    <m/>
    <m/>
    <m/>
    <m/>
    <m/>
    <m/>
    <m/>
    <n v="28"/>
    <s v="1"/>
    <s v="1"/>
    <n v="0"/>
    <n v="0"/>
    <n v="0"/>
    <n v="0"/>
    <n v="0"/>
    <n v="0"/>
    <n v="21"/>
    <n v="77.77777777777777"/>
    <n v="27"/>
  </r>
  <r>
    <s v="hashtagmarketi7"/>
    <s v="hashtagmarketi7"/>
    <m/>
    <m/>
    <m/>
    <m/>
    <m/>
    <m/>
    <m/>
    <m/>
    <s v="No"/>
    <n v="57"/>
    <m/>
    <m/>
    <x v="3"/>
    <d v="2022-11-10T14:15:33.000"/>
    <s v="¡Llegó el momento  🚀 de sacarle provecho a los #hastags en las #RedesSociales  _x000a_▶  Ya disponible en #amazon #ebook  #MarketingDigital_x000a_by #Seohashtag  https://t.co/WHfzKbAkH0 https://t.co/fna6ZgzD5i"/>
    <s v="https://www.amazon.es/C%C3%93MO-ENCONTRAR-LOS-HASHTAGS-POTENTES-ebook/dp/B08D9W3Q3V/"/>
    <s v="amazon.es"/>
    <x v="8"/>
    <s v="https://pbs.twimg.com/media/FhNWFaLWIAYjlxr.jpg"/>
    <s v="https://pbs.twimg.com/media/FhNWFaLWIAYjlxr.jpg"/>
    <x v="39"/>
    <d v="2022-11-10T00:00:00.000"/>
    <s v="14:15:33"/>
    <s v="https://twitter.com/hashtagmarketi7/status/1590709750584561664"/>
    <m/>
    <m/>
    <s v="1590709750584561664"/>
    <m/>
    <b v="0"/>
    <n v="0"/>
    <s v=""/>
    <b v="0"/>
    <s v="es"/>
    <m/>
    <s v=""/>
    <b v="0"/>
    <n v="0"/>
    <s v=""/>
    <s v="Metricool"/>
    <b v="0"/>
    <s v="1590709750584561664"/>
    <s v="Tweet"/>
    <n v="0"/>
    <n v="0"/>
    <m/>
    <m/>
    <m/>
    <m/>
    <m/>
    <m/>
    <m/>
    <m/>
    <n v="28"/>
    <s v="1"/>
    <s v="1"/>
    <n v="0"/>
    <n v="0"/>
    <n v="0"/>
    <n v="0"/>
    <n v="0"/>
    <n v="0"/>
    <n v="11"/>
    <n v="55"/>
    <n v="20"/>
  </r>
  <r>
    <s v="hashtagmarketi7"/>
    <s v="hashtagmarketi7"/>
    <m/>
    <m/>
    <m/>
    <m/>
    <m/>
    <m/>
    <m/>
    <m/>
    <s v="No"/>
    <n v="58"/>
    <m/>
    <m/>
    <x v="3"/>
    <d v="2022-11-10T15:07:50.000"/>
    <s v="El arte de la guerra #SunTzu en #redessociales #DigitalWARroom_x000a_by #seohashtag https://t.co/4dXwpyo3CH"/>
    <s v="https://www.linkedin.com/feed/update/urn:li:ugcPost:6996488536824659969"/>
    <s v="linkedin.com"/>
    <x v="20"/>
    <m/>
    <s v="https://pbs.twimg.com/profile_images/1487756429276684289/Kqq9xAOb_normal.png"/>
    <x v="40"/>
    <d v="2022-11-10T00:00:00.000"/>
    <s v="15:07:50"/>
    <s v="https://twitter.com/hashtagmarketi7/status/1590722911433678848"/>
    <m/>
    <m/>
    <s v="1590722911433678848"/>
    <m/>
    <b v="0"/>
    <n v="1"/>
    <s v=""/>
    <b v="0"/>
    <s v="es"/>
    <m/>
    <s v=""/>
    <b v="0"/>
    <n v="0"/>
    <s v=""/>
    <s v="LinkedIn"/>
    <b v="0"/>
    <s v="1590722911433678848"/>
    <s v="Tweet"/>
    <n v="0"/>
    <n v="0"/>
    <m/>
    <m/>
    <m/>
    <m/>
    <m/>
    <m/>
    <m/>
    <m/>
    <n v="28"/>
    <s v="1"/>
    <s v="1"/>
    <n v="0"/>
    <n v="0"/>
    <n v="0"/>
    <n v="0"/>
    <n v="0"/>
    <n v="0"/>
    <n v="6"/>
    <n v="54.54545454545455"/>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8">
    <i>
      <x v="1"/>
    </i>
    <i r="1">
      <x v="11"/>
    </i>
    <i r="2">
      <x v="306"/>
    </i>
    <i r="3">
      <x v="7"/>
    </i>
    <i r="3">
      <x v="15"/>
    </i>
    <i r="3">
      <x v="19"/>
    </i>
    <i r="3">
      <x v="23"/>
    </i>
    <i r="2">
      <x v="307"/>
    </i>
    <i r="3">
      <x v="12"/>
    </i>
    <i r="3">
      <x v="14"/>
    </i>
    <i r="3">
      <x v="16"/>
    </i>
    <i r="3">
      <x v="17"/>
    </i>
    <i r="3">
      <x v="19"/>
    </i>
    <i r="3">
      <x v="21"/>
    </i>
    <i r="2">
      <x v="308"/>
    </i>
    <i r="3">
      <x v="7"/>
    </i>
    <i r="3">
      <x v="15"/>
    </i>
    <i r="3">
      <x v="17"/>
    </i>
    <i r="3">
      <x v="23"/>
    </i>
    <i r="2">
      <x v="309"/>
    </i>
    <i r="3">
      <x v="17"/>
    </i>
    <i r="3">
      <x v="19"/>
    </i>
    <i r="2">
      <x v="310"/>
    </i>
    <i r="3">
      <x v="7"/>
    </i>
    <i r="3">
      <x v="12"/>
    </i>
    <i r="2">
      <x v="311"/>
    </i>
    <i r="3">
      <x v="15"/>
    </i>
    <i r="3">
      <x v="17"/>
    </i>
    <i r="3">
      <x v="23"/>
    </i>
    <i r="2">
      <x v="312"/>
    </i>
    <i r="3">
      <x v="14"/>
    </i>
    <i r="3">
      <x v="17"/>
    </i>
    <i r="2">
      <x v="313"/>
    </i>
    <i r="3">
      <x v="11"/>
    </i>
    <i r="3">
      <x v="12"/>
    </i>
    <i r="3">
      <x v="14"/>
    </i>
    <i r="3">
      <x v="15"/>
    </i>
    <i r="3">
      <x v="19"/>
    </i>
    <i r="3">
      <x v="22"/>
    </i>
    <i r="3">
      <x v="23"/>
    </i>
    <i r="2">
      <x v="314"/>
    </i>
    <i r="3">
      <x v="17"/>
    </i>
    <i r="2">
      <x v="315"/>
    </i>
    <i r="3">
      <x v="7"/>
    </i>
    <i r="3">
      <x v="12"/>
    </i>
    <i r="3">
      <x v="15"/>
    </i>
    <i r="3">
      <x v="1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5" name="TimeSeries"/>
  </pivotTables>
  <data>
    <tabular pivotCacheId="1224355772">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5" name="TimeSeries"/>
  </pivotTables>
  <data>
    <tabular pivotCacheId="1224355772">
      <items count="21">
        <i x="4" s="1"/>
        <i x="6" s="1"/>
        <i x="18" s="1"/>
        <i x="10" s="1"/>
        <i x="19" s="1"/>
        <i x="0" s="1"/>
        <i x="8" s="1"/>
        <i x="9" s="1"/>
        <i x="2" s="1"/>
        <i x="16" s="1"/>
        <i x="3" s="1"/>
        <i x="14" s="1"/>
        <i x="1" s="1"/>
        <i x="17" s="1"/>
        <i x="5" s="1"/>
        <i x="13" s="1"/>
        <i x="11" s="1"/>
        <i x="20" s="1"/>
        <i x="7" s="1"/>
        <i x="15"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58" totalsRowShown="0" headerRowDxfId="373" dataDxfId="372">
  <autoFilter ref="A2:BN58"/>
  <tableColumns count="66">
    <tableColumn id="1" name="Vertex 1" dataDxfId="322"/>
    <tableColumn id="2" name="Vertex 2" dataDxfId="320"/>
    <tableColumn id="3" name="Color" dataDxfId="321"/>
    <tableColumn id="4" name="Width" dataDxfId="371"/>
    <tableColumn id="11" name="Style" dataDxfId="370"/>
    <tableColumn id="5" name="Opacity" dataDxfId="369"/>
    <tableColumn id="6" name="Visibility" dataDxfId="368"/>
    <tableColumn id="10" name="Label" dataDxfId="367"/>
    <tableColumn id="12" name="Label Text Color" dataDxfId="366"/>
    <tableColumn id="13" name="Label Font Size" dataDxfId="365"/>
    <tableColumn id="14" name="Reciprocated?" dataDxfId="226"/>
    <tableColumn id="7" name="ID" dataDxfId="364"/>
    <tableColumn id="9" name="Dynamic Filter" dataDxfId="363"/>
    <tableColumn id="8" name="Add Your Own Columns Here" dataDxfId="319"/>
    <tableColumn id="15" name="Relationship" dataDxfId="318"/>
    <tableColumn id="16" name="Relationship Date (UTC)" dataDxfId="317"/>
    <tableColumn id="17" name="Tweet" dataDxfId="316"/>
    <tableColumn id="18" name="URLs in Tweet" dataDxfId="315"/>
    <tableColumn id="19" name="Domains in Tweet" dataDxfId="314"/>
    <tableColumn id="20" name="Hashtags in Tweet" dataDxfId="313"/>
    <tableColumn id="21" name="Media in Tweet" dataDxfId="312"/>
    <tableColumn id="22" name="Tweet Image File" dataDxfId="311"/>
    <tableColumn id="23" name="Tweet Date (UTC)" dataDxfId="310"/>
    <tableColumn id="24" name="Date" dataDxfId="309"/>
    <tableColumn id="25" name="Time" dataDxfId="308"/>
    <tableColumn id="26" name="Twitter Page for Tweet" dataDxfId="307"/>
    <tableColumn id="27" name="Latitude" dataDxfId="306"/>
    <tableColumn id="28" name="Longitude" dataDxfId="305"/>
    <tableColumn id="29" name="Imported ID" dataDxfId="304"/>
    <tableColumn id="30" name="In-Reply-To Tweet ID" dataDxfId="303"/>
    <tableColumn id="31" name="Favorited" dataDxfId="302"/>
    <tableColumn id="32" name="Favorite Count" dataDxfId="301"/>
    <tableColumn id="33" name="In-Reply-To User ID" dataDxfId="300"/>
    <tableColumn id="34" name="Is Quote Status" dataDxfId="299"/>
    <tableColumn id="35" name="Language" dataDxfId="298"/>
    <tableColumn id="36" name="Possibly Sensitive" dataDxfId="297"/>
    <tableColumn id="37" name="Quoted Status ID" dataDxfId="296"/>
    <tableColumn id="38" name="Retweeted" dataDxfId="295"/>
    <tableColumn id="39" name="Retweet Count" dataDxfId="294"/>
    <tableColumn id="40" name="Retweet ID" dataDxfId="293"/>
    <tableColumn id="41" name="Source" dataDxfId="292"/>
    <tableColumn id="42" name="Truncated" dataDxfId="291"/>
    <tableColumn id="43" name="Unified Twitter ID" dataDxfId="290"/>
    <tableColumn id="44" name="Imported Tweet Type" dataDxfId="289"/>
    <tableColumn id="45" name="Added By Extended Analysis" dataDxfId="288"/>
    <tableColumn id="46" name="Corrected By Extended Analysis" dataDxfId="287"/>
    <tableColumn id="47" name="Place Bounding Box" dataDxfId="286"/>
    <tableColumn id="48" name="Place Country" dataDxfId="285"/>
    <tableColumn id="49" name="Place Country Code" dataDxfId="284"/>
    <tableColumn id="50" name="Place Full Name" dataDxfId="283"/>
    <tableColumn id="51" name="Place ID" dataDxfId="282"/>
    <tableColumn id="52" name="Place Name" dataDxfId="281"/>
    <tableColumn id="53" name="Place Type" dataDxfId="280"/>
    <tableColumn id="54" name="Place URL" dataDxfId="279"/>
    <tableColumn id="55" name="Edge Weight"/>
    <tableColumn id="56" name="Vertex 1 Group" dataDxfId="241">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List1 Word Count" dataDxfId="119"/>
    <tableColumn id="59" name="Sentiment List #1: List1 Word Percentage (%)" dataDxfId="118"/>
    <tableColumn id="60" name="Sentiment List #2: List2 Word Count" dataDxfId="117"/>
    <tableColumn id="61" name="Sentiment List #2: List2 Word Percentage (%)" dataDxfId="116"/>
    <tableColumn id="62" name="Sentiment List #3: List3 Word Count" dataDxfId="115"/>
    <tableColumn id="63" name="Sentiment List #3: List3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11" totalsRowShown="0" headerRowDxfId="225" dataDxfId="224">
  <autoFilter ref="A1:F11"/>
  <tableColumns count="6">
    <tableColumn id="1" name="Top URLs in Tweet in Entire Graph" dataDxfId="223"/>
    <tableColumn id="2" name="Entire Graph Count" dataDxfId="222"/>
    <tableColumn id="3" name="Top URLs in Tweet in G1" dataDxfId="221"/>
    <tableColumn id="4" name="G1 Count" dataDxfId="220"/>
    <tableColumn id="5" name="Top URLs in Tweet in G2" dataDxfId="219"/>
    <tableColumn id="6" name="G2 Count" dataDxfId="2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F20" totalsRowShown="0" headerRowDxfId="216" dataDxfId="215">
  <autoFilter ref="A14:F20"/>
  <tableColumns count="6">
    <tableColumn id="1" name="Top Domains in Tweet in Entire Graph" dataDxfId="214"/>
    <tableColumn id="2" name="Entire Graph Count" dataDxfId="213"/>
    <tableColumn id="3" name="Top Domains in Tweet in G1" dataDxfId="212"/>
    <tableColumn id="4" name="G1 Count" dataDxfId="211"/>
    <tableColumn id="5" name="Top Domains in Tweet in G2" dataDxfId="210"/>
    <tableColumn id="6" name="G2 Count" dataDxfId="20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F33" totalsRowShown="0" headerRowDxfId="207" dataDxfId="206">
  <autoFilter ref="A23:F33"/>
  <tableColumns count="6">
    <tableColumn id="1" name="Top Hashtags in Tweet in Entire Graph" dataDxfId="205"/>
    <tableColumn id="2" name="Entire Graph Count" dataDxfId="204"/>
    <tableColumn id="3" name="Top Hashtags in Tweet in G1" dataDxfId="203"/>
    <tableColumn id="4" name="G1 Count" dataDxfId="202"/>
    <tableColumn id="5" name="Top Hashtags in Tweet in G2" dataDxfId="201"/>
    <tableColumn id="6" name="G2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F46" totalsRowShown="0" headerRowDxfId="198" dataDxfId="197">
  <autoFilter ref="A36:F46"/>
  <tableColumns count="6">
    <tableColumn id="1" name="Top Words in Tweet in Entire Graph" dataDxfId="196"/>
    <tableColumn id="2" name="Entire Graph Count" dataDxfId="195"/>
    <tableColumn id="3" name="Top Words in Tweet in G1" dataDxfId="194"/>
    <tableColumn id="4" name="G1 Count" dataDxfId="193"/>
    <tableColumn id="5" name="Top Words in Tweet in G2" dataDxfId="192"/>
    <tableColumn id="6" name="G2 Count" dataDxfId="19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F59" totalsRowShown="0" headerRowDxfId="189" dataDxfId="188">
  <autoFilter ref="A49:F59"/>
  <tableColumns count="6">
    <tableColumn id="1" name="Top Word Pairs in Tweet in Entire Graph" dataDxfId="187"/>
    <tableColumn id="2" name="Entire Graph Count" dataDxfId="186"/>
    <tableColumn id="3" name="Top Word Pairs in Tweet in G1" dataDxfId="185"/>
    <tableColumn id="4" name="G1 Count" dataDxfId="184"/>
    <tableColumn id="5" name="Top Word Pairs in Tweet in G2" dataDxfId="183"/>
    <tableColumn id="6" name="G2 Count" dataDxfId="18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F63" totalsRowShown="0" headerRowDxfId="180" dataDxfId="179">
  <autoFilter ref="A62:F63"/>
  <tableColumns count="6">
    <tableColumn id="1" name="Top Replied-To in Entire Graph" dataDxfId="178"/>
    <tableColumn id="2" name="Entire Graph Count" dataDxfId="174"/>
    <tableColumn id="3" name="Top Replied-To in G1" dataDxfId="173"/>
    <tableColumn id="4" name="G1 Count" dataDxfId="170"/>
    <tableColumn id="5" name="Top Replied-To in G2" dataDxfId="169"/>
    <tableColumn id="6" name="G2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5:F75" totalsRowShown="0" headerRowDxfId="177" dataDxfId="176">
  <autoFilter ref="A65:F75"/>
  <tableColumns count="6">
    <tableColumn id="1" name="Top Mentioned in Entire Graph" dataDxfId="175"/>
    <tableColumn id="2" name="Entire Graph Count" dataDxfId="172"/>
    <tableColumn id="3" name="Top Mentioned in G1" dataDxfId="171"/>
    <tableColumn id="4" name="G1 Count" dataDxfId="167"/>
    <tableColumn id="5" name="Top Mentioned in G2" dataDxfId="166"/>
    <tableColumn id="6" name="G2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8:F88" totalsRowShown="0" headerRowDxfId="162" dataDxfId="161">
  <autoFilter ref="A78:F88"/>
  <tableColumns count="6">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5" totalsRowShown="0" headerRowDxfId="143" dataDxfId="142">
  <autoFilter ref="A1:G235"/>
  <tableColumns count="7">
    <tableColumn id="1" name="Word" dataDxfId="141"/>
    <tableColumn id="2" name="Count" dataDxfId="140"/>
    <tableColumn id="3" name="Salience" dataDxfId="139"/>
    <tableColumn id="4" name="Group" dataDxfId="138"/>
    <tableColumn id="5" name="Word on Sentiment List #1: List1" dataDxfId="137"/>
    <tableColumn id="6" name="Word on Sentiment List #2: List2" dataDxfId="136"/>
    <tableColumn id="7" name="Word on Sentiment List #3: List3"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3" totalsRowShown="0" headerRowDxfId="362" dataDxfId="361">
  <autoFilter ref="A2:BU23"/>
  <tableColumns count="73">
    <tableColumn id="1" name="Vertex" dataDxfId="360"/>
    <tableColumn id="73" name="Subgraph"/>
    <tableColumn id="2" name="Color" dataDxfId="359"/>
    <tableColumn id="5" name="Shape" dataDxfId="358"/>
    <tableColumn id="6" name="Size" dataDxfId="357"/>
    <tableColumn id="4" name="Opacity" dataDxfId="258"/>
    <tableColumn id="7" name="Image File" dataDxfId="256"/>
    <tableColumn id="3" name="Visibility" dataDxfId="257"/>
    <tableColumn id="10" name="Label" dataDxfId="356"/>
    <tableColumn id="16" name="Label Fill Color" dataDxfId="355"/>
    <tableColumn id="9" name="Label Position" dataDxfId="252"/>
    <tableColumn id="8" name="Tooltip" dataDxfId="250"/>
    <tableColumn id="18" name="Layout Order" dataDxfId="251"/>
    <tableColumn id="13" name="X" dataDxfId="354"/>
    <tableColumn id="14" name="Y" dataDxfId="353"/>
    <tableColumn id="12" name="Locked?" dataDxfId="352"/>
    <tableColumn id="19" name="Polar R" dataDxfId="351"/>
    <tableColumn id="20" name="Polar Angle" dataDxfId="350"/>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49"/>
    <tableColumn id="28" name="Dynamic Filter" dataDxfId="348"/>
    <tableColumn id="17" name="Add Your Own Columns Here" dataDxfId="278"/>
    <tableColumn id="30" name="Name" dataDxfId="277"/>
    <tableColumn id="31" name="User ID" dataDxfId="276"/>
    <tableColumn id="32" name="Followed" dataDxfId="275"/>
    <tableColumn id="33" name="Followers" dataDxfId="274"/>
    <tableColumn id="34" name="Tweets" dataDxfId="273"/>
    <tableColumn id="35" name="Favorites" dataDxfId="272"/>
    <tableColumn id="36" name="Time Zone UTC Offset (Seconds)" dataDxfId="271"/>
    <tableColumn id="37" name="Description" dataDxfId="270"/>
    <tableColumn id="38" name="Location" dataDxfId="269"/>
    <tableColumn id="39" name="Web" dataDxfId="268"/>
    <tableColumn id="40" name="Time Zone" dataDxfId="267"/>
    <tableColumn id="41" name="Joined Twitter Date (UTC)" dataDxfId="266"/>
    <tableColumn id="42" name="Profile Banner Url" dataDxfId="265"/>
    <tableColumn id="43" name="Default Profile" dataDxfId="264"/>
    <tableColumn id="44" name="Default Profile Image" dataDxfId="263"/>
    <tableColumn id="45" name="Geo Enabled" dataDxfId="262"/>
    <tableColumn id="46" name="Language" dataDxfId="261"/>
    <tableColumn id="47" name="Listed Count" dataDxfId="260"/>
    <tableColumn id="48" name="Profile Background Image Url" dataDxfId="259"/>
    <tableColumn id="49" name="Verified" dataDxfId="255"/>
    <tableColumn id="50" name="Custom Menu Item Text" dataDxfId="254"/>
    <tableColumn id="51" name="Custom Menu Item Action" dataDxfId="253"/>
    <tableColumn id="52" name="Tweeted Search Term?" dataDxfId="242"/>
    <tableColumn id="53" name="Vertex Group" dataDxfId="153">
      <calculatedColumnFormula>REPLACE(INDEX(GroupVertices[Group], MATCH(Vertices[[#This Row],[Vertex]],GroupVertices[Vertex],0)),1,1,"")</calculatedColumnFormula>
    </tableColumn>
    <tableColumn id="54" name="Top URLs in Tweet by Count" dataDxfId="152"/>
    <tableColumn id="55" name="Top URLs in Tweet by Salience" dataDxfId="151"/>
    <tableColumn id="56" name="Top Domains in Tweet by Count" dataDxfId="150"/>
    <tableColumn id="57" name="Top Domains in Tweet by Salience" dataDxfId="149"/>
    <tableColumn id="58" name="Top Hashtags in Tweet by Count" dataDxfId="148"/>
    <tableColumn id="59" name="Top Hashtags in Tweet by Salience" dataDxfId="147"/>
    <tableColumn id="60" name="Top Words in Tweet by Count" dataDxfId="146"/>
    <tableColumn id="61" name="Top Words in Tweet by Salience" dataDxfId="145"/>
    <tableColumn id="62" name="Top Word Pairs in Tweet by Count" dataDxfId="144"/>
    <tableColumn id="63" name="Top Word Pairs in Tweet by Salience" dataDxfId="110"/>
    <tableColumn id="64" name="Sentiment List #1: List1 Word Count" dataDxfId="109"/>
    <tableColumn id="65" name="Sentiment List #1: List1 Word Percentage (%)" dataDxfId="108"/>
    <tableColumn id="66" name="Sentiment List #2: List2 Word Count" dataDxfId="107"/>
    <tableColumn id="67" name="Sentiment List #2: List2 Word Percentage (%)" dataDxfId="106"/>
    <tableColumn id="68" name="Sentiment List #3: List3 Word Count" dataDxfId="105"/>
    <tableColumn id="69" name="Sentiment List #3: List3 Word Percentage (%)" dataDxfId="104"/>
    <tableColumn id="70" name="Non-categorized Word Count" dataDxfId="103"/>
    <tableColumn id="71" name="Non-categorized Word Percentage (%)" dataDxfId="102"/>
    <tableColumn id="72"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6" totalsRowShown="0" headerRowDxfId="134" dataDxfId="133">
  <autoFilter ref="A1:L236"/>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List1" dataDxfId="126"/>
    <tableColumn id="8" name="Word1 on Sentiment List #2: List2" dataDxfId="125"/>
    <tableColumn id="9" name="Word1 on Sentiment List #3: List3" dataDxfId="124"/>
    <tableColumn id="10" name="Word2 on Sentiment List #1: List1" dataDxfId="123"/>
    <tableColumn id="11" name="Word2 on Sentiment List #2: List2" dataDxfId="122"/>
    <tableColumn id="12" name="Word2 on Sentiment List #3: List3"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90" dataDxfId="89">
  <autoFilter ref="A2:C6"/>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47">
  <autoFilter ref="A2:AO4"/>
  <tableColumns count="41">
    <tableColumn id="1" name="Group" dataDxfId="249"/>
    <tableColumn id="2" name="Vertex Color" dataDxfId="248"/>
    <tableColumn id="3" name="Vertex Shape" dataDxfId="246"/>
    <tableColumn id="22" name="Visibility" dataDxfId="247"/>
    <tableColumn id="4" name="Collapsed?"/>
    <tableColumn id="18" name="Label" dataDxfId="346"/>
    <tableColumn id="20" name="Collapsed X"/>
    <tableColumn id="21" name="Collapsed Y"/>
    <tableColumn id="6" name="ID" dataDxfId="345"/>
    <tableColumn id="19" name="Collapsed Properties" dataDxfId="240"/>
    <tableColumn id="5" name="Vertices" dataDxfId="239"/>
    <tableColumn id="7" name="Unique Edges" dataDxfId="238"/>
    <tableColumn id="8" name="Edges With Duplicates" dataDxfId="237"/>
    <tableColumn id="9" name="Total Edges" dataDxfId="236"/>
    <tableColumn id="10" name="Self-Loops" dataDxfId="235"/>
    <tableColumn id="24" name="Reciprocated Vertex Pair Ratio" dataDxfId="234"/>
    <tableColumn id="25" name="Reciprocated Edge Ratio" dataDxfId="233"/>
    <tableColumn id="11" name="Connected Components" dataDxfId="232"/>
    <tableColumn id="12" name="Single-Vertex Connected Components" dataDxfId="231"/>
    <tableColumn id="13" name="Maximum Vertices in a Connected Component" dataDxfId="230"/>
    <tableColumn id="14" name="Maximum Edges in a Connected Component" dataDxfId="229"/>
    <tableColumn id="15" name="Maximum Geodesic Distance (Diameter)" dataDxfId="228"/>
    <tableColumn id="16" name="Average Geodesic Distance" dataDxfId="227"/>
    <tableColumn id="17" name="Graph Density" dataDxfId="217"/>
    <tableColumn id="23" name="Top URLs in Tweet" dataDxfId="208"/>
    <tableColumn id="26" name="Top Domains in Tweet" dataDxfId="199"/>
    <tableColumn id="27" name="Top Hashtags in Tweet" dataDxfId="190"/>
    <tableColumn id="28" name="Top Words in Tweet" dataDxfId="181"/>
    <tableColumn id="29" name="Top Word Pairs in Tweet" dataDxfId="164"/>
    <tableColumn id="30" name="Top Replied-To in Tweet" dataDxfId="163"/>
    <tableColumn id="31" name="Top Mentioned in Tweet" dataDxfId="154"/>
    <tableColumn id="32" name="Top Tweeters" dataDxfId="100"/>
    <tableColumn id="33" name="Sentiment List #1: List1 Word Count" dataDxfId="99"/>
    <tableColumn id="34" name="Sentiment List #1: List1 Word Percentage (%)" dataDxfId="98"/>
    <tableColumn id="35" name="Sentiment List #2: List2 Word Count" dataDxfId="97"/>
    <tableColumn id="36" name="Sentiment List #2: List2 Word Percentage (%)" dataDxfId="96"/>
    <tableColumn id="37" name="Sentiment List #3: List3 Word Count" dataDxfId="95"/>
    <tableColumn id="38" name="Sentiment List #3: List3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mazon.es/C%C3%93MO-ENCONTRAR-LOS-HASHTAGS-POTENTES-ebook/dp/B08D9W3Q3V/" TargetMode="External" /><Relationship Id="rId2" Type="http://schemas.openxmlformats.org/officeDocument/2006/relationships/hyperlink" Target="https://vivianfrancos.com/sencalkapimi-cuando-es-el-hashtag-de-una-novela-el-que-genera-todas-las-pasiones/" TargetMode="External" /><Relationship Id="rId3" Type="http://schemas.openxmlformats.org/officeDocument/2006/relationships/hyperlink" Target="https://twitter.com/elonmusk/status/1589791846737522688" TargetMode="External" /><Relationship Id="rId4" Type="http://schemas.openxmlformats.org/officeDocument/2006/relationships/hyperlink" Target="https://eventbrite.com/e/2023-winter-school-social-networks-nodexl-pro-a-few-clicks-to-insights-tickets-393167403287" TargetMode="External" /><Relationship Id="rId5" Type="http://schemas.openxmlformats.org/officeDocument/2006/relationships/hyperlink" Target="https://vivianfrancos.com/estrategia-para-twitter-ads-exitosos-conocer-de-que-y-como-habla-tu-audiencia-para-incrementar-resultados-de-impresiones-e-interacciones/" TargetMode="External" /><Relationship Id="rId6" Type="http://schemas.openxmlformats.org/officeDocument/2006/relationships/hyperlink" Target="https://nodexlgraphgallery.org/Pages/Graph.aspx?graphID=284368" TargetMode="External" /><Relationship Id="rId7" Type="http://schemas.openxmlformats.org/officeDocument/2006/relationships/hyperlink" Target="https://www.linkedin.com/feed/update/urn:li:ugcPost:6996488536824659969" TargetMode="External" /><Relationship Id="rId8" Type="http://schemas.openxmlformats.org/officeDocument/2006/relationships/hyperlink" Target="https://vivianfrancos.com/revisa-esta-guia-de-hashtags-en-tiktok/" TargetMode="External" /><Relationship Id="rId9" Type="http://schemas.openxmlformats.org/officeDocument/2006/relationships/hyperlink" Target="https://vivianfrancos.com/hashtags-para-pinterest-esto-es-todo-lo-que-necesitas-saber/" TargetMode="External" /><Relationship Id="rId10" Type="http://schemas.openxmlformats.org/officeDocument/2006/relationships/hyperlink" Target="https://vivianfrancos.com/como-usar-hashtag-para-aumentar-las-ventas/" TargetMode="External" /><Relationship Id="rId11" Type="http://schemas.openxmlformats.org/officeDocument/2006/relationships/hyperlink" Target="https://www.amazon.es/C%C3%93MO-ENCONTRAR-LOS-HASHTAGS-POTENTES-ebook/dp/B08D9W3Q3V/" TargetMode="External" /><Relationship Id="rId12" Type="http://schemas.openxmlformats.org/officeDocument/2006/relationships/hyperlink" Target="https://eventbrite.com/e/2023-winter-school-social-networks-nodexl-pro-a-few-clicks-to-insights-tickets-393167403287" TargetMode="External" /><Relationship Id="rId13" Type="http://schemas.openxmlformats.org/officeDocument/2006/relationships/hyperlink" Target="https://twitter.com/elonmusk/status/1589791846737522688" TargetMode="External" /><Relationship Id="rId14" Type="http://schemas.openxmlformats.org/officeDocument/2006/relationships/hyperlink" Target="https://vivianfrancos.com/sencalkapimi-cuando-es-el-hashtag-de-una-novela-el-que-genera-todas-las-pasiones/" TargetMode="External" /><Relationship Id="rId15" Type="http://schemas.openxmlformats.org/officeDocument/2006/relationships/hyperlink" Target="https://vivianfrancos.com/estrategia-para-twitter-ads-exitosos-conocer-de-que-y-como-habla-tu-audiencia-para-incrementar-resultados-de-impresiones-e-interacciones/" TargetMode="External" /><Relationship Id="rId16" Type="http://schemas.openxmlformats.org/officeDocument/2006/relationships/hyperlink" Target="https://nodexlgraphgallery.org/Pages/Graph.aspx?graphID=284368" TargetMode="External" /><Relationship Id="rId17" Type="http://schemas.openxmlformats.org/officeDocument/2006/relationships/hyperlink" Target="https://vivianfrancos.com/los-hashtags-ayudan-en-las-busquedas-de-oportunidades-laborales/" TargetMode="External" /><Relationship Id="rId18" Type="http://schemas.openxmlformats.org/officeDocument/2006/relationships/hyperlink" Target="https://vivianfrancos.com/control-parental-de-tiktok-pueden-bloquear-terminos-de-busqueda-usuarios-y-hashtags/" TargetMode="External" /><Relationship Id="rId19" Type="http://schemas.openxmlformats.org/officeDocument/2006/relationships/hyperlink" Target="https://vivianfrancos.com/linkedin-como-herramienta-de-ventas-b2b-para-tu-empresa/" TargetMode="External" /><Relationship Id="rId20" Type="http://schemas.openxmlformats.org/officeDocument/2006/relationships/hyperlink" Target="https://vivianfrancos.com/comienza-desde-hoy-a-posicionar-tu-hashtags-como-todo-un-experto/" TargetMode="External" /><Relationship Id="rId21" Type="http://schemas.openxmlformats.org/officeDocument/2006/relationships/hyperlink" Target="https://vivianfrancos.com/sencalkapimi-cuando-es-el-hashtag-de-una-novela-el-que-genera-todas-las-pasiones/"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t="s">
        <v>539</v>
      </c>
      <c r="BD2" s="7" t="s">
        <v>545</v>
      </c>
      <c r="BE2" s="7" t="s">
        <v>546</v>
      </c>
      <c r="BF2" s="64" t="s">
        <v>812</v>
      </c>
      <c r="BG2" s="64" t="s">
        <v>813</v>
      </c>
      <c r="BH2" s="64" t="s">
        <v>814</v>
      </c>
      <c r="BI2" s="64" t="s">
        <v>815</v>
      </c>
      <c r="BJ2" s="64" t="s">
        <v>816</v>
      </c>
      <c r="BK2" s="64" t="s">
        <v>817</v>
      </c>
      <c r="BL2" s="64" t="s">
        <v>818</v>
      </c>
      <c r="BM2" s="64" t="s">
        <v>819</v>
      </c>
      <c r="BN2" s="64" t="s">
        <v>820</v>
      </c>
    </row>
    <row r="3" spans="1:66" ht="15" customHeight="1">
      <c r="A3" s="78" t="s">
        <v>258</v>
      </c>
      <c r="B3" s="78" t="s">
        <v>257</v>
      </c>
      <c r="C3" s="49" t="s">
        <v>884</v>
      </c>
      <c r="D3" s="50">
        <v>3</v>
      </c>
      <c r="E3" s="62" t="s">
        <v>132</v>
      </c>
      <c r="F3" s="51">
        <v>32</v>
      </c>
      <c r="G3" s="49"/>
      <c r="H3" s="53"/>
      <c r="I3" s="52"/>
      <c r="J3" s="52"/>
      <c r="K3" s="32" t="s">
        <v>65</v>
      </c>
      <c r="L3" s="58">
        <v>3</v>
      </c>
      <c r="M3" s="58"/>
      <c r="N3" s="59"/>
      <c r="O3" s="79" t="s">
        <v>271</v>
      </c>
      <c r="P3" s="81">
        <v>44866.76563657408</v>
      </c>
      <c r="Q3" s="79" t="s">
        <v>280</v>
      </c>
      <c r="R3" s="83" t="str">
        <f>HYPERLINK("https://www.amazon.es/C%C3%93MO-ENCONTRAR-LOS-HASHTAGS-POTENTES-ebook/dp/B08D9W3Q3V/")</f>
        <v>https://www.amazon.es/C%C3%93MO-ENCONTRAR-LOS-HASHTAGS-POTENTES-ebook/dp/B08D9W3Q3V/</v>
      </c>
      <c r="S3" s="79" t="s">
        <v>305</v>
      </c>
      <c r="T3" s="85" t="s">
        <v>314</v>
      </c>
      <c r="U3" s="83" t="str">
        <f>HYPERLINK("https://pbs.twimg.com/media/Fge_vDJWYAEypkN.jpg")</f>
        <v>https://pbs.twimg.com/media/Fge_vDJWYAEypkN.jpg</v>
      </c>
      <c r="V3" s="83" t="str">
        <f>HYPERLINK("https://pbs.twimg.com/media/Fge_vDJWYAEypkN.jpg")</f>
        <v>https://pbs.twimg.com/media/Fge_vDJWYAEypkN.jpg</v>
      </c>
      <c r="W3" s="81">
        <v>44866.76563657408</v>
      </c>
      <c r="X3" s="87">
        <v>44866</v>
      </c>
      <c r="Y3" s="85" t="s">
        <v>367</v>
      </c>
      <c r="Z3" s="83" t="str">
        <f>HYPERLINK("https://twitter.com/daya1angel/status/1587510412748136449")</f>
        <v>https://twitter.com/daya1angel/status/1587510412748136449</v>
      </c>
      <c r="AA3" s="79"/>
      <c r="AB3" s="79"/>
      <c r="AC3" s="85" t="s">
        <v>408</v>
      </c>
      <c r="AD3" s="79"/>
      <c r="AE3" s="79" t="b">
        <v>0</v>
      </c>
      <c r="AF3" s="79">
        <v>0</v>
      </c>
      <c r="AG3" s="85" t="s">
        <v>409</v>
      </c>
      <c r="AH3" s="79" t="b">
        <v>0</v>
      </c>
      <c r="AI3" s="79" t="s">
        <v>410</v>
      </c>
      <c r="AJ3" s="79"/>
      <c r="AK3" s="85" t="s">
        <v>409</v>
      </c>
      <c r="AL3" s="79" t="b">
        <v>0</v>
      </c>
      <c r="AM3" s="79">
        <v>1</v>
      </c>
      <c r="AN3" s="85" t="s">
        <v>380</v>
      </c>
      <c r="AO3" s="85" t="s">
        <v>414</v>
      </c>
      <c r="AP3" s="79" t="b">
        <v>0</v>
      </c>
      <c r="AQ3" s="85" t="s">
        <v>380</v>
      </c>
      <c r="AR3" s="79" t="s">
        <v>211</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7">
        <v>1</v>
      </c>
      <c r="BG3" s="48">
        <v>4.761904761904762</v>
      </c>
      <c r="BH3" s="47">
        <v>0</v>
      </c>
      <c r="BI3" s="48">
        <v>0</v>
      </c>
      <c r="BJ3" s="47">
        <v>0</v>
      </c>
      <c r="BK3" s="48">
        <v>0</v>
      </c>
      <c r="BL3" s="47">
        <v>14</v>
      </c>
      <c r="BM3" s="48">
        <v>66.66666666666667</v>
      </c>
      <c r="BN3" s="47">
        <v>21</v>
      </c>
    </row>
    <row r="4" spans="1:66" ht="15" customHeight="1">
      <c r="A4" s="78" t="s">
        <v>249</v>
      </c>
      <c r="B4" s="78" t="s">
        <v>257</v>
      </c>
      <c r="C4" s="49" t="s">
        <v>884</v>
      </c>
      <c r="D4" s="50">
        <v>3</v>
      </c>
      <c r="E4" s="62" t="s">
        <v>132</v>
      </c>
      <c r="F4" s="51">
        <v>32</v>
      </c>
      <c r="G4" s="49"/>
      <c r="H4" s="53"/>
      <c r="I4" s="52"/>
      <c r="J4" s="52"/>
      <c r="K4" s="32" t="s">
        <v>65</v>
      </c>
      <c r="L4" s="77">
        <v>4</v>
      </c>
      <c r="M4" s="77"/>
      <c r="N4" s="59"/>
      <c r="O4" s="80" t="s">
        <v>270</v>
      </c>
      <c r="P4" s="82">
        <v>44867.64511574074</v>
      </c>
      <c r="Q4" s="80" t="s">
        <v>273</v>
      </c>
      <c r="R4" s="84" t="str">
        <f>HYPERLINK("https://vivianfrancos.com/sencalkapimi-cuando-es-el-hashtag-de-una-novela-el-que-genera-todas-las-pasiones/")</f>
        <v>https://vivianfrancos.com/sencalkapimi-cuando-es-el-hashtag-de-una-novela-el-que-genera-todas-las-pasiones/</v>
      </c>
      <c r="S4" s="80" t="s">
        <v>303</v>
      </c>
      <c r="T4" s="86" t="s">
        <v>309</v>
      </c>
      <c r="U4" s="80"/>
      <c r="V4" s="84" t="str">
        <f>HYPERLINK("https://pbs.twimg.com/profile_images/1579631275056447489/eB63-C3y_normal.jpg")</f>
        <v>https://pbs.twimg.com/profile_images/1579631275056447489/eB63-C3y_normal.jpg</v>
      </c>
      <c r="W4" s="82">
        <v>44867.64511574074</v>
      </c>
      <c r="X4" s="88">
        <v>44867</v>
      </c>
      <c r="Y4" s="86" t="s">
        <v>330</v>
      </c>
      <c r="Z4" s="84" t="str">
        <f>HYPERLINK("https://twitter.com/edserhanker190/status/1587829123556077570")</f>
        <v>https://twitter.com/edserhanker190/status/1587829123556077570</v>
      </c>
      <c r="AA4" s="80"/>
      <c r="AB4" s="80"/>
      <c r="AC4" s="86" t="s">
        <v>368</v>
      </c>
      <c r="AD4" s="80"/>
      <c r="AE4" s="80" t="b">
        <v>0</v>
      </c>
      <c r="AF4" s="80">
        <v>0</v>
      </c>
      <c r="AG4" s="86" t="s">
        <v>409</v>
      </c>
      <c r="AH4" s="80" t="b">
        <v>0</v>
      </c>
      <c r="AI4" s="80" t="s">
        <v>410</v>
      </c>
      <c r="AJ4" s="80"/>
      <c r="AK4" s="86" t="s">
        <v>409</v>
      </c>
      <c r="AL4" s="80" t="b">
        <v>0</v>
      </c>
      <c r="AM4" s="80">
        <v>3</v>
      </c>
      <c r="AN4" s="86" t="s">
        <v>375</v>
      </c>
      <c r="AO4" s="86" t="s">
        <v>414</v>
      </c>
      <c r="AP4" s="80" t="b">
        <v>0</v>
      </c>
      <c r="AQ4" s="86" t="s">
        <v>375</v>
      </c>
      <c r="AR4" s="80" t="s">
        <v>211</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1</v>
      </c>
      <c r="BF4" s="47"/>
      <c r="BG4" s="48"/>
      <c r="BH4" s="47"/>
      <c r="BI4" s="48"/>
      <c r="BJ4" s="47"/>
      <c r="BK4" s="48"/>
      <c r="BL4" s="47"/>
      <c r="BM4" s="48"/>
      <c r="BN4" s="47"/>
    </row>
    <row r="5" spans="1:66" ht="15">
      <c r="A5" s="78" t="s">
        <v>249</v>
      </c>
      <c r="B5" s="78" t="s">
        <v>256</v>
      </c>
      <c r="C5" s="49" t="s">
        <v>884</v>
      </c>
      <c r="D5" s="50">
        <v>3</v>
      </c>
      <c r="E5" s="62" t="s">
        <v>132</v>
      </c>
      <c r="F5" s="51">
        <v>32</v>
      </c>
      <c r="G5" s="49"/>
      <c r="H5" s="53"/>
      <c r="I5" s="52"/>
      <c r="J5" s="52"/>
      <c r="K5" s="32" t="s">
        <v>65</v>
      </c>
      <c r="L5" s="77">
        <v>5</v>
      </c>
      <c r="M5" s="77"/>
      <c r="N5" s="59"/>
      <c r="O5" s="80" t="s">
        <v>270</v>
      </c>
      <c r="P5" s="82">
        <v>44867.64511574074</v>
      </c>
      <c r="Q5" s="80" t="s">
        <v>273</v>
      </c>
      <c r="R5" s="84" t="str">
        <f>HYPERLINK("https://vivianfrancos.com/sencalkapimi-cuando-es-el-hashtag-de-una-novela-el-que-genera-todas-las-pasiones/")</f>
        <v>https://vivianfrancos.com/sencalkapimi-cuando-es-el-hashtag-de-una-novela-el-que-genera-todas-las-pasiones/</v>
      </c>
      <c r="S5" s="80" t="s">
        <v>303</v>
      </c>
      <c r="T5" s="86" t="s">
        <v>309</v>
      </c>
      <c r="U5" s="80"/>
      <c r="V5" s="84" t="str">
        <f>HYPERLINK("https://pbs.twimg.com/profile_images/1579631275056447489/eB63-C3y_normal.jpg")</f>
        <v>https://pbs.twimg.com/profile_images/1579631275056447489/eB63-C3y_normal.jpg</v>
      </c>
      <c r="W5" s="82">
        <v>44867.64511574074</v>
      </c>
      <c r="X5" s="88">
        <v>44867</v>
      </c>
      <c r="Y5" s="86" t="s">
        <v>330</v>
      </c>
      <c r="Z5" s="84" t="str">
        <f>HYPERLINK("https://twitter.com/edserhanker190/status/1587829123556077570")</f>
        <v>https://twitter.com/edserhanker190/status/1587829123556077570</v>
      </c>
      <c r="AA5" s="80"/>
      <c r="AB5" s="80"/>
      <c r="AC5" s="86" t="s">
        <v>368</v>
      </c>
      <c r="AD5" s="80"/>
      <c r="AE5" s="80" t="b">
        <v>0</v>
      </c>
      <c r="AF5" s="80">
        <v>0</v>
      </c>
      <c r="AG5" s="86" t="s">
        <v>409</v>
      </c>
      <c r="AH5" s="80" t="b">
        <v>0</v>
      </c>
      <c r="AI5" s="80" t="s">
        <v>410</v>
      </c>
      <c r="AJ5" s="80"/>
      <c r="AK5" s="86" t="s">
        <v>409</v>
      </c>
      <c r="AL5" s="80" t="b">
        <v>0</v>
      </c>
      <c r="AM5" s="80">
        <v>3</v>
      </c>
      <c r="AN5" s="86" t="s">
        <v>375</v>
      </c>
      <c r="AO5" s="86" t="s">
        <v>414</v>
      </c>
      <c r="AP5" s="80" t="b">
        <v>0</v>
      </c>
      <c r="AQ5" s="86" t="s">
        <v>375</v>
      </c>
      <c r="AR5" s="80" t="s">
        <v>211</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7"/>
      <c r="BG5" s="48"/>
      <c r="BH5" s="47"/>
      <c r="BI5" s="48"/>
      <c r="BJ5" s="47"/>
      <c r="BK5" s="48"/>
      <c r="BL5" s="47"/>
      <c r="BM5" s="48"/>
      <c r="BN5" s="47"/>
    </row>
    <row r="6" spans="1:66" ht="15">
      <c r="A6" s="78" t="s">
        <v>249</v>
      </c>
      <c r="B6" s="78" t="s">
        <v>255</v>
      </c>
      <c r="C6" s="49" t="s">
        <v>884</v>
      </c>
      <c r="D6" s="50">
        <v>3</v>
      </c>
      <c r="E6" s="62" t="s">
        <v>132</v>
      </c>
      <c r="F6" s="51">
        <v>32</v>
      </c>
      <c r="G6" s="49"/>
      <c r="H6" s="53"/>
      <c r="I6" s="52"/>
      <c r="J6" s="52"/>
      <c r="K6" s="32" t="s">
        <v>65</v>
      </c>
      <c r="L6" s="77">
        <v>6</v>
      </c>
      <c r="M6" s="77"/>
      <c r="N6" s="59"/>
      <c r="O6" s="80" t="s">
        <v>271</v>
      </c>
      <c r="P6" s="82">
        <v>44867.64511574074</v>
      </c>
      <c r="Q6" s="80" t="s">
        <v>273</v>
      </c>
      <c r="R6" s="84" t="str">
        <f>HYPERLINK("https://vivianfrancos.com/sencalkapimi-cuando-es-el-hashtag-de-una-novela-el-que-genera-todas-las-pasiones/")</f>
        <v>https://vivianfrancos.com/sencalkapimi-cuando-es-el-hashtag-de-una-novela-el-que-genera-todas-las-pasiones/</v>
      </c>
      <c r="S6" s="80" t="s">
        <v>303</v>
      </c>
      <c r="T6" s="86" t="s">
        <v>309</v>
      </c>
      <c r="U6" s="80"/>
      <c r="V6" s="84" t="str">
        <f>HYPERLINK("https://pbs.twimg.com/profile_images/1579631275056447489/eB63-C3y_normal.jpg")</f>
        <v>https://pbs.twimg.com/profile_images/1579631275056447489/eB63-C3y_normal.jpg</v>
      </c>
      <c r="W6" s="82">
        <v>44867.64511574074</v>
      </c>
      <c r="X6" s="88">
        <v>44867</v>
      </c>
      <c r="Y6" s="86" t="s">
        <v>330</v>
      </c>
      <c r="Z6" s="84" t="str">
        <f>HYPERLINK("https://twitter.com/edserhanker190/status/1587829123556077570")</f>
        <v>https://twitter.com/edserhanker190/status/1587829123556077570</v>
      </c>
      <c r="AA6" s="80"/>
      <c r="AB6" s="80"/>
      <c r="AC6" s="86" t="s">
        <v>368</v>
      </c>
      <c r="AD6" s="80"/>
      <c r="AE6" s="80" t="b">
        <v>0</v>
      </c>
      <c r="AF6" s="80">
        <v>0</v>
      </c>
      <c r="AG6" s="86" t="s">
        <v>409</v>
      </c>
      <c r="AH6" s="80" t="b">
        <v>0</v>
      </c>
      <c r="AI6" s="80" t="s">
        <v>410</v>
      </c>
      <c r="AJ6" s="80"/>
      <c r="AK6" s="86" t="s">
        <v>409</v>
      </c>
      <c r="AL6" s="80" t="b">
        <v>0</v>
      </c>
      <c r="AM6" s="80">
        <v>3</v>
      </c>
      <c r="AN6" s="86" t="s">
        <v>375</v>
      </c>
      <c r="AO6" s="86" t="s">
        <v>414</v>
      </c>
      <c r="AP6" s="80" t="b">
        <v>0</v>
      </c>
      <c r="AQ6" s="86" t="s">
        <v>375</v>
      </c>
      <c r="AR6" s="80" t="s">
        <v>211</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7">
        <v>0</v>
      </c>
      <c r="BG6" s="48">
        <v>0</v>
      </c>
      <c r="BH6" s="47">
        <v>0</v>
      </c>
      <c r="BI6" s="48">
        <v>0</v>
      </c>
      <c r="BJ6" s="47">
        <v>0</v>
      </c>
      <c r="BK6" s="48">
        <v>0</v>
      </c>
      <c r="BL6" s="47">
        <v>10</v>
      </c>
      <c r="BM6" s="48">
        <v>52.63157894736842</v>
      </c>
      <c r="BN6" s="47">
        <v>19</v>
      </c>
    </row>
    <row r="7" spans="1:66" ht="15">
      <c r="A7" s="78" t="s">
        <v>250</v>
      </c>
      <c r="B7" s="78" t="s">
        <v>257</v>
      </c>
      <c r="C7" s="49" t="s">
        <v>884</v>
      </c>
      <c r="D7" s="50">
        <v>3</v>
      </c>
      <c r="E7" s="62" t="s">
        <v>132</v>
      </c>
      <c r="F7" s="51">
        <v>32</v>
      </c>
      <c r="G7" s="49"/>
      <c r="H7" s="53"/>
      <c r="I7" s="52"/>
      <c r="J7" s="52"/>
      <c r="K7" s="32" t="s">
        <v>65</v>
      </c>
      <c r="L7" s="77">
        <v>7</v>
      </c>
      <c r="M7" s="77"/>
      <c r="N7" s="59"/>
      <c r="O7" s="80" t="s">
        <v>271</v>
      </c>
      <c r="P7" s="82">
        <v>44867.86304398148</v>
      </c>
      <c r="Q7" s="80" t="s">
        <v>274</v>
      </c>
      <c r="R7" s="84" t="str">
        <f>HYPERLINK("https://eventbrite.com/e/2023-winter-school-social-networks-nodexl-pro-a-few-clicks-to-insights-tickets-393167403287")</f>
        <v>https://eventbrite.com/e/2023-winter-school-social-networks-nodexl-pro-a-few-clicks-to-insights-tickets-393167403287</v>
      </c>
      <c r="S7" s="80" t="s">
        <v>304</v>
      </c>
      <c r="T7" s="86" t="s">
        <v>310</v>
      </c>
      <c r="U7" s="80"/>
      <c r="V7" s="84" t="str">
        <f>HYPERLINK("https://pbs.twimg.com/profile_images/1058449535112867841/JP-rVYlW_normal.jpg")</f>
        <v>https://pbs.twimg.com/profile_images/1058449535112867841/JP-rVYlW_normal.jpg</v>
      </c>
      <c r="W7" s="82">
        <v>44867.86304398148</v>
      </c>
      <c r="X7" s="88">
        <v>44867</v>
      </c>
      <c r="Y7" s="86" t="s">
        <v>331</v>
      </c>
      <c r="Z7" s="84" t="str">
        <f>HYPERLINK("https://twitter.com/connectedaction/status/1587908099372773376")</f>
        <v>https://twitter.com/connectedaction/status/1587908099372773376</v>
      </c>
      <c r="AA7" s="80"/>
      <c r="AB7" s="80"/>
      <c r="AC7" s="86" t="s">
        <v>369</v>
      </c>
      <c r="AD7" s="80"/>
      <c r="AE7" s="80" t="b">
        <v>0</v>
      </c>
      <c r="AF7" s="80">
        <v>0</v>
      </c>
      <c r="AG7" s="86" t="s">
        <v>409</v>
      </c>
      <c r="AH7" s="80" t="b">
        <v>0</v>
      </c>
      <c r="AI7" s="80" t="s">
        <v>411</v>
      </c>
      <c r="AJ7" s="80"/>
      <c r="AK7" s="86" t="s">
        <v>409</v>
      </c>
      <c r="AL7" s="80" t="b">
        <v>0</v>
      </c>
      <c r="AM7" s="80">
        <v>2</v>
      </c>
      <c r="AN7" s="86" t="s">
        <v>384</v>
      </c>
      <c r="AO7" s="86" t="s">
        <v>415</v>
      </c>
      <c r="AP7" s="80" t="b">
        <v>0</v>
      </c>
      <c r="AQ7" s="86" t="s">
        <v>384</v>
      </c>
      <c r="AR7" s="80" t="s">
        <v>211</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7">
        <v>0</v>
      </c>
      <c r="BG7" s="48">
        <v>0</v>
      </c>
      <c r="BH7" s="47">
        <v>0</v>
      </c>
      <c r="BI7" s="48">
        <v>0</v>
      </c>
      <c r="BJ7" s="47">
        <v>0</v>
      </c>
      <c r="BK7" s="48">
        <v>0</v>
      </c>
      <c r="BL7" s="47">
        <v>25</v>
      </c>
      <c r="BM7" s="48">
        <v>71.42857142857143</v>
      </c>
      <c r="BN7" s="47">
        <v>35</v>
      </c>
    </row>
    <row r="8" spans="1:66" ht="30">
      <c r="A8" s="78" t="s">
        <v>251</v>
      </c>
      <c r="B8" s="78" t="s">
        <v>257</v>
      </c>
      <c r="C8" s="49" t="s">
        <v>885</v>
      </c>
      <c r="D8" s="50">
        <v>3</v>
      </c>
      <c r="E8" s="62" t="s">
        <v>136</v>
      </c>
      <c r="F8" s="51">
        <v>31.037037037037038</v>
      </c>
      <c r="G8" s="49"/>
      <c r="H8" s="53"/>
      <c r="I8" s="52"/>
      <c r="J8" s="52"/>
      <c r="K8" s="32" t="s">
        <v>65</v>
      </c>
      <c r="L8" s="77">
        <v>8</v>
      </c>
      <c r="M8" s="77"/>
      <c r="N8" s="59"/>
      <c r="O8" s="80" t="s">
        <v>271</v>
      </c>
      <c r="P8" s="82">
        <v>44871.922164351854</v>
      </c>
      <c r="Q8" s="80" t="s">
        <v>275</v>
      </c>
      <c r="R8" s="84" t="str">
        <f>HYPERLINK("https://www.amazon.es/C%C3%93MO-ENCONTRAR-LOS-HASHTAGS-POTENTES-ebook/dp/B08D9W3Q3V/")</f>
        <v>https://www.amazon.es/C%C3%93MO-ENCONTRAR-LOS-HASHTAGS-POTENTES-ebook/dp/B08D9W3Q3V/</v>
      </c>
      <c r="S8" s="80" t="s">
        <v>305</v>
      </c>
      <c r="T8" s="86" t="s">
        <v>311</v>
      </c>
      <c r="U8" s="84" t="str">
        <f>HYPERLINK("https://pbs.twimg.com/media/Fg6axwrXkAI7yGY.jpg")</f>
        <v>https://pbs.twimg.com/media/Fg6axwrXkAI7yGY.jpg</v>
      </c>
      <c r="V8" s="84" t="str">
        <f>HYPERLINK("https://pbs.twimg.com/media/Fg6axwrXkAI7yGY.jpg")</f>
        <v>https://pbs.twimg.com/media/Fg6axwrXkAI7yGY.jpg</v>
      </c>
      <c r="W8" s="82">
        <v>44871.922164351854</v>
      </c>
      <c r="X8" s="88">
        <v>44871</v>
      </c>
      <c r="Y8" s="86" t="s">
        <v>332</v>
      </c>
      <c r="Z8" s="84" t="str">
        <f>HYPERLINK("https://twitter.com/paoloigna1/status/1589379076179234816")</f>
        <v>https://twitter.com/paoloigna1/status/1589379076179234816</v>
      </c>
      <c r="AA8" s="80"/>
      <c r="AB8" s="80"/>
      <c r="AC8" s="86" t="s">
        <v>370</v>
      </c>
      <c r="AD8" s="80"/>
      <c r="AE8" s="80" t="b">
        <v>0</v>
      </c>
      <c r="AF8" s="80">
        <v>0</v>
      </c>
      <c r="AG8" s="86" t="s">
        <v>409</v>
      </c>
      <c r="AH8" s="80" t="b">
        <v>0</v>
      </c>
      <c r="AI8" s="80" t="s">
        <v>410</v>
      </c>
      <c r="AJ8" s="80"/>
      <c r="AK8" s="86" t="s">
        <v>409</v>
      </c>
      <c r="AL8" s="80" t="b">
        <v>0</v>
      </c>
      <c r="AM8" s="80">
        <v>1</v>
      </c>
      <c r="AN8" s="86" t="s">
        <v>395</v>
      </c>
      <c r="AO8" s="86" t="s">
        <v>416</v>
      </c>
      <c r="AP8" s="80" t="b">
        <v>0</v>
      </c>
      <c r="AQ8" s="86" t="s">
        <v>395</v>
      </c>
      <c r="AR8" s="80" t="s">
        <v>211</v>
      </c>
      <c r="AS8" s="80">
        <v>0</v>
      </c>
      <c r="AT8" s="80">
        <v>0</v>
      </c>
      <c r="AU8" s="80"/>
      <c r="AV8" s="80"/>
      <c r="AW8" s="80"/>
      <c r="AX8" s="80"/>
      <c r="AY8" s="80"/>
      <c r="AZ8" s="80"/>
      <c r="BA8" s="80"/>
      <c r="BB8" s="80"/>
      <c r="BC8">
        <v>2</v>
      </c>
      <c r="BD8" s="79" t="str">
        <f>REPLACE(INDEX(GroupVertices[Group],MATCH(Edges[[#This Row],[Vertex 1]],GroupVertices[Vertex],0)),1,1,"")</f>
        <v>1</v>
      </c>
      <c r="BE8" s="79" t="str">
        <f>REPLACE(INDEX(GroupVertices[Group],MATCH(Edges[[#This Row],[Vertex 2]],GroupVertices[Vertex],0)),1,1,"")</f>
        <v>1</v>
      </c>
      <c r="BF8" s="47">
        <v>0</v>
      </c>
      <c r="BG8" s="48">
        <v>0</v>
      </c>
      <c r="BH8" s="47">
        <v>0</v>
      </c>
      <c r="BI8" s="48">
        <v>0</v>
      </c>
      <c r="BJ8" s="47">
        <v>0</v>
      </c>
      <c r="BK8" s="48">
        <v>0</v>
      </c>
      <c r="BL8" s="47">
        <v>18</v>
      </c>
      <c r="BM8" s="48">
        <v>69.23076923076923</v>
      </c>
      <c r="BN8" s="47">
        <v>26</v>
      </c>
    </row>
    <row r="9" spans="1:66" ht="30">
      <c r="A9" s="78" t="s">
        <v>251</v>
      </c>
      <c r="B9" s="78" t="s">
        <v>257</v>
      </c>
      <c r="C9" s="49" t="s">
        <v>885</v>
      </c>
      <c r="D9" s="50">
        <v>3</v>
      </c>
      <c r="E9" s="62" t="s">
        <v>136</v>
      </c>
      <c r="F9" s="51">
        <v>31.037037037037038</v>
      </c>
      <c r="G9" s="49"/>
      <c r="H9" s="53"/>
      <c r="I9" s="52"/>
      <c r="J9" s="52"/>
      <c r="K9" s="32" t="s">
        <v>65</v>
      </c>
      <c r="L9" s="77">
        <v>9</v>
      </c>
      <c r="M9" s="77"/>
      <c r="N9" s="59"/>
      <c r="O9" s="80" t="s">
        <v>271</v>
      </c>
      <c r="P9" s="82">
        <v>44873.44777777778</v>
      </c>
      <c r="Q9" s="80" t="s">
        <v>276</v>
      </c>
      <c r="R9" s="84" t="str">
        <f>HYPERLINK("https://twitter.com/elonmusk/status/1589791846737522688")</f>
        <v>https://twitter.com/elonmusk/status/1589791846737522688</v>
      </c>
      <c r="S9" s="80" t="s">
        <v>306</v>
      </c>
      <c r="T9" s="86" t="s">
        <v>312</v>
      </c>
      <c r="U9" s="80"/>
      <c r="V9" s="84" t="str">
        <f>HYPERLINK("https://pbs.twimg.com/profile_images/1060178682403266561/Kuf9_hvx_normal.jpg")</f>
        <v>https://pbs.twimg.com/profile_images/1060178682403266561/Kuf9_hvx_normal.jpg</v>
      </c>
      <c r="W9" s="82">
        <v>44873.44777777778</v>
      </c>
      <c r="X9" s="88">
        <v>44873</v>
      </c>
      <c r="Y9" s="86" t="s">
        <v>333</v>
      </c>
      <c r="Z9" s="84" t="str">
        <f>HYPERLINK("https://twitter.com/paoloigna1/status/1589931937346760705")</f>
        <v>https://twitter.com/paoloigna1/status/1589931937346760705</v>
      </c>
      <c r="AA9" s="80"/>
      <c r="AB9" s="80"/>
      <c r="AC9" s="86" t="s">
        <v>371</v>
      </c>
      <c r="AD9" s="80"/>
      <c r="AE9" s="80" t="b">
        <v>0</v>
      </c>
      <c r="AF9" s="80">
        <v>0</v>
      </c>
      <c r="AG9" s="86" t="s">
        <v>409</v>
      </c>
      <c r="AH9" s="80" t="b">
        <v>1</v>
      </c>
      <c r="AI9" s="80" t="s">
        <v>410</v>
      </c>
      <c r="AJ9" s="80"/>
      <c r="AK9" s="86" t="s">
        <v>413</v>
      </c>
      <c r="AL9" s="80" t="b">
        <v>0</v>
      </c>
      <c r="AM9" s="80">
        <v>3</v>
      </c>
      <c r="AN9" s="86" t="s">
        <v>398</v>
      </c>
      <c r="AO9" s="86" t="s">
        <v>416</v>
      </c>
      <c r="AP9" s="80" t="b">
        <v>0</v>
      </c>
      <c r="AQ9" s="86" t="s">
        <v>398</v>
      </c>
      <c r="AR9" s="80" t="s">
        <v>211</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23</v>
      </c>
      <c r="BM9" s="48">
        <v>62.16216216216216</v>
      </c>
      <c r="BN9" s="47">
        <v>37</v>
      </c>
    </row>
    <row r="10" spans="1:66" ht="15">
      <c r="A10" s="78" t="s">
        <v>252</v>
      </c>
      <c r="B10" s="78" t="s">
        <v>257</v>
      </c>
      <c r="C10" s="49" t="s">
        <v>884</v>
      </c>
      <c r="D10" s="50">
        <v>3</v>
      </c>
      <c r="E10" s="62" t="s">
        <v>132</v>
      </c>
      <c r="F10" s="51">
        <v>32</v>
      </c>
      <c r="G10" s="49"/>
      <c r="H10" s="53"/>
      <c r="I10" s="52"/>
      <c r="J10" s="52"/>
      <c r="K10" s="32" t="s">
        <v>65</v>
      </c>
      <c r="L10" s="77">
        <v>10</v>
      </c>
      <c r="M10" s="77"/>
      <c r="N10" s="59"/>
      <c r="O10" s="80" t="s">
        <v>271</v>
      </c>
      <c r="P10" s="82">
        <v>44873.548125</v>
      </c>
      <c r="Q10" s="80" t="s">
        <v>276</v>
      </c>
      <c r="R10" s="84" t="str">
        <f>HYPERLINK("https://twitter.com/elonmusk/status/1589791846737522688")</f>
        <v>https://twitter.com/elonmusk/status/1589791846737522688</v>
      </c>
      <c r="S10" s="80" t="s">
        <v>306</v>
      </c>
      <c r="T10" s="86" t="s">
        <v>312</v>
      </c>
      <c r="U10" s="80"/>
      <c r="V10" s="84" t="str">
        <f>HYPERLINK("https://pbs.twimg.com/profile_images/1575211829978071041/Dv1L40sv_normal.jpg")</f>
        <v>https://pbs.twimg.com/profile_images/1575211829978071041/Dv1L40sv_normal.jpg</v>
      </c>
      <c r="W10" s="82">
        <v>44873.548125</v>
      </c>
      <c r="X10" s="88">
        <v>44873</v>
      </c>
      <c r="Y10" s="86" t="s">
        <v>334</v>
      </c>
      <c r="Z10" s="84" t="str">
        <f>HYPERLINK("https://twitter.com/iosu_blanco/status/1589968302042144769")</f>
        <v>https://twitter.com/iosu_blanco/status/1589968302042144769</v>
      </c>
      <c r="AA10" s="80"/>
      <c r="AB10" s="80"/>
      <c r="AC10" s="86" t="s">
        <v>372</v>
      </c>
      <c r="AD10" s="80"/>
      <c r="AE10" s="80" t="b">
        <v>0</v>
      </c>
      <c r="AF10" s="80">
        <v>0</v>
      </c>
      <c r="AG10" s="86" t="s">
        <v>409</v>
      </c>
      <c r="AH10" s="80" t="b">
        <v>1</v>
      </c>
      <c r="AI10" s="80" t="s">
        <v>410</v>
      </c>
      <c r="AJ10" s="80"/>
      <c r="AK10" s="86" t="s">
        <v>413</v>
      </c>
      <c r="AL10" s="80" t="b">
        <v>0</v>
      </c>
      <c r="AM10" s="80">
        <v>3</v>
      </c>
      <c r="AN10" s="86" t="s">
        <v>398</v>
      </c>
      <c r="AO10" s="86" t="s">
        <v>414</v>
      </c>
      <c r="AP10" s="80" t="b">
        <v>0</v>
      </c>
      <c r="AQ10" s="86" t="s">
        <v>398</v>
      </c>
      <c r="AR10" s="80" t="s">
        <v>211</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7">
        <v>0</v>
      </c>
      <c r="BG10" s="48">
        <v>0</v>
      </c>
      <c r="BH10" s="47">
        <v>0</v>
      </c>
      <c r="BI10" s="48">
        <v>0</v>
      </c>
      <c r="BJ10" s="47">
        <v>0</v>
      </c>
      <c r="BK10" s="48">
        <v>0</v>
      </c>
      <c r="BL10" s="47">
        <v>23</v>
      </c>
      <c r="BM10" s="48">
        <v>62.16216216216216</v>
      </c>
      <c r="BN10" s="47">
        <v>37</v>
      </c>
    </row>
    <row r="11" spans="1:66" ht="15">
      <c r="A11" s="78" t="s">
        <v>253</v>
      </c>
      <c r="B11" s="78" t="s">
        <v>257</v>
      </c>
      <c r="C11" s="49" t="s">
        <v>884</v>
      </c>
      <c r="D11" s="50">
        <v>3</v>
      </c>
      <c r="E11" s="62" t="s">
        <v>132</v>
      </c>
      <c r="F11" s="51">
        <v>32</v>
      </c>
      <c r="G11" s="49"/>
      <c r="H11" s="53"/>
      <c r="I11" s="52"/>
      <c r="J11" s="52"/>
      <c r="K11" s="32" t="s">
        <v>65</v>
      </c>
      <c r="L11" s="77">
        <v>11</v>
      </c>
      <c r="M11" s="77"/>
      <c r="N11" s="59"/>
      <c r="O11" s="80" t="s">
        <v>271</v>
      </c>
      <c r="P11" s="82">
        <v>44873.61951388889</v>
      </c>
      <c r="Q11" s="80" t="s">
        <v>277</v>
      </c>
      <c r="R11" s="84" t="str">
        <f>HYPERLINK("https://eventbrite.com/e/2023-winter-school-social-networks-nodexl-pro-a-few-clicks-to-insights-tickets-393167403287")</f>
        <v>https://eventbrite.com/e/2023-winter-school-social-networks-nodexl-pro-a-few-clicks-to-insights-tickets-393167403287</v>
      </c>
      <c r="S11" s="80" t="s">
        <v>304</v>
      </c>
      <c r="T11" s="86" t="s">
        <v>310</v>
      </c>
      <c r="U11" s="80"/>
      <c r="V11" s="84" t="str">
        <f>HYPERLINK("https://pbs.twimg.com/profile_images/864997760621174784/AUqwmm07_normal.jpg")</f>
        <v>https://pbs.twimg.com/profile_images/864997760621174784/AUqwmm07_normal.jpg</v>
      </c>
      <c r="W11" s="82">
        <v>44873.61951388889</v>
      </c>
      <c r="X11" s="88">
        <v>44873</v>
      </c>
      <c r="Y11" s="86" t="s">
        <v>335</v>
      </c>
      <c r="Z11" s="84" t="str">
        <f>HYPERLINK("https://twitter.com/nodexl_mktng/status/1589994176174694400")</f>
        <v>https://twitter.com/nodexl_mktng/status/1589994176174694400</v>
      </c>
      <c r="AA11" s="80"/>
      <c r="AB11" s="80"/>
      <c r="AC11" s="86" t="s">
        <v>373</v>
      </c>
      <c r="AD11" s="80"/>
      <c r="AE11" s="80" t="b">
        <v>0</v>
      </c>
      <c r="AF11" s="80">
        <v>0</v>
      </c>
      <c r="AG11" s="86" t="s">
        <v>409</v>
      </c>
      <c r="AH11" s="80" t="b">
        <v>0</v>
      </c>
      <c r="AI11" s="80" t="s">
        <v>411</v>
      </c>
      <c r="AJ11" s="80"/>
      <c r="AK11" s="86" t="s">
        <v>409</v>
      </c>
      <c r="AL11" s="80" t="b">
        <v>0</v>
      </c>
      <c r="AM11" s="80">
        <v>1</v>
      </c>
      <c r="AN11" s="86" t="s">
        <v>399</v>
      </c>
      <c r="AO11" s="86" t="s">
        <v>415</v>
      </c>
      <c r="AP11" s="80" t="b">
        <v>0</v>
      </c>
      <c r="AQ11" s="86" t="s">
        <v>399</v>
      </c>
      <c r="AR11" s="80" t="s">
        <v>211</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7">
        <v>0</v>
      </c>
      <c r="BG11" s="48">
        <v>0</v>
      </c>
      <c r="BH11" s="47">
        <v>0</v>
      </c>
      <c r="BI11" s="48">
        <v>0</v>
      </c>
      <c r="BJ11" s="47">
        <v>0</v>
      </c>
      <c r="BK11" s="48">
        <v>0</v>
      </c>
      <c r="BL11" s="47">
        <v>25</v>
      </c>
      <c r="BM11" s="48">
        <v>71.42857142857143</v>
      </c>
      <c r="BN11" s="47">
        <v>35</v>
      </c>
    </row>
    <row r="12" spans="1:66" ht="15">
      <c r="A12" s="78" t="s">
        <v>254</v>
      </c>
      <c r="B12" s="78" t="s">
        <v>257</v>
      </c>
      <c r="C12" s="49" t="s">
        <v>884</v>
      </c>
      <c r="D12" s="50">
        <v>3</v>
      </c>
      <c r="E12" s="62" t="s">
        <v>132</v>
      </c>
      <c r="F12" s="51">
        <v>32</v>
      </c>
      <c r="G12" s="49"/>
      <c r="H12" s="53"/>
      <c r="I12" s="52"/>
      <c r="J12" s="52"/>
      <c r="K12" s="32" t="s">
        <v>65</v>
      </c>
      <c r="L12" s="77">
        <v>12</v>
      </c>
      <c r="M12" s="77"/>
      <c r="N12" s="59"/>
      <c r="O12" s="80" t="s">
        <v>271</v>
      </c>
      <c r="P12" s="82">
        <v>44873.878854166665</v>
      </c>
      <c r="Q12" s="80" t="s">
        <v>276</v>
      </c>
      <c r="R12" s="84" t="str">
        <f>HYPERLINK("https://twitter.com/elonmusk/status/1589791846737522688")</f>
        <v>https://twitter.com/elonmusk/status/1589791846737522688</v>
      </c>
      <c r="S12" s="80" t="s">
        <v>306</v>
      </c>
      <c r="T12" s="86" t="s">
        <v>312</v>
      </c>
      <c r="U12" s="80"/>
      <c r="V12" s="84" t="str">
        <f>HYPERLINK("https://pbs.twimg.com/profile_images/1573610605356978176/aPKVs--g_normal.jpg")</f>
        <v>https://pbs.twimg.com/profile_images/1573610605356978176/aPKVs--g_normal.jpg</v>
      </c>
      <c r="W12" s="82">
        <v>44873.878854166665</v>
      </c>
      <c r="X12" s="88">
        <v>44873</v>
      </c>
      <c r="Y12" s="86" t="s">
        <v>336</v>
      </c>
      <c r="Z12" s="84" t="str">
        <f>HYPERLINK("https://twitter.com/emiliobarredam/status/1590088155944091648")</f>
        <v>https://twitter.com/emiliobarredam/status/1590088155944091648</v>
      </c>
      <c r="AA12" s="80"/>
      <c r="AB12" s="80"/>
      <c r="AC12" s="86" t="s">
        <v>374</v>
      </c>
      <c r="AD12" s="80"/>
      <c r="AE12" s="80" t="b">
        <v>0</v>
      </c>
      <c r="AF12" s="80">
        <v>0</v>
      </c>
      <c r="AG12" s="86" t="s">
        <v>409</v>
      </c>
      <c r="AH12" s="80" t="b">
        <v>1</v>
      </c>
      <c r="AI12" s="80" t="s">
        <v>410</v>
      </c>
      <c r="AJ12" s="80"/>
      <c r="AK12" s="86" t="s">
        <v>413</v>
      </c>
      <c r="AL12" s="80" t="b">
        <v>0</v>
      </c>
      <c r="AM12" s="80">
        <v>3</v>
      </c>
      <c r="AN12" s="86" t="s">
        <v>398</v>
      </c>
      <c r="AO12" s="86" t="s">
        <v>414</v>
      </c>
      <c r="AP12" s="80" t="b">
        <v>0</v>
      </c>
      <c r="AQ12" s="86" t="s">
        <v>398</v>
      </c>
      <c r="AR12" s="80" t="s">
        <v>211</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7">
        <v>0</v>
      </c>
      <c r="BG12" s="48">
        <v>0</v>
      </c>
      <c r="BH12" s="47">
        <v>0</v>
      </c>
      <c r="BI12" s="48">
        <v>0</v>
      </c>
      <c r="BJ12" s="47">
        <v>0</v>
      </c>
      <c r="BK12" s="48">
        <v>0</v>
      </c>
      <c r="BL12" s="47">
        <v>23</v>
      </c>
      <c r="BM12" s="48">
        <v>62.16216216216216</v>
      </c>
      <c r="BN12" s="47">
        <v>37</v>
      </c>
    </row>
    <row r="13" spans="1:66" ht="15">
      <c r="A13" s="78" t="s">
        <v>255</v>
      </c>
      <c r="B13" s="78" t="s">
        <v>256</v>
      </c>
      <c r="C13" s="49" t="s">
        <v>884</v>
      </c>
      <c r="D13" s="50">
        <v>3</v>
      </c>
      <c r="E13" s="62" t="s">
        <v>132</v>
      </c>
      <c r="F13" s="51">
        <v>32</v>
      </c>
      <c r="G13" s="49"/>
      <c r="H13" s="53"/>
      <c r="I13" s="52"/>
      <c r="J13" s="52"/>
      <c r="K13" s="32" t="s">
        <v>66</v>
      </c>
      <c r="L13" s="77">
        <v>13</v>
      </c>
      <c r="M13" s="77"/>
      <c r="N13" s="59"/>
      <c r="O13" s="80" t="s">
        <v>272</v>
      </c>
      <c r="P13" s="82">
        <v>44867.49618055556</v>
      </c>
      <c r="Q13" s="80" t="s">
        <v>273</v>
      </c>
      <c r="R13" s="84" t="str">
        <f>HYPERLINK("https://vivianfrancos.com/sencalkapimi-cuando-es-el-hashtag-de-una-novela-el-que-genera-todas-las-pasiones/")</f>
        <v>https://vivianfrancos.com/sencalkapimi-cuando-es-el-hashtag-de-una-novela-el-que-genera-todas-las-pasiones/</v>
      </c>
      <c r="S13" s="80" t="s">
        <v>303</v>
      </c>
      <c r="T13" s="86" t="s">
        <v>309</v>
      </c>
      <c r="U13" s="80"/>
      <c r="V13" s="84" t="str">
        <f>HYPERLINK("https://pbs.twimg.com/profile_images/708058715669307392/e7v2PkQQ_normal.jpg")</f>
        <v>https://pbs.twimg.com/profile_images/708058715669307392/e7v2PkQQ_normal.jpg</v>
      </c>
      <c r="W13" s="82">
        <v>44867.49618055556</v>
      </c>
      <c r="X13" s="88">
        <v>44867</v>
      </c>
      <c r="Y13" s="86" t="s">
        <v>337</v>
      </c>
      <c r="Z13" s="84" t="str">
        <f>HYPERLINK("https://twitter.com/ordencamacho/status/1587775152909127686")</f>
        <v>https://twitter.com/ordencamacho/status/1587775152909127686</v>
      </c>
      <c r="AA13" s="80"/>
      <c r="AB13" s="80"/>
      <c r="AC13" s="86" t="s">
        <v>375</v>
      </c>
      <c r="AD13" s="80"/>
      <c r="AE13" s="80" t="b">
        <v>0</v>
      </c>
      <c r="AF13" s="80">
        <v>2</v>
      </c>
      <c r="AG13" s="86" t="s">
        <v>409</v>
      </c>
      <c r="AH13" s="80" t="b">
        <v>0</v>
      </c>
      <c r="AI13" s="80" t="s">
        <v>410</v>
      </c>
      <c r="AJ13" s="80"/>
      <c r="AK13" s="86" t="s">
        <v>409</v>
      </c>
      <c r="AL13" s="80" t="b">
        <v>0</v>
      </c>
      <c r="AM13" s="80">
        <v>3</v>
      </c>
      <c r="AN13" s="86" t="s">
        <v>409</v>
      </c>
      <c r="AO13" s="86" t="s">
        <v>417</v>
      </c>
      <c r="AP13" s="80" t="b">
        <v>0</v>
      </c>
      <c r="AQ13" s="86" t="s">
        <v>375</v>
      </c>
      <c r="AR13" s="80" t="s">
        <v>211</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7"/>
      <c r="BG13" s="48"/>
      <c r="BH13" s="47"/>
      <c r="BI13" s="48"/>
      <c r="BJ13" s="47"/>
      <c r="BK13" s="48"/>
      <c r="BL13" s="47"/>
      <c r="BM13" s="48"/>
      <c r="BN13" s="47"/>
    </row>
    <row r="14" spans="1:66" ht="15">
      <c r="A14" s="78" t="s">
        <v>256</v>
      </c>
      <c r="B14" s="78" t="s">
        <v>257</v>
      </c>
      <c r="C14" s="49" t="s">
        <v>884</v>
      </c>
      <c r="D14" s="50">
        <v>3</v>
      </c>
      <c r="E14" s="62" t="s">
        <v>132</v>
      </c>
      <c r="F14" s="51">
        <v>32</v>
      </c>
      <c r="G14" s="49"/>
      <c r="H14" s="53"/>
      <c r="I14" s="52"/>
      <c r="J14" s="52"/>
      <c r="K14" s="32" t="s">
        <v>66</v>
      </c>
      <c r="L14" s="77">
        <v>14</v>
      </c>
      <c r="M14" s="77"/>
      <c r="N14" s="59"/>
      <c r="O14" s="80" t="s">
        <v>271</v>
      </c>
      <c r="P14" s="82">
        <v>44867.46501157407</v>
      </c>
      <c r="Q14" s="80" t="s">
        <v>278</v>
      </c>
      <c r="R14" s="84" t="str">
        <f>HYPERLINK("https://vivianfrancos.com/sencalkapimi-cuando-es-el-hashtag-de-una-novela-el-que-genera-todas-las-pasiones/")</f>
        <v>https://vivianfrancos.com/sencalkapimi-cuando-es-el-hashtag-de-una-novela-el-que-genera-todas-las-pasiones/</v>
      </c>
      <c r="S14" s="80" t="s">
        <v>303</v>
      </c>
      <c r="T14" s="86" t="s">
        <v>309</v>
      </c>
      <c r="U14" s="80"/>
      <c r="V14" s="84" t="str">
        <f>HYPERLINK("https://pbs.twimg.com/profile_images/1501490089041567749/5cItZGxg_normal.jpg")</f>
        <v>https://pbs.twimg.com/profile_images/1501490089041567749/5cItZGxg_normal.jpg</v>
      </c>
      <c r="W14" s="82">
        <v>44867.46501157407</v>
      </c>
      <c r="X14" s="88">
        <v>44867</v>
      </c>
      <c r="Y14" s="86" t="s">
        <v>338</v>
      </c>
      <c r="Z14" s="84" t="str">
        <f>HYPERLINK("https://twitter.com/assuntaigor18/status/1587763855412924418")</f>
        <v>https://twitter.com/assuntaigor18/status/1587763855412924418</v>
      </c>
      <c r="AA14" s="80"/>
      <c r="AB14" s="80"/>
      <c r="AC14" s="86" t="s">
        <v>376</v>
      </c>
      <c r="AD14" s="80"/>
      <c r="AE14" s="80" t="b">
        <v>0</v>
      </c>
      <c r="AF14" s="80">
        <v>0</v>
      </c>
      <c r="AG14" s="86" t="s">
        <v>409</v>
      </c>
      <c r="AH14" s="80" t="b">
        <v>0</v>
      </c>
      <c r="AI14" s="80" t="s">
        <v>410</v>
      </c>
      <c r="AJ14" s="80"/>
      <c r="AK14" s="86" t="s">
        <v>409</v>
      </c>
      <c r="AL14" s="80" t="b">
        <v>0</v>
      </c>
      <c r="AM14" s="80">
        <v>1</v>
      </c>
      <c r="AN14" s="86" t="s">
        <v>381</v>
      </c>
      <c r="AO14" s="86" t="s">
        <v>414</v>
      </c>
      <c r="AP14" s="80" t="b">
        <v>0</v>
      </c>
      <c r="AQ14" s="86" t="s">
        <v>381</v>
      </c>
      <c r="AR14" s="80" t="s">
        <v>211</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1</v>
      </c>
      <c r="BF14" s="47">
        <v>0</v>
      </c>
      <c r="BG14" s="48">
        <v>0</v>
      </c>
      <c r="BH14" s="47">
        <v>0</v>
      </c>
      <c r="BI14" s="48">
        <v>0</v>
      </c>
      <c r="BJ14" s="47">
        <v>0</v>
      </c>
      <c r="BK14" s="48">
        <v>0</v>
      </c>
      <c r="BL14" s="47">
        <v>8</v>
      </c>
      <c r="BM14" s="48">
        <v>53.333333333333336</v>
      </c>
      <c r="BN14" s="47">
        <v>15</v>
      </c>
    </row>
    <row r="15" spans="1:66" ht="15">
      <c r="A15" s="78" t="s">
        <v>256</v>
      </c>
      <c r="B15" s="78" t="s">
        <v>257</v>
      </c>
      <c r="C15" s="49" t="s">
        <v>884</v>
      </c>
      <c r="D15" s="50">
        <v>3</v>
      </c>
      <c r="E15" s="62" t="s">
        <v>132</v>
      </c>
      <c r="F15" s="51">
        <v>32</v>
      </c>
      <c r="G15" s="49"/>
      <c r="H15" s="53"/>
      <c r="I15" s="52"/>
      <c r="J15" s="52"/>
      <c r="K15" s="32" t="s">
        <v>66</v>
      </c>
      <c r="L15" s="77">
        <v>15</v>
      </c>
      <c r="M15" s="77"/>
      <c r="N15" s="59"/>
      <c r="O15" s="80" t="s">
        <v>270</v>
      </c>
      <c r="P15" s="82">
        <v>44867.67077546296</v>
      </c>
      <c r="Q15" s="80" t="s">
        <v>273</v>
      </c>
      <c r="R15" s="84" t="str">
        <f>HYPERLINK("https://vivianfrancos.com/sencalkapimi-cuando-es-el-hashtag-de-una-novela-el-que-genera-todas-las-pasiones/")</f>
        <v>https://vivianfrancos.com/sencalkapimi-cuando-es-el-hashtag-de-una-novela-el-que-genera-todas-las-pasiones/</v>
      </c>
      <c r="S15" s="80" t="s">
        <v>303</v>
      </c>
      <c r="T15" s="86" t="s">
        <v>309</v>
      </c>
      <c r="U15" s="80"/>
      <c r="V15" s="84" t="str">
        <f>HYPERLINK("https://pbs.twimg.com/profile_images/1501490089041567749/5cItZGxg_normal.jpg")</f>
        <v>https://pbs.twimg.com/profile_images/1501490089041567749/5cItZGxg_normal.jpg</v>
      </c>
      <c r="W15" s="82">
        <v>44867.67077546296</v>
      </c>
      <c r="X15" s="88">
        <v>44867</v>
      </c>
      <c r="Y15" s="86" t="s">
        <v>339</v>
      </c>
      <c r="Z15" s="84" t="str">
        <f>HYPERLINK("https://twitter.com/assuntaigor18/status/1587838425234808839")</f>
        <v>https://twitter.com/assuntaigor18/status/1587838425234808839</v>
      </c>
      <c r="AA15" s="80"/>
      <c r="AB15" s="80"/>
      <c r="AC15" s="86" t="s">
        <v>377</v>
      </c>
      <c r="AD15" s="80"/>
      <c r="AE15" s="80" t="b">
        <v>0</v>
      </c>
      <c r="AF15" s="80">
        <v>0</v>
      </c>
      <c r="AG15" s="86" t="s">
        <v>409</v>
      </c>
      <c r="AH15" s="80" t="b">
        <v>0</v>
      </c>
      <c r="AI15" s="80" t="s">
        <v>410</v>
      </c>
      <c r="AJ15" s="80"/>
      <c r="AK15" s="86" t="s">
        <v>409</v>
      </c>
      <c r="AL15" s="80" t="b">
        <v>0</v>
      </c>
      <c r="AM15" s="80">
        <v>3</v>
      </c>
      <c r="AN15" s="86" t="s">
        <v>375</v>
      </c>
      <c r="AO15" s="86" t="s">
        <v>414</v>
      </c>
      <c r="AP15" s="80" t="b">
        <v>0</v>
      </c>
      <c r="AQ15" s="86" t="s">
        <v>375</v>
      </c>
      <c r="AR15" s="80" t="s">
        <v>211</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1</v>
      </c>
      <c r="BF15" s="47"/>
      <c r="BG15" s="48"/>
      <c r="BH15" s="47"/>
      <c r="BI15" s="48"/>
      <c r="BJ15" s="47"/>
      <c r="BK15" s="48"/>
      <c r="BL15" s="47"/>
      <c r="BM15" s="48"/>
      <c r="BN15" s="47"/>
    </row>
    <row r="16" spans="1:66" ht="15">
      <c r="A16" s="78" t="s">
        <v>256</v>
      </c>
      <c r="B16" s="78" t="s">
        <v>255</v>
      </c>
      <c r="C16" s="49" t="s">
        <v>884</v>
      </c>
      <c r="D16" s="50">
        <v>3</v>
      </c>
      <c r="E16" s="62" t="s">
        <v>132</v>
      </c>
      <c r="F16" s="51">
        <v>32</v>
      </c>
      <c r="G16" s="49"/>
      <c r="H16" s="53"/>
      <c r="I16" s="52"/>
      <c r="J16" s="52"/>
      <c r="K16" s="32" t="s">
        <v>66</v>
      </c>
      <c r="L16" s="77">
        <v>16</v>
      </c>
      <c r="M16" s="77"/>
      <c r="N16" s="59"/>
      <c r="O16" s="80" t="s">
        <v>271</v>
      </c>
      <c r="P16" s="82">
        <v>44867.67077546296</v>
      </c>
      <c r="Q16" s="80" t="s">
        <v>273</v>
      </c>
      <c r="R16" s="84" t="str">
        <f>HYPERLINK("https://vivianfrancos.com/sencalkapimi-cuando-es-el-hashtag-de-una-novela-el-que-genera-todas-las-pasiones/")</f>
        <v>https://vivianfrancos.com/sencalkapimi-cuando-es-el-hashtag-de-una-novela-el-que-genera-todas-las-pasiones/</v>
      </c>
      <c r="S16" s="80" t="s">
        <v>303</v>
      </c>
      <c r="T16" s="86" t="s">
        <v>309</v>
      </c>
      <c r="U16" s="80"/>
      <c r="V16" s="84" t="str">
        <f>HYPERLINK("https://pbs.twimg.com/profile_images/1501490089041567749/5cItZGxg_normal.jpg")</f>
        <v>https://pbs.twimg.com/profile_images/1501490089041567749/5cItZGxg_normal.jpg</v>
      </c>
      <c r="W16" s="82">
        <v>44867.67077546296</v>
      </c>
      <c r="X16" s="88">
        <v>44867</v>
      </c>
      <c r="Y16" s="86" t="s">
        <v>339</v>
      </c>
      <c r="Z16" s="84" t="str">
        <f>HYPERLINK("https://twitter.com/assuntaigor18/status/1587838425234808839")</f>
        <v>https://twitter.com/assuntaigor18/status/1587838425234808839</v>
      </c>
      <c r="AA16" s="80"/>
      <c r="AB16" s="80"/>
      <c r="AC16" s="86" t="s">
        <v>377</v>
      </c>
      <c r="AD16" s="80"/>
      <c r="AE16" s="80" t="b">
        <v>0</v>
      </c>
      <c r="AF16" s="80">
        <v>0</v>
      </c>
      <c r="AG16" s="86" t="s">
        <v>409</v>
      </c>
      <c r="AH16" s="80" t="b">
        <v>0</v>
      </c>
      <c r="AI16" s="80" t="s">
        <v>410</v>
      </c>
      <c r="AJ16" s="80"/>
      <c r="AK16" s="86" t="s">
        <v>409</v>
      </c>
      <c r="AL16" s="80" t="b">
        <v>0</v>
      </c>
      <c r="AM16" s="80">
        <v>3</v>
      </c>
      <c r="AN16" s="86" t="s">
        <v>375</v>
      </c>
      <c r="AO16" s="86" t="s">
        <v>414</v>
      </c>
      <c r="AP16" s="80" t="b">
        <v>0</v>
      </c>
      <c r="AQ16" s="86" t="s">
        <v>375</v>
      </c>
      <c r="AR16" s="80" t="s">
        <v>211</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7">
        <v>0</v>
      </c>
      <c r="BG16" s="48">
        <v>0</v>
      </c>
      <c r="BH16" s="47">
        <v>0</v>
      </c>
      <c r="BI16" s="48">
        <v>0</v>
      </c>
      <c r="BJ16" s="47">
        <v>0</v>
      </c>
      <c r="BK16" s="48">
        <v>0</v>
      </c>
      <c r="BL16" s="47">
        <v>10</v>
      </c>
      <c r="BM16" s="48">
        <v>52.63157894736842</v>
      </c>
      <c r="BN16" s="47">
        <v>19</v>
      </c>
    </row>
    <row r="17" spans="1:66" ht="15">
      <c r="A17" s="78" t="s">
        <v>257</v>
      </c>
      <c r="B17" s="78" t="s">
        <v>256</v>
      </c>
      <c r="C17" s="49" t="s">
        <v>884</v>
      </c>
      <c r="D17" s="50">
        <v>3</v>
      </c>
      <c r="E17" s="62" t="s">
        <v>132</v>
      </c>
      <c r="F17" s="51">
        <v>32</v>
      </c>
      <c r="G17" s="49"/>
      <c r="H17" s="53"/>
      <c r="I17" s="52"/>
      <c r="J17" s="52"/>
      <c r="K17" s="32" t="s">
        <v>66</v>
      </c>
      <c r="L17" s="77">
        <v>17</v>
      </c>
      <c r="M17" s="77"/>
      <c r="N17" s="59"/>
      <c r="O17" s="80" t="s">
        <v>270</v>
      </c>
      <c r="P17" s="82">
        <v>44867.551712962966</v>
      </c>
      <c r="Q17" s="80" t="s">
        <v>273</v>
      </c>
      <c r="R17" s="84" t="str">
        <f>HYPERLINK("https://vivianfrancos.com/sencalkapimi-cuando-es-el-hashtag-de-una-novela-el-que-genera-todas-las-pasiones/")</f>
        <v>https://vivianfrancos.com/sencalkapimi-cuando-es-el-hashtag-de-una-novela-el-que-genera-todas-las-pasiones/</v>
      </c>
      <c r="S17" s="80" t="s">
        <v>303</v>
      </c>
      <c r="T17" s="86" t="s">
        <v>309</v>
      </c>
      <c r="U17" s="80"/>
      <c r="V17" s="84" t="str">
        <f>HYPERLINK("https://pbs.twimg.com/profile_images/1487756429276684289/Kqq9xAOb_normal.png")</f>
        <v>https://pbs.twimg.com/profile_images/1487756429276684289/Kqq9xAOb_normal.png</v>
      </c>
      <c r="W17" s="82">
        <v>44867.551712962966</v>
      </c>
      <c r="X17" s="88">
        <v>44867</v>
      </c>
      <c r="Y17" s="86" t="s">
        <v>340</v>
      </c>
      <c r="Z17" s="84" t="str">
        <f>HYPERLINK("https://twitter.com/hashtagmarketi7/status/1587795276181405699")</f>
        <v>https://twitter.com/hashtagmarketi7/status/1587795276181405699</v>
      </c>
      <c r="AA17" s="80"/>
      <c r="AB17" s="80"/>
      <c r="AC17" s="86" t="s">
        <v>378</v>
      </c>
      <c r="AD17" s="80"/>
      <c r="AE17" s="80" t="b">
        <v>0</v>
      </c>
      <c r="AF17" s="80">
        <v>0</v>
      </c>
      <c r="AG17" s="86" t="s">
        <v>409</v>
      </c>
      <c r="AH17" s="80" t="b">
        <v>0</v>
      </c>
      <c r="AI17" s="80" t="s">
        <v>410</v>
      </c>
      <c r="AJ17" s="80"/>
      <c r="AK17" s="86" t="s">
        <v>409</v>
      </c>
      <c r="AL17" s="80" t="b">
        <v>0</v>
      </c>
      <c r="AM17" s="80">
        <v>3</v>
      </c>
      <c r="AN17" s="86" t="s">
        <v>375</v>
      </c>
      <c r="AO17" s="86" t="s">
        <v>414</v>
      </c>
      <c r="AP17" s="80" t="b">
        <v>0</v>
      </c>
      <c r="AQ17" s="86" t="s">
        <v>375</v>
      </c>
      <c r="AR17" s="80" t="s">
        <v>211</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2</v>
      </c>
      <c r="BF17" s="47"/>
      <c r="BG17" s="48"/>
      <c r="BH17" s="47"/>
      <c r="BI17" s="48"/>
      <c r="BJ17" s="47"/>
      <c r="BK17" s="48"/>
      <c r="BL17" s="47"/>
      <c r="BM17" s="48"/>
      <c r="BN17" s="47"/>
    </row>
    <row r="18" spans="1:66" ht="15">
      <c r="A18" s="78" t="s">
        <v>255</v>
      </c>
      <c r="B18" s="78" t="s">
        <v>257</v>
      </c>
      <c r="C18" s="49" t="s">
        <v>884</v>
      </c>
      <c r="D18" s="50">
        <v>3</v>
      </c>
      <c r="E18" s="62" t="s">
        <v>132</v>
      </c>
      <c r="F18" s="51">
        <v>32</v>
      </c>
      <c r="G18" s="49"/>
      <c r="H18" s="53"/>
      <c r="I18" s="52"/>
      <c r="J18" s="52"/>
      <c r="K18" s="32" t="s">
        <v>66</v>
      </c>
      <c r="L18" s="77">
        <v>18</v>
      </c>
      <c r="M18" s="77"/>
      <c r="N18" s="59"/>
      <c r="O18" s="80" t="s">
        <v>272</v>
      </c>
      <c r="P18" s="82">
        <v>44867.49618055556</v>
      </c>
      <c r="Q18" s="80" t="s">
        <v>273</v>
      </c>
      <c r="R18" s="84" t="str">
        <f>HYPERLINK("https://vivianfrancos.com/sencalkapimi-cuando-es-el-hashtag-de-una-novela-el-que-genera-todas-las-pasiones/")</f>
        <v>https://vivianfrancos.com/sencalkapimi-cuando-es-el-hashtag-de-una-novela-el-que-genera-todas-las-pasiones/</v>
      </c>
      <c r="S18" s="80" t="s">
        <v>303</v>
      </c>
      <c r="T18" s="86" t="s">
        <v>309</v>
      </c>
      <c r="U18" s="80"/>
      <c r="V18" s="84" t="str">
        <f>HYPERLINK("https://pbs.twimg.com/profile_images/708058715669307392/e7v2PkQQ_normal.jpg")</f>
        <v>https://pbs.twimg.com/profile_images/708058715669307392/e7v2PkQQ_normal.jpg</v>
      </c>
      <c r="W18" s="82">
        <v>44867.49618055556</v>
      </c>
      <c r="X18" s="88">
        <v>44867</v>
      </c>
      <c r="Y18" s="86" t="s">
        <v>337</v>
      </c>
      <c r="Z18" s="84" t="str">
        <f>HYPERLINK("https://twitter.com/ordencamacho/status/1587775152909127686")</f>
        <v>https://twitter.com/ordencamacho/status/1587775152909127686</v>
      </c>
      <c r="AA18" s="80"/>
      <c r="AB18" s="80"/>
      <c r="AC18" s="86" t="s">
        <v>375</v>
      </c>
      <c r="AD18" s="80"/>
      <c r="AE18" s="80" t="b">
        <v>0</v>
      </c>
      <c r="AF18" s="80">
        <v>2</v>
      </c>
      <c r="AG18" s="86" t="s">
        <v>409</v>
      </c>
      <c r="AH18" s="80" t="b">
        <v>0</v>
      </c>
      <c r="AI18" s="80" t="s">
        <v>410</v>
      </c>
      <c r="AJ18" s="80"/>
      <c r="AK18" s="86" t="s">
        <v>409</v>
      </c>
      <c r="AL18" s="80" t="b">
        <v>0</v>
      </c>
      <c r="AM18" s="80">
        <v>3</v>
      </c>
      <c r="AN18" s="86" t="s">
        <v>409</v>
      </c>
      <c r="AO18" s="86" t="s">
        <v>417</v>
      </c>
      <c r="AP18" s="80" t="b">
        <v>0</v>
      </c>
      <c r="AQ18" s="86" t="s">
        <v>375</v>
      </c>
      <c r="AR18" s="80" t="s">
        <v>211</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1</v>
      </c>
      <c r="BF18" s="47">
        <v>0</v>
      </c>
      <c r="BG18" s="48">
        <v>0</v>
      </c>
      <c r="BH18" s="47">
        <v>0</v>
      </c>
      <c r="BI18" s="48">
        <v>0</v>
      </c>
      <c r="BJ18" s="47">
        <v>0</v>
      </c>
      <c r="BK18" s="48">
        <v>0</v>
      </c>
      <c r="BL18" s="47">
        <v>10</v>
      </c>
      <c r="BM18" s="48">
        <v>52.63157894736842</v>
      </c>
      <c r="BN18" s="47">
        <v>19</v>
      </c>
    </row>
    <row r="19" spans="1:66" ht="15">
      <c r="A19" s="78" t="s">
        <v>257</v>
      </c>
      <c r="B19" s="78" t="s">
        <v>255</v>
      </c>
      <c r="C19" s="49" t="s">
        <v>884</v>
      </c>
      <c r="D19" s="50">
        <v>3</v>
      </c>
      <c r="E19" s="62" t="s">
        <v>132</v>
      </c>
      <c r="F19" s="51">
        <v>32</v>
      </c>
      <c r="G19" s="49"/>
      <c r="H19" s="53"/>
      <c r="I19" s="52"/>
      <c r="J19" s="52"/>
      <c r="K19" s="32" t="s">
        <v>66</v>
      </c>
      <c r="L19" s="77">
        <v>19</v>
      </c>
      <c r="M19" s="77"/>
      <c r="N19" s="59"/>
      <c r="O19" s="80" t="s">
        <v>271</v>
      </c>
      <c r="P19" s="82">
        <v>44867.551712962966</v>
      </c>
      <c r="Q19" s="80" t="s">
        <v>273</v>
      </c>
      <c r="R19" s="84" t="str">
        <f>HYPERLINK("https://vivianfrancos.com/sencalkapimi-cuando-es-el-hashtag-de-una-novela-el-que-genera-todas-las-pasiones/")</f>
        <v>https://vivianfrancos.com/sencalkapimi-cuando-es-el-hashtag-de-una-novela-el-que-genera-todas-las-pasiones/</v>
      </c>
      <c r="S19" s="80" t="s">
        <v>303</v>
      </c>
      <c r="T19" s="86" t="s">
        <v>309</v>
      </c>
      <c r="U19" s="80"/>
      <c r="V19" s="84" t="str">
        <f>HYPERLINK("https://pbs.twimg.com/profile_images/1487756429276684289/Kqq9xAOb_normal.png")</f>
        <v>https://pbs.twimg.com/profile_images/1487756429276684289/Kqq9xAOb_normal.png</v>
      </c>
      <c r="W19" s="82">
        <v>44867.551712962966</v>
      </c>
      <c r="X19" s="88">
        <v>44867</v>
      </c>
      <c r="Y19" s="86" t="s">
        <v>340</v>
      </c>
      <c r="Z19" s="84" t="str">
        <f>HYPERLINK("https://twitter.com/hashtagmarketi7/status/1587795276181405699")</f>
        <v>https://twitter.com/hashtagmarketi7/status/1587795276181405699</v>
      </c>
      <c r="AA19" s="80"/>
      <c r="AB19" s="80"/>
      <c r="AC19" s="86" t="s">
        <v>378</v>
      </c>
      <c r="AD19" s="80"/>
      <c r="AE19" s="80" t="b">
        <v>0</v>
      </c>
      <c r="AF19" s="80">
        <v>0</v>
      </c>
      <c r="AG19" s="86" t="s">
        <v>409</v>
      </c>
      <c r="AH19" s="80" t="b">
        <v>0</v>
      </c>
      <c r="AI19" s="80" t="s">
        <v>410</v>
      </c>
      <c r="AJ19" s="80"/>
      <c r="AK19" s="86" t="s">
        <v>409</v>
      </c>
      <c r="AL19" s="80" t="b">
        <v>0</v>
      </c>
      <c r="AM19" s="80">
        <v>3</v>
      </c>
      <c r="AN19" s="86" t="s">
        <v>375</v>
      </c>
      <c r="AO19" s="86" t="s">
        <v>414</v>
      </c>
      <c r="AP19" s="80" t="b">
        <v>0</v>
      </c>
      <c r="AQ19" s="86" t="s">
        <v>375</v>
      </c>
      <c r="AR19" s="80" t="s">
        <v>211</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2</v>
      </c>
      <c r="BF19" s="47">
        <v>0</v>
      </c>
      <c r="BG19" s="48">
        <v>0</v>
      </c>
      <c r="BH19" s="47">
        <v>0</v>
      </c>
      <c r="BI19" s="48">
        <v>0</v>
      </c>
      <c r="BJ19" s="47">
        <v>0</v>
      </c>
      <c r="BK19" s="48">
        <v>0</v>
      </c>
      <c r="BL19" s="47">
        <v>10</v>
      </c>
      <c r="BM19" s="48">
        <v>52.63157894736842</v>
      </c>
      <c r="BN19" s="47">
        <v>19</v>
      </c>
    </row>
    <row r="20" spans="1:66" ht="15">
      <c r="A20" s="78" t="s">
        <v>257</v>
      </c>
      <c r="B20" s="78" t="s">
        <v>259</v>
      </c>
      <c r="C20" s="49" t="s">
        <v>884</v>
      </c>
      <c r="D20" s="50">
        <v>3</v>
      </c>
      <c r="E20" s="62" t="s">
        <v>132</v>
      </c>
      <c r="F20" s="51">
        <v>32</v>
      </c>
      <c r="G20" s="49"/>
      <c r="H20" s="53"/>
      <c r="I20" s="52"/>
      <c r="J20" s="52"/>
      <c r="K20" s="32" t="s">
        <v>65</v>
      </c>
      <c r="L20" s="77">
        <v>20</v>
      </c>
      <c r="M20" s="77"/>
      <c r="N20" s="59"/>
      <c r="O20" s="80" t="s">
        <v>272</v>
      </c>
      <c r="P20" s="82">
        <v>44875.596817129626</v>
      </c>
      <c r="Q20" s="80" t="s">
        <v>279</v>
      </c>
      <c r="R20" s="84" t="str">
        <f>HYPERLINK("https://nodexlgraphgallery.org/Pages/Graph.aspx?graphID=284368")</f>
        <v>https://nodexlgraphgallery.org/Pages/Graph.aspx?graphID=284368</v>
      </c>
      <c r="S20" s="80" t="s">
        <v>307</v>
      </c>
      <c r="T20" s="86" t="s">
        <v>313</v>
      </c>
      <c r="U20" s="80"/>
      <c r="V20" s="84" t="str">
        <f>HYPERLINK("https://pbs.twimg.com/profile_images/1487756429276684289/Kqq9xAOb_normal.png")</f>
        <v>https://pbs.twimg.com/profile_images/1487756429276684289/Kqq9xAOb_normal.png</v>
      </c>
      <c r="W20" s="82">
        <v>44875.596817129626</v>
      </c>
      <c r="X20" s="88">
        <v>44875</v>
      </c>
      <c r="Y20" s="86" t="s">
        <v>341</v>
      </c>
      <c r="Z20" s="84" t="str">
        <f>HYPERLINK("https://twitter.com/hashtagmarketi7/status/1590710726079172609")</f>
        <v>https://twitter.com/hashtagmarketi7/status/1590710726079172609</v>
      </c>
      <c r="AA20" s="80"/>
      <c r="AB20" s="80"/>
      <c r="AC20" s="86" t="s">
        <v>379</v>
      </c>
      <c r="AD20" s="80"/>
      <c r="AE20" s="80" t="b">
        <v>0</v>
      </c>
      <c r="AF20" s="80">
        <v>1</v>
      </c>
      <c r="AG20" s="86" t="s">
        <v>409</v>
      </c>
      <c r="AH20" s="80" t="b">
        <v>0</v>
      </c>
      <c r="AI20" s="80" t="s">
        <v>412</v>
      </c>
      <c r="AJ20" s="80"/>
      <c r="AK20" s="86" t="s">
        <v>409</v>
      </c>
      <c r="AL20" s="80" t="b">
        <v>0</v>
      </c>
      <c r="AM20" s="80">
        <v>0</v>
      </c>
      <c r="AN20" s="86" t="s">
        <v>409</v>
      </c>
      <c r="AO20" s="86" t="s">
        <v>416</v>
      </c>
      <c r="AP20" s="80" t="b">
        <v>0</v>
      </c>
      <c r="AQ20" s="86" t="s">
        <v>379</v>
      </c>
      <c r="AR20" s="80" t="s">
        <v>211</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7"/>
      <c r="BG20" s="48"/>
      <c r="BH20" s="47"/>
      <c r="BI20" s="48"/>
      <c r="BJ20" s="47"/>
      <c r="BK20" s="48"/>
      <c r="BL20" s="47"/>
      <c r="BM20" s="48"/>
      <c r="BN20" s="47"/>
    </row>
    <row r="21" spans="1:66" ht="15">
      <c r="A21" s="78" t="s">
        <v>257</v>
      </c>
      <c r="B21" s="78" t="s">
        <v>260</v>
      </c>
      <c r="C21" s="49" t="s">
        <v>884</v>
      </c>
      <c r="D21" s="50">
        <v>3</v>
      </c>
      <c r="E21" s="62" t="s">
        <v>132</v>
      </c>
      <c r="F21" s="51">
        <v>32</v>
      </c>
      <c r="G21" s="49"/>
      <c r="H21" s="53"/>
      <c r="I21" s="52"/>
      <c r="J21" s="52"/>
      <c r="K21" s="32" t="s">
        <v>65</v>
      </c>
      <c r="L21" s="77">
        <v>21</v>
      </c>
      <c r="M21" s="77"/>
      <c r="N21" s="59"/>
      <c r="O21" s="80" t="s">
        <v>272</v>
      </c>
      <c r="P21" s="82">
        <v>44875.596817129626</v>
      </c>
      <c r="Q21" s="80" t="s">
        <v>279</v>
      </c>
      <c r="R21" s="84" t="str">
        <f>HYPERLINK("https://nodexlgraphgallery.org/Pages/Graph.aspx?graphID=284368")</f>
        <v>https://nodexlgraphgallery.org/Pages/Graph.aspx?graphID=284368</v>
      </c>
      <c r="S21" s="80" t="s">
        <v>307</v>
      </c>
      <c r="T21" s="86" t="s">
        <v>313</v>
      </c>
      <c r="U21" s="80"/>
      <c r="V21" s="84" t="str">
        <f>HYPERLINK("https://pbs.twimg.com/profile_images/1487756429276684289/Kqq9xAOb_normal.png")</f>
        <v>https://pbs.twimg.com/profile_images/1487756429276684289/Kqq9xAOb_normal.png</v>
      </c>
      <c r="W21" s="82">
        <v>44875.596817129626</v>
      </c>
      <c r="X21" s="88">
        <v>44875</v>
      </c>
      <c r="Y21" s="86" t="s">
        <v>341</v>
      </c>
      <c r="Z21" s="84" t="str">
        <f>HYPERLINK("https://twitter.com/hashtagmarketi7/status/1590710726079172609")</f>
        <v>https://twitter.com/hashtagmarketi7/status/1590710726079172609</v>
      </c>
      <c r="AA21" s="80"/>
      <c r="AB21" s="80"/>
      <c r="AC21" s="86" t="s">
        <v>379</v>
      </c>
      <c r="AD21" s="80"/>
      <c r="AE21" s="80" t="b">
        <v>0</v>
      </c>
      <c r="AF21" s="80">
        <v>1</v>
      </c>
      <c r="AG21" s="86" t="s">
        <v>409</v>
      </c>
      <c r="AH21" s="80" t="b">
        <v>0</v>
      </c>
      <c r="AI21" s="80" t="s">
        <v>412</v>
      </c>
      <c r="AJ21" s="80"/>
      <c r="AK21" s="86" t="s">
        <v>409</v>
      </c>
      <c r="AL21" s="80" t="b">
        <v>0</v>
      </c>
      <c r="AM21" s="80">
        <v>0</v>
      </c>
      <c r="AN21" s="86" t="s">
        <v>409</v>
      </c>
      <c r="AO21" s="86" t="s">
        <v>416</v>
      </c>
      <c r="AP21" s="80" t="b">
        <v>0</v>
      </c>
      <c r="AQ21" s="86" t="s">
        <v>379</v>
      </c>
      <c r="AR21" s="80" t="s">
        <v>211</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7"/>
      <c r="BG21" s="48"/>
      <c r="BH21" s="47"/>
      <c r="BI21" s="48"/>
      <c r="BJ21" s="47"/>
      <c r="BK21" s="48"/>
      <c r="BL21" s="47"/>
      <c r="BM21" s="48"/>
      <c r="BN21" s="47"/>
    </row>
    <row r="22" spans="1:66" ht="15">
      <c r="A22" s="78" t="s">
        <v>257</v>
      </c>
      <c r="B22" s="78" t="s">
        <v>261</v>
      </c>
      <c r="C22" s="49" t="s">
        <v>884</v>
      </c>
      <c r="D22" s="50">
        <v>3</v>
      </c>
      <c r="E22" s="62" t="s">
        <v>132</v>
      </c>
      <c r="F22" s="51">
        <v>32</v>
      </c>
      <c r="G22" s="49"/>
      <c r="H22" s="53"/>
      <c r="I22" s="52"/>
      <c r="J22" s="52"/>
      <c r="K22" s="32" t="s">
        <v>65</v>
      </c>
      <c r="L22" s="77">
        <v>22</v>
      </c>
      <c r="M22" s="77"/>
      <c r="N22" s="59"/>
      <c r="O22" s="80" t="s">
        <v>272</v>
      </c>
      <c r="P22" s="82">
        <v>44875.596817129626</v>
      </c>
      <c r="Q22" s="80" t="s">
        <v>279</v>
      </c>
      <c r="R22" s="84" t="str">
        <f>HYPERLINK("https://nodexlgraphgallery.org/Pages/Graph.aspx?graphID=284368")</f>
        <v>https://nodexlgraphgallery.org/Pages/Graph.aspx?graphID=284368</v>
      </c>
      <c r="S22" s="80" t="s">
        <v>307</v>
      </c>
      <c r="T22" s="86" t="s">
        <v>313</v>
      </c>
      <c r="U22" s="80"/>
      <c r="V22" s="84" t="str">
        <f>HYPERLINK("https://pbs.twimg.com/profile_images/1487756429276684289/Kqq9xAOb_normal.png")</f>
        <v>https://pbs.twimg.com/profile_images/1487756429276684289/Kqq9xAOb_normal.png</v>
      </c>
      <c r="W22" s="82">
        <v>44875.596817129626</v>
      </c>
      <c r="X22" s="88">
        <v>44875</v>
      </c>
      <c r="Y22" s="86" t="s">
        <v>341</v>
      </c>
      <c r="Z22" s="84" t="str">
        <f>HYPERLINK("https://twitter.com/hashtagmarketi7/status/1590710726079172609")</f>
        <v>https://twitter.com/hashtagmarketi7/status/1590710726079172609</v>
      </c>
      <c r="AA22" s="80"/>
      <c r="AB22" s="80"/>
      <c r="AC22" s="86" t="s">
        <v>379</v>
      </c>
      <c r="AD22" s="80"/>
      <c r="AE22" s="80" t="b">
        <v>0</v>
      </c>
      <c r="AF22" s="80">
        <v>1</v>
      </c>
      <c r="AG22" s="86" t="s">
        <v>409</v>
      </c>
      <c r="AH22" s="80" t="b">
        <v>0</v>
      </c>
      <c r="AI22" s="80" t="s">
        <v>412</v>
      </c>
      <c r="AJ22" s="80"/>
      <c r="AK22" s="86" t="s">
        <v>409</v>
      </c>
      <c r="AL22" s="80" t="b">
        <v>0</v>
      </c>
      <c r="AM22" s="80">
        <v>0</v>
      </c>
      <c r="AN22" s="86" t="s">
        <v>409</v>
      </c>
      <c r="AO22" s="86" t="s">
        <v>416</v>
      </c>
      <c r="AP22" s="80" t="b">
        <v>0</v>
      </c>
      <c r="AQ22" s="86" t="s">
        <v>379</v>
      </c>
      <c r="AR22" s="80" t="s">
        <v>211</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7"/>
      <c r="BG22" s="48"/>
      <c r="BH22" s="47"/>
      <c r="BI22" s="48"/>
      <c r="BJ22" s="47"/>
      <c r="BK22" s="48"/>
      <c r="BL22" s="47"/>
      <c r="BM22" s="48"/>
      <c r="BN22" s="47"/>
    </row>
    <row r="23" spans="1:66" ht="15">
      <c r="A23" s="78" t="s">
        <v>257</v>
      </c>
      <c r="B23" s="78" t="s">
        <v>262</v>
      </c>
      <c r="C23" s="49" t="s">
        <v>884</v>
      </c>
      <c r="D23" s="50">
        <v>3</v>
      </c>
      <c r="E23" s="62" t="s">
        <v>132</v>
      </c>
      <c r="F23" s="51">
        <v>32</v>
      </c>
      <c r="G23" s="49"/>
      <c r="H23" s="53"/>
      <c r="I23" s="52"/>
      <c r="J23" s="52"/>
      <c r="K23" s="32" t="s">
        <v>65</v>
      </c>
      <c r="L23" s="77">
        <v>23</v>
      </c>
      <c r="M23" s="77"/>
      <c r="N23" s="59"/>
      <c r="O23" s="80" t="s">
        <v>272</v>
      </c>
      <c r="P23" s="82">
        <v>44875.596817129626</v>
      </c>
      <c r="Q23" s="80" t="s">
        <v>279</v>
      </c>
      <c r="R23" s="84" t="str">
        <f>HYPERLINK("https://nodexlgraphgallery.org/Pages/Graph.aspx?graphID=284368")</f>
        <v>https://nodexlgraphgallery.org/Pages/Graph.aspx?graphID=284368</v>
      </c>
      <c r="S23" s="80" t="s">
        <v>307</v>
      </c>
      <c r="T23" s="86" t="s">
        <v>313</v>
      </c>
      <c r="U23" s="80"/>
      <c r="V23" s="84" t="str">
        <f>HYPERLINK("https://pbs.twimg.com/profile_images/1487756429276684289/Kqq9xAOb_normal.png")</f>
        <v>https://pbs.twimg.com/profile_images/1487756429276684289/Kqq9xAOb_normal.png</v>
      </c>
      <c r="W23" s="82">
        <v>44875.596817129626</v>
      </c>
      <c r="X23" s="88">
        <v>44875</v>
      </c>
      <c r="Y23" s="86" t="s">
        <v>341</v>
      </c>
      <c r="Z23" s="84" t="str">
        <f>HYPERLINK("https://twitter.com/hashtagmarketi7/status/1590710726079172609")</f>
        <v>https://twitter.com/hashtagmarketi7/status/1590710726079172609</v>
      </c>
      <c r="AA23" s="80"/>
      <c r="AB23" s="80"/>
      <c r="AC23" s="86" t="s">
        <v>379</v>
      </c>
      <c r="AD23" s="80"/>
      <c r="AE23" s="80" t="b">
        <v>0</v>
      </c>
      <c r="AF23" s="80">
        <v>1</v>
      </c>
      <c r="AG23" s="86" t="s">
        <v>409</v>
      </c>
      <c r="AH23" s="80" t="b">
        <v>0</v>
      </c>
      <c r="AI23" s="80" t="s">
        <v>412</v>
      </c>
      <c r="AJ23" s="80"/>
      <c r="AK23" s="86" t="s">
        <v>409</v>
      </c>
      <c r="AL23" s="80" t="b">
        <v>0</v>
      </c>
      <c r="AM23" s="80">
        <v>0</v>
      </c>
      <c r="AN23" s="86" t="s">
        <v>409</v>
      </c>
      <c r="AO23" s="86" t="s">
        <v>416</v>
      </c>
      <c r="AP23" s="80" t="b">
        <v>0</v>
      </c>
      <c r="AQ23" s="86" t="s">
        <v>379</v>
      </c>
      <c r="AR23" s="80" t="s">
        <v>211</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7"/>
      <c r="BG23" s="48"/>
      <c r="BH23" s="47"/>
      <c r="BI23" s="48"/>
      <c r="BJ23" s="47"/>
      <c r="BK23" s="48"/>
      <c r="BL23" s="47"/>
      <c r="BM23" s="48"/>
      <c r="BN23" s="47"/>
    </row>
    <row r="24" spans="1:66" ht="15">
      <c r="A24" s="78" t="s">
        <v>257</v>
      </c>
      <c r="B24" s="78" t="s">
        <v>263</v>
      </c>
      <c r="C24" s="49" t="s">
        <v>884</v>
      </c>
      <c r="D24" s="50">
        <v>3</v>
      </c>
      <c r="E24" s="62" t="s">
        <v>132</v>
      </c>
      <c r="F24" s="51">
        <v>32</v>
      </c>
      <c r="G24" s="49"/>
      <c r="H24" s="53"/>
      <c r="I24" s="52"/>
      <c r="J24" s="52"/>
      <c r="K24" s="32" t="s">
        <v>65</v>
      </c>
      <c r="L24" s="77">
        <v>24</v>
      </c>
      <c r="M24" s="77"/>
      <c r="N24" s="59"/>
      <c r="O24" s="80" t="s">
        <v>272</v>
      </c>
      <c r="P24" s="82">
        <v>44875.596817129626</v>
      </c>
      <c r="Q24" s="80" t="s">
        <v>279</v>
      </c>
      <c r="R24" s="84" t="str">
        <f>HYPERLINK("https://nodexlgraphgallery.org/Pages/Graph.aspx?graphID=284368")</f>
        <v>https://nodexlgraphgallery.org/Pages/Graph.aspx?graphID=284368</v>
      </c>
      <c r="S24" s="80" t="s">
        <v>307</v>
      </c>
      <c r="T24" s="86" t="s">
        <v>313</v>
      </c>
      <c r="U24" s="80"/>
      <c r="V24" s="84" t="str">
        <f>HYPERLINK("https://pbs.twimg.com/profile_images/1487756429276684289/Kqq9xAOb_normal.png")</f>
        <v>https://pbs.twimg.com/profile_images/1487756429276684289/Kqq9xAOb_normal.png</v>
      </c>
      <c r="W24" s="82">
        <v>44875.596817129626</v>
      </c>
      <c r="X24" s="88">
        <v>44875</v>
      </c>
      <c r="Y24" s="86" t="s">
        <v>341</v>
      </c>
      <c r="Z24" s="84" t="str">
        <f>HYPERLINK("https://twitter.com/hashtagmarketi7/status/1590710726079172609")</f>
        <v>https://twitter.com/hashtagmarketi7/status/1590710726079172609</v>
      </c>
      <c r="AA24" s="80"/>
      <c r="AB24" s="80"/>
      <c r="AC24" s="86" t="s">
        <v>379</v>
      </c>
      <c r="AD24" s="80"/>
      <c r="AE24" s="80" t="b">
        <v>0</v>
      </c>
      <c r="AF24" s="80">
        <v>1</v>
      </c>
      <c r="AG24" s="86" t="s">
        <v>409</v>
      </c>
      <c r="AH24" s="80" t="b">
        <v>0</v>
      </c>
      <c r="AI24" s="80" t="s">
        <v>412</v>
      </c>
      <c r="AJ24" s="80"/>
      <c r="AK24" s="86" t="s">
        <v>409</v>
      </c>
      <c r="AL24" s="80" t="b">
        <v>0</v>
      </c>
      <c r="AM24" s="80">
        <v>0</v>
      </c>
      <c r="AN24" s="86" t="s">
        <v>409</v>
      </c>
      <c r="AO24" s="86" t="s">
        <v>416</v>
      </c>
      <c r="AP24" s="80" t="b">
        <v>0</v>
      </c>
      <c r="AQ24" s="86" t="s">
        <v>379</v>
      </c>
      <c r="AR24" s="80" t="s">
        <v>211</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7"/>
      <c r="BG24" s="48"/>
      <c r="BH24" s="47"/>
      <c r="BI24" s="48"/>
      <c r="BJ24" s="47"/>
      <c r="BK24" s="48"/>
      <c r="BL24" s="47"/>
      <c r="BM24" s="48"/>
      <c r="BN24" s="47"/>
    </row>
    <row r="25" spans="1:66" ht="15">
      <c r="A25" s="78" t="s">
        <v>257</v>
      </c>
      <c r="B25" s="78" t="s">
        <v>264</v>
      </c>
      <c r="C25" s="49" t="s">
        <v>884</v>
      </c>
      <c r="D25" s="50">
        <v>3</v>
      </c>
      <c r="E25" s="62" t="s">
        <v>132</v>
      </c>
      <c r="F25" s="51">
        <v>32</v>
      </c>
      <c r="G25" s="49"/>
      <c r="H25" s="53"/>
      <c r="I25" s="52"/>
      <c r="J25" s="52"/>
      <c r="K25" s="32" t="s">
        <v>65</v>
      </c>
      <c r="L25" s="77">
        <v>25</v>
      </c>
      <c r="M25" s="77"/>
      <c r="N25" s="59"/>
      <c r="O25" s="80" t="s">
        <v>272</v>
      </c>
      <c r="P25" s="82">
        <v>44875.596817129626</v>
      </c>
      <c r="Q25" s="80" t="s">
        <v>279</v>
      </c>
      <c r="R25" s="84" t="str">
        <f>HYPERLINK("https://nodexlgraphgallery.org/Pages/Graph.aspx?graphID=284368")</f>
        <v>https://nodexlgraphgallery.org/Pages/Graph.aspx?graphID=284368</v>
      </c>
      <c r="S25" s="80" t="s">
        <v>307</v>
      </c>
      <c r="T25" s="86" t="s">
        <v>313</v>
      </c>
      <c r="U25" s="80"/>
      <c r="V25" s="84" t="str">
        <f>HYPERLINK("https://pbs.twimg.com/profile_images/1487756429276684289/Kqq9xAOb_normal.png")</f>
        <v>https://pbs.twimg.com/profile_images/1487756429276684289/Kqq9xAOb_normal.png</v>
      </c>
      <c r="W25" s="82">
        <v>44875.596817129626</v>
      </c>
      <c r="X25" s="88">
        <v>44875</v>
      </c>
      <c r="Y25" s="86" t="s">
        <v>341</v>
      </c>
      <c r="Z25" s="84" t="str">
        <f>HYPERLINK("https://twitter.com/hashtagmarketi7/status/1590710726079172609")</f>
        <v>https://twitter.com/hashtagmarketi7/status/1590710726079172609</v>
      </c>
      <c r="AA25" s="80"/>
      <c r="AB25" s="80"/>
      <c r="AC25" s="86" t="s">
        <v>379</v>
      </c>
      <c r="AD25" s="80"/>
      <c r="AE25" s="80" t="b">
        <v>0</v>
      </c>
      <c r="AF25" s="80">
        <v>1</v>
      </c>
      <c r="AG25" s="86" t="s">
        <v>409</v>
      </c>
      <c r="AH25" s="80" t="b">
        <v>0</v>
      </c>
      <c r="AI25" s="80" t="s">
        <v>412</v>
      </c>
      <c r="AJ25" s="80"/>
      <c r="AK25" s="86" t="s">
        <v>409</v>
      </c>
      <c r="AL25" s="80" t="b">
        <v>0</v>
      </c>
      <c r="AM25" s="80">
        <v>0</v>
      </c>
      <c r="AN25" s="86" t="s">
        <v>409</v>
      </c>
      <c r="AO25" s="86" t="s">
        <v>416</v>
      </c>
      <c r="AP25" s="80" t="b">
        <v>0</v>
      </c>
      <c r="AQ25" s="86" t="s">
        <v>379</v>
      </c>
      <c r="AR25" s="80" t="s">
        <v>211</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7"/>
      <c r="BG25" s="48"/>
      <c r="BH25" s="47"/>
      <c r="BI25" s="48"/>
      <c r="BJ25" s="47"/>
      <c r="BK25" s="48"/>
      <c r="BL25" s="47"/>
      <c r="BM25" s="48"/>
      <c r="BN25" s="47"/>
    </row>
    <row r="26" spans="1:66" ht="15">
      <c r="A26" s="78" t="s">
        <v>257</v>
      </c>
      <c r="B26" s="78" t="s">
        <v>265</v>
      </c>
      <c r="C26" s="49" t="s">
        <v>884</v>
      </c>
      <c r="D26" s="50">
        <v>3</v>
      </c>
      <c r="E26" s="62" t="s">
        <v>132</v>
      </c>
      <c r="F26" s="51">
        <v>32</v>
      </c>
      <c r="G26" s="49"/>
      <c r="H26" s="53"/>
      <c r="I26" s="52"/>
      <c r="J26" s="52"/>
      <c r="K26" s="32" t="s">
        <v>65</v>
      </c>
      <c r="L26" s="77">
        <v>26</v>
      </c>
      <c r="M26" s="77"/>
      <c r="N26" s="59"/>
      <c r="O26" s="80" t="s">
        <v>272</v>
      </c>
      <c r="P26" s="82">
        <v>44875.596817129626</v>
      </c>
      <c r="Q26" s="80" t="s">
        <v>279</v>
      </c>
      <c r="R26" s="84" t="str">
        <f>HYPERLINK("https://nodexlgraphgallery.org/Pages/Graph.aspx?graphID=284368")</f>
        <v>https://nodexlgraphgallery.org/Pages/Graph.aspx?graphID=284368</v>
      </c>
      <c r="S26" s="80" t="s">
        <v>307</v>
      </c>
      <c r="T26" s="86" t="s">
        <v>313</v>
      </c>
      <c r="U26" s="80"/>
      <c r="V26" s="84" t="str">
        <f>HYPERLINK("https://pbs.twimg.com/profile_images/1487756429276684289/Kqq9xAOb_normal.png")</f>
        <v>https://pbs.twimg.com/profile_images/1487756429276684289/Kqq9xAOb_normal.png</v>
      </c>
      <c r="W26" s="82">
        <v>44875.596817129626</v>
      </c>
      <c r="X26" s="88">
        <v>44875</v>
      </c>
      <c r="Y26" s="86" t="s">
        <v>341</v>
      </c>
      <c r="Z26" s="84" t="str">
        <f>HYPERLINK("https://twitter.com/hashtagmarketi7/status/1590710726079172609")</f>
        <v>https://twitter.com/hashtagmarketi7/status/1590710726079172609</v>
      </c>
      <c r="AA26" s="80"/>
      <c r="AB26" s="80"/>
      <c r="AC26" s="86" t="s">
        <v>379</v>
      </c>
      <c r="AD26" s="80"/>
      <c r="AE26" s="80" t="b">
        <v>0</v>
      </c>
      <c r="AF26" s="80">
        <v>1</v>
      </c>
      <c r="AG26" s="86" t="s">
        <v>409</v>
      </c>
      <c r="AH26" s="80" t="b">
        <v>0</v>
      </c>
      <c r="AI26" s="80" t="s">
        <v>412</v>
      </c>
      <c r="AJ26" s="80"/>
      <c r="AK26" s="86" t="s">
        <v>409</v>
      </c>
      <c r="AL26" s="80" t="b">
        <v>0</v>
      </c>
      <c r="AM26" s="80">
        <v>0</v>
      </c>
      <c r="AN26" s="86" t="s">
        <v>409</v>
      </c>
      <c r="AO26" s="86" t="s">
        <v>416</v>
      </c>
      <c r="AP26" s="80" t="b">
        <v>0</v>
      </c>
      <c r="AQ26" s="86" t="s">
        <v>379</v>
      </c>
      <c r="AR26" s="80" t="s">
        <v>211</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7"/>
      <c r="BG26" s="48"/>
      <c r="BH26" s="47"/>
      <c r="BI26" s="48"/>
      <c r="BJ26" s="47"/>
      <c r="BK26" s="48"/>
      <c r="BL26" s="47"/>
      <c r="BM26" s="48"/>
      <c r="BN26" s="47"/>
    </row>
    <row r="27" spans="1:66" ht="15">
      <c r="A27" s="78" t="s">
        <v>257</v>
      </c>
      <c r="B27" s="78" t="s">
        <v>266</v>
      </c>
      <c r="C27" s="49" t="s">
        <v>884</v>
      </c>
      <c r="D27" s="50">
        <v>3</v>
      </c>
      <c r="E27" s="62" t="s">
        <v>132</v>
      </c>
      <c r="F27" s="51">
        <v>32</v>
      </c>
      <c r="G27" s="49"/>
      <c r="H27" s="53"/>
      <c r="I27" s="52"/>
      <c r="J27" s="52"/>
      <c r="K27" s="32" t="s">
        <v>65</v>
      </c>
      <c r="L27" s="77">
        <v>27</v>
      </c>
      <c r="M27" s="77"/>
      <c r="N27" s="59"/>
      <c r="O27" s="80" t="s">
        <v>272</v>
      </c>
      <c r="P27" s="82">
        <v>44875.596817129626</v>
      </c>
      <c r="Q27" s="80" t="s">
        <v>279</v>
      </c>
      <c r="R27" s="84" t="str">
        <f>HYPERLINK("https://nodexlgraphgallery.org/Pages/Graph.aspx?graphID=284368")</f>
        <v>https://nodexlgraphgallery.org/Pages/Graph.aspx?graphID=284368</v>
      </c>
      <c r="S27" s="80" t="s">
        <v>307</v>
      </c>
      <c r="T27" s="86" t="s">
        <v>313</v>
      </c>
      <c r="U27" s="80"/>
      <c r="V27" s="84" t="str">
        <f>HYPERLINK("https://pbs.twimg.com/profile_images/1487756429276684289/Kqq9xAOb_normal.png")</f>
        <v>https://pbs.twimg.com/profile_images/1487756429276684289/Kqq9xAOb_normal.png</v>
      </c>
      <c r="W27" s="82">
        <v>44875.596817129626</v>
      </c>
      <c r="X27" s="88">
        <v>44875</v>
      </c>
      <c r="Y27" s="86" t="s">
        <v>341</v>
      </c>
      <c r="Z27" s="84" t="str">
        <f>HYPERLINK("https://twitter.com/hashtagmarketi7/status/1590710726079172609")</f>
        <v>https://twitter.com/hashtagmarketi7/status/1590710726079172609</v>
      </c>
      <c r="AA27" s="80"/>
      <c r="AB27" s="80"/>
      <c r="AC27" s="86" t="s">
        <v>379</v>
      </c>
      <c r="AD27" s="80"/>
      <c r="AE27" s="80" t="b">
        <v>0</v>
      </c>
      <c r="AF27" s="80">
        <v>1</v>
      </c>
      <c r="AG27" s="86" t="s">
        <v>409</v>
      </c>
      <c r="AH27" s="80" t="b">
        <v>0</v>
      </c>
      <c r="AI27" s="80" t="s">
        <v>412</v>
      </c>
      <c r="AJ27" s="80"/>
      <c r="AK27" s="86" t="s">
        <v>409</v>
      </c>
      <c r="AL27" s="80" t="b">
        <v>0</v>
      </c>
      <c r="AM27" s="80">
        <v>0</v>
      </c>
      <c r="AN27" s="86" t="s">
        <v>409</v>
      </c>
      <c r="AO27" s="86" t="s">
        <v>416</v>
      </c>
      <c r="AP27" s="80" t="b">
        <v>0</v>
      </c>
      <c r="AQ27" s="86" t="s">
        <v>379</v>
      </c>
      <c r="AR27" s="80" t="s">
        <v>211</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7"/>
      <c r="BG27" s="48"/>
      <c r="BH27" s="47"/>
      <c r="BI27" s="48"/>
      <c r="BJ27" s="47"/>
      <c r="BK27" s="48"/>
      <c r="BL27" s="47"/>
      <c r="BM27" s="48"/>
      <c r="BN27" s="47"/>
    </row>
    <row r="28" spans="1:66" ht="15">
      <c r="A28" s="78" t="s">
        <v>257</v>
      </c>
      <c r="B28" s="78" t="s">
        <v>267</v>
      </c>
      <c r="C28" s="49" t="s">
        <v>884</v>
      </c>
      <c r="D28" s="50">
        <v>3</v>
      </c>
      <c r="E28" s="62" t="s">
        <v>132</v>
      </c>
      <c r="F28" s="51">
        <v>32</v>
      </c>
      <c r="G28" s="49"/>
      <c r="H28" s="53"/>
      <c r="I28" s="52"/>
      <c r="J28" s="52"/>
      <c r="K28" s="32" t="s">
        <v>65</v>
      </c>
      <c r="L28" s="77">
        <v>28</v>
      </c>
      <c r="M28" s="77"/>
      <c r="N28" s="59"/>
      <c r="O28" s="80" t="s">
        <v>272</v>
      </c>
      <c r="P28" s="82">
        <v>44875.596817129626</v>
      </c>
      <c r="Q28" s="80" t="s">
        <v>279</v>
      </c>
      <c r="R28" s="84" t="str">
        <f>HYPERLINK("https://nodexlgraphgallery.org/Pages/Graph.aspx?graphID=284368")</f>
        <v>https://nodexlgraphgallery.org/Pages/Graph.aspx?graphID=284368</v>
      </c>
      <c r="S28" s="80" t="s">
        <v>307</v>
      </c>
      <c r="T28" s="86" t="s">
        <v>313</v>
      </c>
      <c r="U28" s="80"/>
      <c r="V28" s="84" t="str">
        <f>HYPERLINK("https://pbs.twimg.com/profile_images/1487756429276684289/Kqq9xAOb_normal.png")</f>
        <v>https://pbs.twimg.com/profile_images/1487756429276684289/Kqq9xAOb_normal.png</v>
      </c>
      <c r="W28" s="82">
        <v>44875.596817129626</v>
      </c>
      <c r="X28" s="88">
        <v>44875</v>
      </c>
      <c r="Y28" s="86" t="s">
        <v>341</v>
      </c>
      <c r="Z28" s="84" t="str">
        <f>HYPERLINK("https://twitter.com/hashtagmarketi7/status/1590710726079172609")</f>
        <v>https://twitter.com/hashtagmarketi7/status/1590710726079172609</v>
      </c>
      <c r="AA28" s="80"/>
      <c r="AB28" s="80"/>
      <c r="AC28" s="86" t="s">
        <v>379</v>
      </c>
      <c r="AD28" s="80"/>
      <c r="AE28" s="80" t="b">
        <v>0</v>
      </c>
      <c r="AF28" s="80">
        <v>1</v>
      </c>
      <c r="AG28" s="86" t="s">
        <v>409</v>
      </c>
      <c r="AH28" s="80" t="b">
        <v>0</v>
      </c>
      <c r="AI28" s="80" t="s">
        <v>412</v>
      </c>
      <c r="AJ28" s="80"/>
      <c r="AK28" s="86" t="s">
        <v>409</v>
      </c>
      <c r="AL28" s="80" t="b">
        <v>0</v>
      </c>
      <c r="AM28" s="80">
        <v>0</v>
      </c>
      <c r="AN28" s="86" t="s">
        <v>409</v>
      </c>
      <c r="AO28" s="86" t="s">
        <v>416</v>
      </c>
      <c r="AP28" s="80" t="b">
        <v>0</v>
      </c>
      <c r="AQ28" s="86" t="s">
        <v>379</v>
      </c>
      <c r="AR28" s="80" t="s">
        <v>211</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7"/>
      <c r="BG28" s="48"/>
      <c r="BH28" s="47"/>
      <c r="BI28" s="48"/>
      <c r="BJ28" s="47"/>
      <c r="BK28" s="48"/>
      <c r="BL28" s="47"/>
      <c r="BM28" s="48"/>
      <c r="BN28" s="47"/>
    </row>
    <row r="29" spans="1:66" ht="15">
      <c r="A29" s="78" t="s">
        <v>257</v>
      </c>
      <c r="B29" s="78" t="s">
        <v>268</v>
      </c>
      <c r="C29" s="49" t="s">
        <v>884</v>
      </c>
      <c r="D29" s="50">
        <v>3</v>
      </c>
      <c r="E29" s="62" t="s">
        <v>132</v>
      </c>
      <c r="F29" s="51">
        <v>32</v>
      </c>
      <c r="G29" s="49"/>
      <c r="H29" s="53"/>
      <c r="I29" s="52"/>
      <c r="J29" s="52"/>
      <c r="K29" s="32" t="s">
        <v>65</v>
      </c>
      <c r="L29" s="77">
        <v>29</v>
      </c>
      <c r="M29" s="77"/>
      <c r="N29" s="59"/>
      <c r="O29" s="80" t="s">
        <v>272</v>
      </c>
      <c r="P29" s="82">
        <v>44875.596817129626</v>
      </c>
      <c r="Q29" s="80" t="s">
        <v>279</v>
      </c>
      <c r="R29" s="84" t="str">
        <f>HYPERLINK("https://nodexlgraphgallery.org/Pages/Graph.aspx?graphID=284368")</f>
        <v>https://nodexlgraphgallery.org/Pages/Graph.aspx?graphID=284368</v>
      </c>
      <c r="S29" s="80" t="s">
        <v>307</v>
      </c>
      <c r="T29" s="86" t="s">
        <v>313</v>
      </c>
      <c r="U29" s="80"/>
      <c r="V29" s="84" t="str">
        <f>HYPERLINK("https://pbs.twimg.com/profile_images/1487756429276684289/Kqq9xAOb_normal.png")</f>
        <v>https://pbs.twimg.com/profile_images/1487756429276684289/Kqq9xAOb_normal.png</v>
      </c>
      <c r="W29" s="82">
        <v>44875.596817129626</v>
      </c>
      <c r="X29" s="88">
        <v>44875</v>
      </c>
      <c r="Y29" s="86" t="s">
        <v>341</v>
      </c>
      <c r="Z29" s="84" t="str">
        <f>HYPERLINK("https://twitter.com/hashtagmarketi7/status/1590710726079172609")</f>
        <v>https://twitter.com/hashtagmarketi7/status/1590710726079172609</v>
      </c>
      <c r="AA29" s="80"/>
      <c r="AB29" s="80"/>
      <c r="AC29" s="86" t="s">
        <v>379</v>
      </c>
      <c r="AD29" s="80"/>
      <c r="AE29" s="80" t="b">
        <v>0</v>
      </c>
      <c r="AF29" s="80">
        <v>1</v>
      </c>
      <c r="AG29" s="86" t="s">
        <v>409</v>
      </c>
      <c r="AH29" s="80" t="b">
        <v>0</v>
      </c>
      <c r="AI29" s="80" t="s">
        <v>412</v>
      </c>
      <c r="AJ29" s="80"/>
      <c r="AK29" s="86" t="s">
        <v>409</v>
      </c>
      <c r="AL29" s="80" t="b">
        <v>0</v>
      </c>
      <c r="AM29" s="80">
        <v>0</v>
      </c>
      <c r="AN29" s="86" t="s">
        <v>409</v>
      </c>
      <c r="AO29" s="86" t="s">
        <v>416</v>
      </c>
      <c r="AP29" s="80" t="b">
        <v>0</v>
      </c>
      <c r="AQ29" s="86" t="s">
        <v>379</v>
      </c>
      <c r="AR29" s="80" t="s">
        <v>211</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7"/>
      <c r="BG29" s="48"/>
      <c r="BH29" s="47"/>
      <c r="BI29" s="48"/>
      <c r="BJ29" s="47"/>
      <c r="BK29" s="48"/>
      <c r="BL29" s="47"/>
      <c r="BM29" s="48"/>
      <c r="BN29" s="47"/>
    </row>
    <row r="30" spans="1:66" ht="15">
      <c r="A30" s="78" t="s">
        <v>257</v>
      </c>
      <c r="B30" s="78" t="s">
        <v>269</v>
      </c>
      <c r="C30" s="49" t="s">
        <v>884</v>
      </c>
      <c r="D30" s="50">
        <v>3</v>
      </c>
      <c r="E30" s="62" t="s">
        <v>132</v>
      </c>
      <c r="F30" s="51">
        <v>32</v>
      </c>
      <c r="G30" s="49"/>
      <c r="H30" s="53"/>
      <c r="I30" s="52"/>
      <c r="J30" s="52"/>
      <c r="K30" s="32" t="s">
        <v>65</v>
      </c>
      <c r="L30" s="77">
        <v>30</v>
      </c>
      <c r="M30" s="77"/>
      <c r="N30" s="59"/>
      <c r="O30" s="80" t="s">
        <v>272</v>
      </c>
      <c r="P30" s="82">
        <v>44875.596817129626</v>
      </c>
      <c r="Q30" s="80" t="s">
        <v>279</v>
      </c>
      <c r="R30" s="84" t="str">
        <f>HYPERLINK("https://nodexlgraphgallery.org/Pages/Graph.aspx?graphID=284368")</f>
        <v>https://nodexlgraphgallery.org/Pages/Graph.aspx?graphID=284368</v>
      </c>
      <c r="S30" s="80" t="s">
        <v>307</v>
      </c>
      <c r="T30" s="86" t="s">
        <v>313</v>
      </c>
      <c r="U30" s="80"/>
      <c r="V30" s="84" t="str">
        <f>HYPERLINK("https://pbs.twimg.com/profile_images/1487756429276684289/Kqq9xAOb_normal.png")</f>
        <v>https://pbs.twimg.com/profile_images/1487756429276684289/Kqq9xAOb_normal.png</v>
      </c>
      <c r="W30" s="82">
        <v>44875.596817129626</v>
      </c>
      <c r="X30" s="88">
        <v>44875</v>
      </c>
      <c r="Y30" s="86" t="s">
        <v>341</v>
      </c>
      <c r="Z30" s="84" t="str">
        <f>HYPERLINK("https://twitter.com/hashtagmarketi7/status/1590710726079172609")</f>
        <v>https://twitter.com/hashtagmarketi7/status/1590710726079172609</v>
      </c>
      <c r="AA30" s="80"/>
      <c r="AB30" s="80"/>
      <c r="AC30" s="86" t="s">
        <v>379</v>
      </c>
      <c r="AD30" s="80"/>
      <c r="AE30" s="80" t="b">
        <v>0</v>
      </c>
      <c r="AF30" s="80">
        <v>1</v>
      </c>
      <c r="AG30" s="86" t="s">
        <v>409</v>
      </c>
      <c r="AH30" s="80" t="b">
        <v>0</v>
      </c>
      <c r="AI30" s="80" t="s">
        <v>412</v>
      </c>
      <c r="AJ30" s="80"/>
      <c r="AK30" s="86" t="s">
        <v>409</v>
      </c>
      <c r="AL30" s="80" t="b">
        <v>0</v>
      </c>
      <c r="AM30" s="80">
        <v>0</v>
      </c>
      <c r="AN30" s="86" t="s">
        <v>409</v>
      </c>
      <c r="AO30" s="86" t="s">
        <v>416</v>
      </c>
      <c r="AP30" s="80" t="b">
        <v>0</v>
      </c>
      <c r="AQ30" s="86" t="s">
        <v>379</v>
      </c>
      <c r="AR30" s="80" t="s">
        <v>211</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7">
        <v>1</v>
      </c>
      <c r="BG30" s="48">
        <v>4.3478260869565215</v>
      </c>
      <c r="BH30" s="47">
        <v>0</v>
      </c>
      <c r="BI30" s="48">
        <v>0</v>
      </c>
      <c r="BJ30" s="47">
        <v>0</v>
      </c>
      <c r="BK30" s="48">
        <v>0</v>
      </c>
      <c r="BL30" s="47">
        <v>22</v>
      </c>
      <c r="BM30" s="48">
        <v>95.65217391304348</v>
      </c>
      <c r="BN30" s="47">
        <v>23</v>
      </c>
    </row>
    <row r="31" spans="1:66" ht="30">
      <c r="A31" s="78" t="s">
        <v>257</v>
      </c>
      <c r="B31" s="78" t="s">
        <v>257</v>
      </c>
      <c r="C31" s="49" t="s">
        <v>886</v>
      </c>
      <c r="D31" s="50">
        <v>10</v>
      </c>
      <c r="E31" s="62" t="s">
        <v>136</v>
      </c>
      <c r="F31" s="51">
        <v>6</v>
      </c>
      <c r="G31" s="49"/>
      <c r="H31" s="53"/>
      <c r="I31" s="52"/>
      <c r="J31" s="52"/>
      <c r="K31" s="32" t="s">
        <v>65</v>
      </c>
      <c r="L31" s="77">
        <v>31</v>
      </c>
      <c r="M31" s="77"/>
      <c r="N31" s="59"/>
      <c r="O31" s="80" t="s">
        <v>211</v>
      </c>
      <c r="P31" s="82">
        <v>44866.59400462963</v>
      </c>
      <c r="Q31" s="80" t="s">
        <v>280</v>
      </c>
      <c r="R31" s="84" t="str">
        <f>HYPERLINK("https://www.amazon.es/C%C3%93MO-ENCONTRAR-LOS-HASHTAGS-POTENTES-ebook/dp/B08D9W3Q3V/")</f>
        <v>https://www.amazon.es/C%C3%93MO-ENCONTRAR-LOS-HASHTAGS-POTENTES-ebook/dp/B08D9W3Q3V/</v>
      </c>
      <c r="S31" s="80" t="s">
        <v>305</v>
      </c>
      <c r="T31" s="86" t="s">
        <v>314</v>
      </c>
      <c r="U31" s="84" t="str">
        <f>HYPERLINK("https://pbs.twimg.com/media/Fge_vDJWYAEypkN.jpg")</f>
        <v>https://pbs.twimg.com/media/Fge_vDJWYAEypkN.jpg</v>
      </c>
      <c r="V31" s="84" t="str">
        <f>HYPERLINK("https://pbs.twimg.com/media/Fge_vDJWYAEypkN.jpg")</f>
        <v>https://pbs.twimg.com/media/Fge_vDJWYAEypkN.jpg</v>
      </c>
      <c r="W31" s="82">
        <v>44866.59400462963</v>
      </c>
      <c r="X31" s="88">
        <v>44866</v>
      </c>
      <c r="Y31" s="86" t="s">
        <v>342</v>
      </c>
      <c r="Z31" s="84" t="str">
        <f>HYPERLINK("https://twitter.com/hashtagmarketi7/status/1587448214545989634")</f>
        <v>https://twitter.com/hashtagmarketi7/status/1587448214545989634</v>
      </c>
      <c r="AA31" s="80"/>
      <c r="AB31" s="80"/>
      <c r="AC31" s="86" t="s">
        <v>380</v>
      </c>
      <c r="AD31" s="80"/>
      <c r="AE31" s="80" t="b">
        <v>0</v>
      </c>
      <c r="AF31" s="80">
        <v>1</v>
      </c>
      <c r="AG31" s="86" t="s">
        <v>409</v>
      </c>
      <c r="AH31" s="80" t="b">
        <v>0</v>
      </c>
      <c r="AI31" s="80" t="s">
        <v>410</v>
      </c>
      <c r="AJ31" s="80"/>
      <c r="AK31" s="86" t="s">
        <v>409</v>
      </c>
      <c r="AL31" s="80" t="b">
        <v>0</v>
      </c>
      <c r="AM31" s="80">
        <v>1</v>
      </c>
      <c r="AN31" s="86" t="s">
        <v>409</v>
      </c>
      <c r="AO31" s="86" t="s">
        <v>418</v>
      </c>
      <c r="AP31" s="80" t="b">
        <v>0</v>
      </c>
      <c r="AQ31" s="86" t="s">
        <v>380</v>
      </c>
      <c r="AR31" s="80" t="s">
        <v>271</v>
      </c>
      <c r="AS31" s="80">
        <v>0</v>
      </c>
      <c r="AT31" s="80">
        <v>0</v>
      </c>
      <c r="AU31" s="80"/>
      <c r="AV31" s="80"/>
      <c r="AW31" s="80"/>
      <c r="AX31" s="80"/>
      <c r="AY31" s="80"/>
      <c r="AZ31" s="80"/>
      <c r="BA31" s="80"/>
      <c r="BB31" s="80"/>
      <c r="BC31">
        <v>28</v>
      </c>
      <c r="BD31" s="79" t="str">
        <f>REPLACE(INDEX(GroupVertices[Group],MATCH(Edges[[#This Row],[Vertex 1]],GroupVertices[Vertex],0)),1,1,"")</f>
        <v>1</v>
      </c>
      <c r="BE31" s="79" t="str">
        <f>REPLACE(INDEX(GroupVertices[Group],MATCH(Edges[[#This Row],[Vertex 2]],GroupVertices[Vertex],0)),1,1,"")</f>
        <v>1</v>
      </c>
      <c r="BF31" s="47">
        <v>1</v>
      </c>
      <c r="BG31" s="48">
        <v>4.761904761904762</v>
      </c>
      <c r="BH31" s="47">
        <v>0</v>
      </c>
      <c r="BI31" s="48">
        <v>0</v>
      </c>
      <c r="BJ31" s="47">
        <v>0</v>
      </c>
      <c r="BK31" s="48">
        <v>0</v>
      </c>
      <c r="BL31" s="47">
        <v>14</v>
      </c>
      <c r="BM31" s="48">
        <v>66.66666666666667</v>
      </c>
      <c r="BN31" s="47">
        <v>21</v>
      </c>
    </row>
    <row r="32" spans="1:66" ht="30">
      <c r="A32" s="78" t="s">
        <v>257</v>
      </c>
      <c r="B32" s="78" t="s">
        <v>257</v>
      </c>
      <c r="C32" s="49" t="s">
        <v>886</v>
      </c>
      <c r="D32" s="50">
        <v>10</v>
      </c>
      <c r="E32" s="62" t="s">
        <v>136</v>
      </c>
      <c r="F32" s="51">
        <v>6</v>
      </c>
      <c r="G32" s="49"/>
      <c r="H32" s="53"/>
      <c r="I32" s="52"/>
      <c r="J32" s="52"/>
      <c r="K32" s="32" t="s">
        <v>65</v>
      </c>
      <c r="L32" s="77">
        <v>32</v>
      </c>
      <c r="M32" s="77"/>
      <c r="N32" s="59"/>
      <c r="O32" s="80" t="s">
        <v>211</v>
      </c>
      <c r="P32" s="82">
        <v>44866.25991898148</v>
      </c>
      <c r="Q32" s="80" t="s">
        <v>278</v>
      </c>
      <c r="R32" s="84" t="str">
        <f>HYPERLINK("https://vivianfrancos.com/sencalkapimi-cuando-es-el-hashtag-de-una-novela-el-que-genera-todas-las-pasiones/")</f>
        <v>https://vivianfrancos.com/sencalkapimi-cuando-es-el-hashtag-de-una-novela-el-que-genera-todas-las-pasiones/</v>
      </c>
      <c r="S32" s="80" t="s">
        <v>303</v>
      </c>
      <c r="T32" s="86" t="s">
        <v>309</v>
      </c>
      <c r="U32" s="80"/>
      <c r="V32" s="84" t="str">
        <f>HYPERLINK("https://pbs.twimg.com/profile_images/1487756429276684289/Kqq9xAOb_normal.png")</f>
        <v>https://pbs.twimg.com/profile_images/1487756429276684289/Kqq9xAOb_normal.png</v>
      </c>
      <c r="W32" s="82">
        <v>44866.25991898148</v>
      </c>
      <c r="X32" s="88">
        <v>44866</v>
      </c>
      <c r="Y32" s="86" t="s">
        <v>343</v>
      </c>
      <c r="Z32" s="84" t="str">
        <f>HYPERLINK("https://twitter.com/hashtagmarketi7/status/1587327146330038274")</f>
        <v>https://twitter.com/hashtagmarketi7/status/1587327146330038274</v>
      </c>
      <c r="AA32" s="80"/>
      <c r="AB32" s="80"/>
      <c r="AC32" s="86" t="s">
        <v>381</v>
      </c>
      <c r="AD32" s="80"/>
      <c r="AE32" s="80" t="b">
        <v>0</v>
      </c>
      <c r="AF32" s="80">
        <v>0</v>
      </c>
      <c r="AG32" s="86" t="s">
        <v>409</v>
      </c>
      <c r="AH32" s="80" t="b">
        <v>0</v>
      </c>
      <c r="AI32" s="80" t="s">
        <v>410</v>
      </c>
      <c r="AJ32" s="80"/>
      <c r="AK32" s="86" t="s">
        <v>409</v>
      </c>
      <c r="AL32" s="80" t="b">
        <v>0</v>
      </c>
      <c r="AM32" s="80">
        <v>1</v>
      </c>
      <c r="AN32" s="86" t="s">
        <v>409</v>
      </c>
      <c r="AO32" s="86" t="s">
        <v>418</v>
      </c>
      <c r="AP32" s="80" t="b">
        <v>0</v>
      </c>
      <c r="AQ32" s="86" t="s">
        <v>381</v>
      </c>
      <c r="AR32" s="80" t="s">
        <v>271</v>
      </c>
      <c r="AS32" s="80">
        <v>0</v>
      </c>
      <c r="AT32" s="80">
        <v>0</v>
      </c>
      <c r="AU32" s="80"/>
      <c r="AV32" s="80"/>
      <c r="AW32" s="80"/>
      <c r="AX32" s="80"/>
      <c r="AY32" s="80"/>
      <c r="AZ32" s="80"/>
      <c r="BA32" s="80"/>
      <c r="BB32" s="80"/>
      <c r="BC32">
        <v>28</v>
      </c>
      <c r="BD32" s="79" t="str">
        <f>REPLACE(INDEX(GroupVertices[Group],MATCH(Edges[[#This Row],[Vertex 1]],GroupVertices[Vertex],0)),1,1,"")</f>
        <v>1</v>
      </c>
      <c r="BE32" s="79" t="str">
        <f>REPLACE(INDEX(GroupVertices[Group],MATCH(Edges[[#This Row],[Vertex 2]],GroupVertices[Vertex],0)),1,1,"")</f>
        <v>1</v>
      </c>
      <c r="BF32" s="47">
        <v>0</v>
      </c>
      <c r="BG32" s="48">
        <v>0</v>
      </c>
      <c r="BH32" s="47">
        <v>0</v>
      </c>
      <c r="BI32" s="48">
        <v>0</v>
      </c>
      <c r="BJ32" s="47">
        <v>0</v>
      </c>
      <c r="BK32" s="48">
        <v>0</v>
      </c>
      <c r="BL32" s="47">
        <v>8</v>
      </c>
      <c r="BM32" s="48">
        <v>53.333333333333336</v>
      </c>
      <c r="BN32" s="47">
        <v>15</v>
      </c>
    </row>
    <row r="33" spans="1:66" ht="30">
      <c r="A33" s="78" t="s">
        <v>257</v>
      </c>
      <c r="B33" s="78" t="s">
        <v>257</v>
      </c>
      <c r="C33" s="49" t="s">
        <v>886</v>
      </c>
      <c r="D33" s="50">
        <v>10</v>
      </c>
      <c r="E33" s="62" t="s">
        <v>136</v>
      </c>
      <c r="F33" s="51">
        <v>6</v>
      </c>
      <c r="G33" s="49"/>
      <c r="H33" s="53"/>
      <c r="I33" s="52"/>
      <c r="J33" s="52"/>
      <c r="K33" s="32" t="s">
        <v>65</v>
      </c>
      <c r="L33" s="77">
        <v>33</v>
      </c>
      <c r="M33" s="77"/>
      <c r="N33" s="59"/>
      <c r="O33" s="80" t="s">
        <v>211</v>
      </c>
      <c r="P33" s="82">
        <v>44866.91893518518</v>
      </c>
      <c r="Q33" s="80" t="s">
        <v>281</v>
      </c>
      <c r="R33" s="84" t="str">
        <f>HYPERLINK("https://www.amazon.es/C%C3%93MO-ENCONTRAR-LOS-HASHTAGS-POTENTES-ebook/dp/B08D9W3Q3V/")</f>
        <v>https://www.amazon.es/C%C3%93MO-ENCONTRAR-LOS-HASHTAGS-POTENTES-ebook/dp/B08D9W3Q3V/</v>
      </c>
      <c r="S33" s="80" t="s">
        <v>305</v>
      </c>
      <c r="T33" s="86" t="s">
        <v>314</v>
      </c>
      <c r="U33" s="84" t="str">
        <f>HYPERLINK("https://pbs.twimg.com/media/Fggq1AwWQAA5OKl.jpg")</f>
        <v>https://pbs.twimg.com/media/Fggq1AwWQAA5OKl.jpg</v>
      </c>
      <c r="V33" s="84" t="str">
        <f>HYPERLINK("https://pbs.twimg.com/media/Fggq1AwWQAA5OKl.jpg")</f>
        <v>https://pbs.twimg.com/media/Fggq1AwWQAA5OKl.jpg</v>
      </c>
      <c r="W33" s="82">
        <v>44866.91893518518</v>
      </c>
      <c r="X33" s="88">
        <v>44866</v>
      </c>
      <c r="Y33" s="86" t="s">
        <v>344</v>
      </c>
      <c r="Z33" s="84" t="str">
        <f>HYPERLINK("https://twitter.com/hashtagmarketi7/status/1587565965008584705")</f>
        <v>https://twitter.com/hashtagmarketi7/status/1587565965008584705</v>
      </c>
      <c r="AA33" s="80"/>
      <c r="AB33" s="80"/>
      <c r="AC33" s="86" t="s">
        <v>382</v>
      </c>
      <c r="AD33" s="80"/>
      <c r="AE33" s="80" t="b">
        <v>0</v>
      </c>
      <c r="AF33" s="80">
        <v>0</v>
      </c>
      <c r="AG33" s="86" t="s">
        <v>409</v>
      </c>
      <c r="AH33" s="80" t="b">
        <v>0</v>
      </c>
      <c r="AI33" s="80" t="s">
        <v>410</v>
      </c>
      <c r="AJ33" s="80"/>
      <c r="AK33" s="86" t="s">
        <v>409</v>
      </c>
      <c r="AL33" s="80" t="b">
        <v>0</v>
      </c>
      <c r="AM33" s="80">
        <v>0</v>
      </c>
      <c r="AN33" s="86" t="s">
        <v>409</v>
      </c>
      <c r="AO33" s="86" t="s">
        <v>418</v>
      </c>
      <c r="AP33" s="80" t="b">
        <v>0</v>
      </c>
      <c r="AQ33" s="86" t="s">
        <v>382</v>
      </c>
      <c r="AR33" s="80" t="s">
        <v>211</v>
      </c>
      <c r="AS33" s="80">
        <v>0</v>
      </c>
      <c r="AT33" s="80">
        <v>0</v>
      </c>
      <c r="AU33" s="80"/>
      <c r="AV33" s="80"/>
      <c r="AW33" s="80"/>
      <c r="AX33" s="80"/>
      <c r="AY33" s="80"/>
      <c r="AZ33" s="80"/>
      <c r="BA33" s="80"/>
      <c r="BB33" s="80"/>
      <c r="BC33">
        <v>28</v>
      </c>
      <c r="BD33" s="79" t="str">
        <f>REPLACE(INDEX(GroupVertices[Group],MATCH(Edges[[#This Row],[Vertex 1]],GroupVertices[Vertex],0)),1,1,"")</f>
        <v>1</v>
      </c>
      <c r="BE33" s="79" t="str">
        <f>REPLACE(INDEX(GroupVertices[Group],MATCH(Edges[[#This Row],[Vertex 2]],GroupVertices[Vertex],0)),1,1,"")</f>
        <v>1</v>
      </c>
      <c r="BF33" s="47">
        <v>1</v>
      </c>
      <c r="BG33" s="48">
        <v>4.761904761904762</v>
      </c>
      <c r="BH33" s="47">
        <v>0</v>
      </c>
      <c r="BI33" s="48">
        <v>0</v>
      </c>
      <c r="BJ33" s="47">
        <v>0</v>
      </c>
      <c r="BK33" s="48">
        <v>0</v>
      </c>
      <c r="BL33" s="47">
        <v>14</v>
      </c>
      <c r="BM33" s="48">
        <v>66.66666666666667</v>
      </c>
      <c r="BN33" s="47">
        <v>21</v>
      </c>
    </row>
    <row r="34" spans="1:66" ht="30">
      <c r="A34" s="78" t="s">
        <v>257</v>
      </c>
      <c r="B34" s="78" t="s">
        <v>257</v>
      </c>
      <c r="C34" s="49" t="s">
        <v>886</v>
      </c>
      <c r="D34" s="50">
        <v>10</v>
      </c>
      <c r="E34" s="62" t="s">
        <v>136</v>
      </c>
      <c r="F34" s="51">
        <v>6</v>
      </c>
      <c r="G34" s="49"/>
      <c r="H34" s="53"/>
      <c r="I34" s="52"/>
      <c r="J34" s="52"/>
      <c r="K34" s="32" t="s">
        <v>65</v>
      </c>
      <c r="L34" s="77">
        <v>34</v>
      </c>
      <c r="M34" s="77"/>
      <c r="N34" s="59"/>
      <c r="O34" s="80" t="s">
        <v>211</v>
      </c>
      <c r="P34" s="82">
        <v>44867.67658564815</v>
      </c>
      <c r="Q34" s="80" t="s">
        <v>282</v>
      </c>
      <c r="R34" s="84" t="str">
        <f>HYPERLINK("https://vivianfrancos.com/los-hashtags-ayudan-en-las-busquedas-de-oportunidades-laborales/")</f>
        <v>https://vivianfrancos.com/los-hashtags-ayudan-en-las-busquedas-de-oportunidades-laborales/</v>
      </c>
      <c r="S34" s="80" t="s">
        <v>303</v>
      </c>
      <c r="T34" s="86" t="s">
        <v>315</v>
      </c>
      <c r="U34" s="80"/>
      <c r="V34" s="84" t="str">
        <f>HYPERLINK("https://pbs.twimg.com/profile_images/1487756429276684289/Kqq9xAOb_normal.png")</f>
        <v>https://pbs.twimg.com/profile_images/1487756429276684289/Kqq9xAOb_normal.png</v>
      </c>
      <c r="W34" s="82">
        <v>44867.67658564815</v>
      </c>
      <c r="X34" s="88">
        <v>44867</v>
      </c>
      <c r="Y34" s="86" t="s">
        <v>345</v>
      </c>
      <c r="Z34" s="84" t="str">
        <f>HYPERLINK("https://twitter.com/hashtagmarketi7/status/1587840527868825600")</f>
        <v>https://twitter.com/hashtagmarketi7/status/1587840527868825600</v>
      </c>
      <c r="AA34" s="80"/>
      <c r="AB34" s="80"/>
      <c r="AC34" s="86" t="s">
        <v>383</v>
      </c>
      <c r="AD34" s="80"/>
      <c r="AE34" s="80" t="b">
        <v>0</v>
      </c>
      <c r="AF34" s="80">
        <v>1</v>
      </c>
      <c r="AG34" s="86" t="s">
        <v>409</v>
      </c>
      <c r="AH34" s="80" t="b">
        <v>0</v>
      </c>
      <c r="AI34" s="80" t="s">
        <v>410</v>
      </c>
      <c r="AJ34" s="80"/>
      <c r="AK34" s="86" t="s">
        <v>409</v>
      </c>
      <c r="AL34" s="80" t="b">
        <v>0</v>
      </c>
      <c r="AM34" s="80">
        <v>0</v>
      </c>
      <c r="AN34" s="86" t="s">
        <v>409</v>
      </c>
      <c r="AO34" s="86" t="s">
        <v>418</v>
      </c>
      <c r="AP34" s="80" t="b">
        <v>0</v>
      </c>
      <c r="AQ34" s="86" t="s">
        <v>383</v>
      </c>
      <c r="AR34" s="80" t="s">
        <v>211</v>
      </c>
      <c r="AS34" s="80">
        <v>0</v>
      </c>
      <c r="AT34" s="80">
        <v>0</v>
      </c>
      <c r="AU34" s="80"/>
      <c r="AV34" s="80"/>
      <c r="AW34" s="80"/>
      <c r="AX34" s="80"/>
      <c r="AY34" s="80"/>
      <c r="AZ34" s="80"/>
      <c r="BA34" s="80"/>
      <c r="BB34" s="80"/>
      <c r="BC34">
        <v>28</v>
      </c>
      <c r="BD34" s="79" t="str">
        <f>REPLACE(INDEX(GroupVertices[Group],MATCH(Edges[[#This Row],[Vertex 1]],GroupVertices[Vertex],0)),1,1,"")</f>
        <v>1</v>
      </c>
      <c r="BE34" s="79" t="str">
        <f>REPLACE(INDEX(GroupVertices[Group],MATCH(Edges[[#This Row],[Vertex 2]],GroupVertices[Vertex],0)),1,1,"")</f>
        <v>1</v>
      </c>
      <c r="BF34" s="47">
        <v>0</v>
      </c>
      <c r="BG34" s="48">
        <v>0</v>
      </c>
      <c r="BH34" s="47">
        <v>0</v>
      </c>
      <c r="BI34" s="48">
        <v>0</v>
      </c>
      <c r="BJ34" s="47">
        <v>0</v>
      </c>
      <c r="BK34" s="48">
        <v>0</v>
      </c>
      <c r="BL34" s="47">
        <v>7</v>
      </c>
      <c r="BM34" s="48">
        <v>63.63636363636363</v>
      </c>
      <c r="BN34" s="47">
        <v>11</v>
      </c>
    </row>
    <row r="35" spans="1:66" ht="30">
      <c r="A35" s="78" t="s">
        <v>257</v>
      </c>
      <c r="B35" s="78" t="s">
        <v>257</v>
      </c>
      <c r="C35" s="49" t="s">
        <v>886</v>
      </c>
      <c r="D35" s="50">
        <v>10</v>
      </c>
      <c r="E35" s="62" t="s">
        <v>136</v>
      </c>
      <c r="F35" s="51">
        <v>6</v>
      </c>
      <c r="G35" s="49"/>
      <c r="H35" s="53"/>
      <c r="I35" s="52"/>
      <c r="J35" s="52"/>
      <c r="K35" s="32" t="s">
        <v>65</v>
      </c>
      <c r="L35" s="77">
        <v>35</v>
      </c>
      <c r="M35" s="77"/>
      <c r="N35" s="59"/>
      <c r="O35" s="80" t="s">
        <v>211</v>
      </c>
      <c r="P35" s="82">
        <v>44867.79125</v>
      </c>
      <c r="Q35" s="80" t="s">
        <v>274</v>
      </c>
      <c r="R35" s="84" t="str">
        <f>HYPERLINK("https://eventbrite.com/e/2023-winter-school-social-networks-nodexl-pro-a-few-clicks-to-insights-tickets-393167403287")</f>
        <v>https://eventbrite.com/e/2023-winter-school-social-networks-nodexl-pro-a-few-clicks-to-insights-tickets-393167403287</v>
      </c>
      <c r="S35" s="80" t="s">
        <v>304</v>
      </c>
      <c r="T35" s="86" t="s">
        <v>310</v>
      </c>
      <c r="U35" s="80"/>
      <c r="V35" s="84" t="str">
        <f>HYPERLINK("https://pbs.twimg.com/profile_images/1487756429276684289/Kqq9xAOb_normal.png")</f>
        <v>https://pbs.twimg.com/profile_images/1487756429276684289/Kqq9xAOb_normal.png</v>
      </c>
      <c r="W35" s="82">
        <v>44867.79125</v>
      </c>
      <c r="X35" s="88">
        <v>44867</v>
      </c>
      <c r="Y35" s="86" t="s">
        <v>346</v>
      </c>
      <c r="Z35" s="84" t="str">
        <f>HYPERLINK("https://twitter.com/hashtagmarketi7/status/1587882081874591744")</f>
        <v>https://twitter.com/hashtagmarketi7/status/1587882081874591744</v>
      </c>
      <c r="AA35" s="80"/>
      <c r="AB35" s="80"/>
      <c r="AC35" s="86" t="s">
        <v>384</v>
      </c>
      <c r="AD35" s="80"/>
      <c r="AE35" s="80" t="b">
        <v>0</v>
      </c>
      <c r="AF35" s="80">
        <v>7</v>
      </c>
      <c r="AG35" s="86" t="s">
        <v>409</v>
      </c>
      <c r="AH35" s="80" t="b">
        <v>0</v>
      </c>
      <c r="AI35" s="80" t="s">
        <v>411</v>
      </c>
      <c r="AJ35" s="80"/>
      <c r="AK35" s="86" t="s">
        <v>409</v>
      </c>
      <c r="AL35" s="80" t="b">
        <v>0</v>
      </c>
      <c r="AM35" s="80">
        <v>2</v>
      </c>
      <c r="AN35" s="86" t="s">
        <v>409</v>
      </c>
      <c r="AO35" s="86" t="s">
        <v>418</v>
      </c>
      <c r="AP35" s="80" t="b">
        <v>0</v>
      </c>
      <c r="AQ35" s="86" t="s">
        <v>384</v>
      </c>
      <c r="AR35" s="80" t="s">
        <v>211</v>
      </c>
      <c r="AS35" s="80">
        <v>0</v>
      </c>
      <c r="AT35" s="80">
        <v>0</v>
      </c>
      <c r="AU35" s="80"/>
      <c r="AV35" s="80"/>
      <c r="AW35" s="80"/>
      <c r="AX35" s="80"/>
      <c r="AY35" s="80"/>
      <c r="AZ35" s="80"/>
      <c r="BA35" s="80"/>
      <c r="BB35" s="80"/>
      <c r="BC35">
        <v>28</v>
      </c>
      <c r="BD35" s="79" t="str">
        <f>REPLACE(INDEX(GroupVertices[Group],MATCH(Edges[[#This Row],[Vertex 1]],GroupVertices[Vertex],0)),1,1,"")</f>
        <v>1</v>
      </c>
      <c r="BE35" s="79" t="str">
        <f>REPLACE(INDEX(GroupVertices[Group],MATCH(Edges[[#This Row],[Vertex 2]],GroupVertices[Vertex],0)),1,1,"")</f>
        <v>1</v>
      </c>
      <c r="BF35" s="47">
        <v>0</v>
      </c>
      <c r="BG35" s="48">
        <v>0</v>
      </c>
      <c r="BH35" s="47">
        <v>0</v>
      </c>
      <c r="BI35" s="48">
        <v>0</v>
      </c>
      <c r="BJ35" s="47">
        <v>0</v>
      </c>
      <c r="BK35" s="48">
        <v>0</v>
      </c>
      <c r="BL35" s="47">
        <v>25</v>
      </c>
      <c r="BM35" s="48">
        <v>71.42857142857143</v>
      </c>
      <c r="BN35" s="47">
        <v>35</v>
      </c>
    </row>
    <row r="36" spans="1:66" ht="30">
      <c r="A36" s="78" t="s">
        <v>257</v>
      </c>
      <c r="B36" s="78" t="s">
        <v>257</v>
      </c>
      <c r="C36" s="49" t="s">
        <v>886</v>
      </c>
      <c r="D36" s="50">
        <v>10</v>
      </c>
      <c r="E36" s="62" t="s">
        <v>136</v>
      </c>
      <c r="F36" s="51">
        <v>6</v>
      </c>
      <c r="G36" s="49"/>
      <c r="H36" s="53"/>
      <c r="I36" s="52"/>
      <c r="J36" s="52"/>
      <c r="K36" s="32" t="s">
        <v>65</v>
      </c>
      <c r="L36" s="77">
        <v>36</v>
      </c>
      <c r="M36" s="77"/>
      <c r="N36" s="59"/>
      <c r="O36" s="80" t="s">
        <v>211</v>
      </c>
      <c r="P36" s="82">
        <v>44868.25994212963</v>
      </c>
      <c r="Q36" s="80" t="s">
        <v>283</v>
      </c>
      <c r="R36" s="84" t="str">
        <f>HYPERLINK("https://vivianfrancos.com/control-parental-de-tiktok-pueden-bloquear-terminos-de-busqueda-usuarios-y-hashtags/")</f>
        <v>https://vivianfrancos.com/control-parental-de-tiktok-pueden-bloquear-terminos-de-busqueda-usuarios-y-hashtags/</v>
      </c>
      <c r="S36" s="80" t="s">
        <v>303</v>
      </c>
      <c r="T36" s="86" t="s">
        <v>316</v>
      </c>
      <c r="U36" s="80"/>
      <c r="V36" s="84" t="str">
        <f>HYPERLINK("https://pbs.twimg.com/profile_images/1487756429276684289/Kqq9xAOb_normal.png")</f>
        <v>https://pbs.twimg.com/profile_images/1487756429276684289/Kqq9xAOb_normal.png</v>
      </c>
      <c r="W36" s="82">
        <v>44868.25994212963</v>
      </c>
      <c r="X36" s="88">
        <v>44868</v>
      </c>
      <c r="Y36" s="86" t="s">
        <v>347</v>
      </c>
      <c r="Z36" s="84" t="str">
        <f>HYPERLINK("https://twitter.com/hashtagmarketi7/status/1588051929372020736")</f>
        <v>https://twitter.com/hashtagmarketi7/status/1588051929372020736</v>
      </c>
      <c r="AA36" s="80"/>
      <c r="AB36" s="80"/>
      <c r="AC36" s="86" t="s">
        <v>385</v>
      </c>
      <c r="AD36" s="80"/>
      <c r="AE36" s="80" t="b">
        <v>0</v>
      </c>
      <c r="AF36" s="80">
        <v>0</v>
      </c>
      <c r="AG36" s="86" t="s">
        <v>409</v>
      </c>
      <c r="AH36" s="80" t="b">
        <v>0</v>
      </c>
      <c r="AI36" s="80" t="s">
        <v>410</v>
      </c>
      <c r="AJ36" s="80"/>
      <c r="AK36" s="86" t="s">
        <v>409</v>
      </c>
      <c r="AL36" s="80" t="b">
        <v>0</v>
      </c>
      <c r="AM36" s="80">
        <v>0</v>
      </c>
      <c r="AN36" s="86" t="s">
        <v>409</v>
      </c>
      <c r="AO36" s="86" t="s">
        <v>418</v>
      </c>
      <c r="AP36" s="80" t="b">
        <v>0</v>
      </c>
      <c r="AQ36" s="86" t="s">
        <v>385</v>
      </c>
      <c r="AR36" s="80" t="s">
        <v>211</v>
      </c>
      <c r="AS36" s="80">
        <v>0</v>
      </c>
      <c r="AT36" s="80">
        <v>0</v>
      </c>
      <c r="AU36" s="80"/>
      <c r="AV36" s="80"/>
      <c r="AW36" s="80"/>
      <c r="AX36" s="80"/>
      <c r="AY36" s="80"/>
      <c r="AZ36" s="80"/>
      <c r="BA36" s="80"/>
      <c r="BB36" s="80"/>
      <c r="BC36">
        <v>28</v>
      </c>
      <c r="BD36" s="79" t="str">
        <f>REPLACE(INDEX(GroupVertices[Group],MATCH(Edges[[#This Row],[Vertex 1]],GroupVertices[Vertex],0)),1,1,"")</f>
        <v>1</v>
      </c>
      <c r="BE36" s="79" t="str">
        <f>REPLACE(INDEX(GroupVertices[Group],MATCH(Edges[[#This Row],[Vertex 2]],GroupVertices[Vertex],0)),1,1,"")</f>
        <v>1</v>
      </c>
      <c r="BF36" s="47">
        <v>0</v>
      </c>
      <c r="BG36" s="48">
        <v>0</v>
      </c>
      <c r="BH36" s="47">
        <v>0</v>
      </c>
      <c r="BI36" s="48">
        <v>0</v>
      </c>
      <c r="BJ36" s="47">
        <v>0</v>
      </c>
      <c r="BK36" s="48">
        <v>0</v>
      </c>
      <c r="BL36" s="47">
        <v>10</v>
      </c>
      <c r="BM36" s="48">
        <v>71.42857142857143</v>
      </c>
      <c r="BN36" s="47">
        <v>14</v>
      </c>
    </row>
    <row r="37" spans="1:66" ht="30">
      <c r="A37" s="78" t="s">
        <v>257</v>
      </c>
      <c r="B37" s="78" t="s">
        <v>257</v>
      </c>
      <c r="C37" s="49" t="s">
        <v>886</v>
      </c>
      <c r="D37" s="50">
        <v>10</v>
      </c>
      <c r="E37" s="62" t="s">
        <v>136</v>
      </c>
      <c r="F37" s="51">
        <v>6</v>
      </c>
      <c r="G37" s="49"/>
      <c r="H37" s="53"/>
      <c r="I37" s="52"/>
      <c r="J37" s="52"/>
      <c r="K37" s="32" t="s">
        <v>65</v>
      </c>
      <c r="L37" s="77">
        <v>37</v>
      </c>
      <c r="M37" s="77"/>
      <c r="N37" s="59"/>
      <c r="O37" s="80" t="s">
        <v>211</v>
      </c>
      <c r="P37" s="82">
        <v>44868.59413194445</v>
      </c>
      <c r="Q37" s="80" t="s">
        <v>284</v>
      </c>
      <c r="R37" s="84" t="str">
        <f>HYPERLINK("https://www.amazon.es/C%C3%93MO-ENCONTRAR-LOS-HASHTAGS-POTENTES-ebook/dp/B08D9W3Q3V/")</f>
        <v>https://www.amazon.es/C%C3%93MO-ENCONTRAR-LOS-HASHTAGS-POTENTES-ebook/dp/B08D9W3Q3V/</v>
      </c>
      <c r="S37" s="80" t="s">
        <v>305</v>
      </c>
      <c r="T37" s="86" t="s">
        <v>317</v>
      </c>
      <c r="U37" s="84" t="str">
        <f>HYPERLINK("https://pbs.twimg.com/media/FgpS9NxX0AEh-XD.jpg")</f>
        <v>https://pbs.twimg.com/media/FgpS9NxX0AEh-XD.jpg</v>
      </c>
      <c r="V37" s="84" t="str">
        <f>HYPERLINK("https://pbs.twimg.com/media/FgpS9NxX0AEh-XD.jpg")</f>
        <v>https://pbs.twimg.com/media/FgpS9NxX0AEh-XD.jpg</v>
      </c>
      <c r="W37" s="82">
        <v>44868.59413194445</v>
      </c>
      <c r="X37" s="88">
        <v>44868</v>
      </c>
      <c r="Y37" s="86" t="s">
        <v>348</v>
      </c>
      <c r="Z37" s="84" t="str">
        <f>HYPERLINK("https://twitter.com/hashtagmarketi7/status/1588173036250857473")</f>
        <v>https://twitter.com/hashtagmarketi7/status/1588173036250857473</v>
      </c>
      <c r="AA37" s="80"/>
      <c r="AB37" s="80"/>
      <c r="AC37" s="86" t="s">
        <v>386</v>
      </c>
      <c r="AD37" s="80"/>
      <c r="AE37" s="80" t="b">
        <v>0</v>
      </c>
      <c r="AF37" s="80">
        <v>1</v>
      </c>
      <c r="AG37" s="86" t="s">
        <v>409</v>
      </c>
      <c r="AH37" s="80" t="b">
        <v>0</v>
      </c>
      <c r="AI37" s="80" t="s">
        <v>410</v>
      </c>
      <c r="AJ37" s="80"/>
      <c r="AK37" s="86" t="s">
        <v>409</v>
      </c>
      <c r="AL37" s="80" t="b">
        <v>0</v>
      </c>
      <c r="AM37" s="80">
        <v>0</v>
      </c>
      <c r="AN37" s="86" t="s">
        <v>409</v>
      </c>
      <c r="AO37" s="86" t="s">
        <v>418</v>
      </c>
      <c r="AP37" s="80" t="b">
        <v>0</v>
      </c>
      <c r="AQ37" s="86" t="s">
        <v>386</v>
      </c>
      <c r="AR37" s="80" t="s">
        <v>211</v>
      </c>
      <c r="AS37" s="80">
        <v>0</v>
      </c>
      <c r="AT37" s="80">
        <v>0</v>
      </c>
      <c r="AU37" s="80"/>
      <c r="AV37" s="80"/>
      <c r="AW37" s="80"/>
      <c r="AX37" s="80"/>
      <c r="AY37" s="80"/>
      <c r="AZ37" s="80"/>
      <c r="BA37" s="80"/>
      <c r="BB37" s="80"/>
      <c r="BC37">
        <v>28</v>
      </c>
      <c r="BD37" s="79" t="str">
        <f>REPLACE(INDEX(GroupVertices[Group],MATCH(Edges[[#This Row],[Vertex 1]],GroupVertices[Vertex],0)),1,1,"")</f>
        <v>1</v>
      </c>
      <c r="BE37" s="79" t="str">
        <f>REPLACE(INDEX(GroupVertices[Group],MATCH(Edges[[#This Row],[Vertex 2]],GroupVertices[Vertex],0)),1,1,"")</f>
        <v>1</v>
      </c>
      <c r="BF37" s="47">
        <v>0</v>
      </c>
      <c r="BG37" s="48">
        <v>0</v>
      </c>
      <c r="BH37" s="47">
        <v>0</v>
      </c>
      <c r="BI37" s="48">
        <v>0</v>
      </c>
      <c r="BJ37" s="47">
        <v>0</v>
      </c>
      <c r="BK37" s="48">
        <v>0</v>
      </c>
      <c r="BL37" s="47">
        <v>11</v>
      </c>
      <c r="BM37" s="48">
        <v>55</v>
      </c>
      <c r="BN37" s="47">
        <v>20</v>
      </c>
    </row>
    <row r="38" spans="1:66" ht="30">
      <c r="A38" s="78" t="s">
        <v>257</v>
      </c>
      <c r="B38" s="78" t="s">
        <v>257</v>
      </c>
      <c r="C38" s="49" t="s">
        <v>886</v>
      </c>
      <c r="D38" s="50">
        <v>10</v>
      </c>
      <c r="E38" s="62" t="s">
        <v>136</v>
      </c>
      <c r="F38" s="51">
        <v>6</v>
      </c>
      <c r="G38" s="49"/>
      <c r="H38" s="53"/>
      <c r="I38" s="52"/>
      <c r="J38" s="52"/>
      <c r="K38" s="32" t="s">
        <v>65</v>
      </c>
      <c r="L38" s="77">
        <v>38</v>
      </c>
      <c r="M38" s="77"/>
      <c r="N38" s="59"/>
      <c r="O38" s="80" t="s">
        <v>211</v>
      </c>
      <c r="P38" s="82">
        <v>44868.67459490741</v>
      </c>
      <c r="Q38" s="80" t="s">
        <v>285</v>
      </c>
      <c r="R38" s="84" t="str">
        <f>HYPERLINK("https://vivianfrancos.com/linkedin-como-herramienta-de-ventas-b2b-para-tu-empresa/")</f>
        <v>https://vivianfrancos.com/linkedin-como-herramienta-de-ventas-b2b-para-tu-empresa/</v>
      </c>
      <c r="S38" s="80" t="s">
        <v>303</v>
      </c>
      <c r="T38" s="86" t="s">
        <v>318</v>
      </c>
      <c r="U38" s="84" t="str">
        <f>HYPERLINK("https://pbs.twimg.com/ext_tw_video_thumb/1588202174860955654/pu/img/rGkWz-5Lh5d7w78g.jpg")</f>
        <v>https://pbs.twimg.com/ext_tw_video_thumb/1588202174860955654/pu/img/rGkWz-5Lh5d7w78g.jpg</v>
      </c>
      <c r="V38" s="84" t="str">
        <f>HYPERLINK("https://pbs.twimg.com/ext_tw_video_thumb/1588202174860955654/pu/img/rGkWz-5Lh5d7w78g.jpg")</f>
        <v>https://pbs.twimg.com/ext_tw_video_thumb/1588202174860955654/pu/img/rGkWz-5Lh5d7w78g.jpg</v>
      </c>
      <c r="W38" s="82">
        <v>44868.67459490741</v>
      </c>
      <c r="X38" s="88">
        <v>44868</v>
      </c>
      <c r="Y38" s="86" t="s">
        <v>349</v>
      </c>
      <c r="Z38" s="84" t="str">
        <f>HYPERLINK("https://twitter.com/hashtagmarketi7/status/1588202194041556998")</f>
        <v>https://twitter.com/hashtagmarketi7/status/1588202194041556998</v>
      </c>
      <c r="AA38" s="80"/>
      <c r="AB38" s="80"/>
      <c r="AC38" s="86" t="s">
        <v>387</v>
      </c>
      <c r="AD38" s="80"/>
      <c r="AE38" s="80" t="b">
        <v>0</v>
      </c>
      <c r="AF38" s="80">
        <v>0</v>
      </c>
      <c r="AG38" s="86" t="s">
        <v>409</v>
      </c>
      <c r="AH38" s="80" t="b">
        <v>0</v>
      </c>
      <c r="AI38" s="80" t="s">
        <v>410</v>
      </c>
      <c r="AJ38" s="80"/>
      <c r="AK38" s="86" t="s">
        <v>409</v>
      </c>
      <c r="AL38" s="80" t="b">
        <v>0</v>
      </c>
      <c r="AM38" s="80">
        <v>0</v>
      </c>
      <c r="AN38" s="86" t="s">
        <v>409</v>
      </c>
      <c r="AO38" s="86" t="s">
        <v>418</v>
      </c>
      <c r="AP38" s="80" t="b">
        <v>0</v>
      </c>
      <c r="AQ38" s="86" t="s">
        <v>387</v>
      </c>
      <c r="AR38" s="80" t="s">
        <v>211</v>
      </c>
      <c r="AS38" s="80">
        <v>0</v>
      </c>
      <c r="AT38" s="80">
        <v>0</v>
      </c>
      <c r="AU38" s="80"/>
      <c r="AV38" s="80"/>
      <c r="AW38" s="80"/>
      <c r="AX38" s="80"/>
      <c r="AY38" s="80"/>
      <c r="AZ38" s="80"/>
      <c r="BA38" s="80"/>
      <c r="BB38" s="80"/>
      <c r="BC38">
        <v>28</v>
      </c>
      <c r="BD38" s="79" t="str">
        <f>REPLACE(INDEX(GroupVertices[Group],MATCH(Edges[[#This Row],[Vertex 1]],GroupVertices[Vertex],0)),1,1,"")</f>
        <v>1</v>
      </c>
      <c r="BE38" s="79" t="str">
        <f>REPLACE(INDEX(GroupVertices[Group],MATCH(Edges[[#This Row],[Vertex 2]],GroupVertices[Vertex],0)),1,1,"")</f>
        <v>1</v>
      </c>
      <c r="BF38" s="47">
        <v>0</v>
      </c>
      <c r="BG38" s="48">
        <v>0</v>
      </c>
      <c r="BH38" s="47">
        <v>0</v>
      </c>
      <c r="BI38" s="48">
        <v>0</v>
      </c>
      <c r="BJ38" s="47">
        <v>0</v>
      </c>
      <c r="BK38" s="48">
        <v>0</v>
      </c>
      <c r="BL38" s="47">
        <v>17</v>
      </c>
      <c r="BM38" s="48">
        <v>58.62068965517241</v>
      </c>
      <c r="BN38" s="47">
        <v>29</v>
      </c>
    </row>
    <row r="39" spans="1:66" ht="30">
      <c r="A39" s="78" t="s">
        <v>257</v>
      </c>
      <c r="B39" s="78" t="s">
        <v>257</v>
      </c>
      <c r="C39" s="49" t="s">
        <v>886</v>
      </c>
      <c r="D39" s="50">
        <v>10</v>
      </c>
      <c r="E39" s="62" t="s">
        <v>136</v>
      </c>
      <c r="F39" s="51">
        <v>6</v>
      </c>
      <c r="G39" s="49"/>
      <c r="H39" s="53"/>
      <c r="I39" s="52"/>
      <c r="J39" s="52"/>
      <c r="K39" s="32" t="s">
        <v>65</v>
      </c>
      <c r="L39" s="77">
        <v>39</v>
      </c>
      <c r="M39" s="77"/>
      <c r="N39" s="59"/>
      <c r="O39" s="80" t="s">
        <v>211</v>
      </c>
      <c r="P39" s="82">
        <v>44868.91894675926</v>
      </c>
      <c r="Q39" s="80" t="s">
        <v>286</v>
      </c>
      <c r="R39" s="84" t="str">
        <f>HYPERLINK("https://www.amazon.es/C%C3%93MO-ENCONTRAR-LOS-HASHTAGS-POTENTES-ebook/dp/B08D9W3Q3V/")</f>
        <v>https://www.amazon.es/C%C3%93MO-ENCONTRAR-LOS-HASHTAGS-POTENTES-ebook/dp/B08D9W3Q3V/</v>
      </c>
      <c r="S39" s="80" t="s">
        <v>305</v>
      </c>
      <c r="T39" s="86" t="s">
        <v>314</v>
      </c>
      <c r="U39" s="84" t="str">
        <f>HYPERLINK("https://pbs.twimg.com/media/Fgq-A3qWAAM8atW.jpg")</f>
        <v>https://pbs.twimg.com/media/Fgq-A3qWAAM8atW.jpg</v>
      </c>
      <c r="V39" s="84" t="str">
        <f>HYPERLINK("https://pbs.twimg.com/media/Fgq-A3qWAAM8atW.jpg")</f>
        <v>https://pbs.twimg.com/media/Fgq-A3qWAAM8atW.jpg</v>
      </c>
      <c r="W39" s="82">
        <v>44868.91894675926</v>
      </c>
      <c r="X39" s="88">
        <v>44868</v>
      </c>
      <c r="Y39" s="86" t="s">
        <v>350</v>
      </c>
      <c r="Z39" s="84" t="str">
        <f>HYPERLINK("https://twitter.com/hashtagmarketi7/status/1588290746674733057")</f>
        <v>https://twitter.com/hashtagmarketi7/status/1588290746674733057</v>
      </c>
      <c r="AA39" s="80"/>
      <c r="AB39" s="80"/>
      <c r="AC39" s="86" t="s">
        <v>388</v>
      </c>
      <c r="AD39" s="80"/>
      <c r="AE39" s="80" t="b">
        <v>0</v>
      </c>
      <c r="AF39" s="80">
        <v>2</v>
      </c>
      <c r="AG39" s="86" t="s">
        <v>409</v>
      </c>
      <c r="AH39" s="80" t="b">
        <v>0</v>
      </c>
      <c r="AI39" s="80" t="s">
        <v>410</v>
      </c>
      <c r="AJ39" s="80"/>
      <c r="AK39" s="86" t="s">
        <v>409</v>
      </c>
      <c r="AL39" s="80" t="b">
        <v>0</v>
      </c>
      <c r="AM39" s="80">
        <v>0</v>
      </c>
      <c r="AN39" s="86" t="s">
        <v>409</v>
      </c>
      <c r="AO39" s="86" t="s">
        <v>418</v>
      </c>
      <c r="AP39" s="80" t="b">
        <v>0</v>
      </c>
      <c r="AQ39" s="86" t="s">
        <v>388</v>
      </c>
      <c r="AR39" s="80" t="s">
        <v>211</v>
      </c>
      <c r="AS39" s="80">
        <v>0</v>
      </c>
      <c r="AT39" s="80">
        <v>0</v>
      </c>
      <c r="AU39" s="80"/>
      <c r="AV39" s="80"/>
      <c r="AW39" s="80"/>
      <c r="AX39" s="80"/>
      <c r="AY39" s="80"/>
      <c r="AZ39" s="80"/>
      <c r="BA39" s="80"/>
      <c r="BB39" s="80"/>
      <c r="BC39">
        <v>28</v>
      </c>
      <c r="BD39" s="79" t="str">
        <f>REPLACE(INDEX(GroupVertices[Group],MATCH(Edges[[#This Row],[Vertex 1]],GroupVertices[Vertex],0)),1,1,"")</f>
        <v>1</v>
      </c>
      <c r="BE39" s="79" t="str">
        <f>REPLACE(INDEX(GroupVertices[Group],MATCH(Edges[[#This Row],[Vertex 2]],GroupVertices[Vertex],0)),1,1,"")</f>
        <v>1</v>
      </c>
      <c r="BF39" s="47">
        <v>1</v>
      </c>
      <c r="BG39" s="48">
        <v>4.761904761904762</v>
      </c>
      <c r="BH39" s="47">
        <v>0</v>
      </c>
      <c r="BI39" s="48">
        <v>0</v>
      </c>
      <c r="BJ39" s="47">
        <v>0</v>
      </c>
      <c r="BK39" s="48">
        <v>0</v>
      </c>
      <c r="BL39" s="47">
        <v>14</v>
      </c>
      <c r="BM39" s="48">
        <v>66.66666666666667</v>
      </c>
      <c r="BN39" s="47">
        <v>21</v>
      </c>
    </row>
    <row r="40" spans="1:66" ht="30">
      <c r="A40" s="78" t="s">
        <v>257</v>
      </c>
      <c r="B40" s="78" t="s">
        <v>257</v>
      </c>
      <c r="C40" s="49" t="s">
        <v>886</v>
      </c>
      <c r="D40" s="50">
        <v>10</v>
      </c>
      <c r="E40" s="62" t="s">
        <v>136</v>
      </c>
      <c r="F40" s="51">
        <v>6</v>
      </c>
      <c r="G40" s="49"/>
      <c r="H40" s="53"/>
      <c r="I40" s="52"/>
      <c r="J40" s="52"/>
      <c r="K40" s="32" t="s">
        <v>65</v>
      </c>
      <c r="L40" s="77">
        <v>40</v>
      </c>
      <c r="M40" s="77"/>
      <c r="N40" s="59"/>
      <c r="O40" s="80" t="s">
        <v>211</v>
      </c>
      <c r="P40" s="82">
        <v>44869.67667824074</v>
      </c>
      <c r="Q40" s="80" t="s">
        <v>287</v>
      </c>
      <c r="R40" s="84" t="str">
        <f>HYPERLINK("https://vivianfrancos.com/comienza-desde-hoy-a-posicionar-tu-hashtags-como-todo-un-experto/")</f>
        <v>https://vivianfrancos.com/comienza-desde-hoy-a-posicionar-tu-hashtags-como-todo-un-experto/</v>
      </c>
      <c r="S40" s="80" t="s">
        <v>303</v>
      </c>
      <c r="T40" s="86" t="s">
        <v>319</v>
      </c>
      <c r="U40" s="80"/>
      <c r="V40" s="84" t="str">
        <f>HYPERLINK("https://pbs.twimg.com/profile_images/1487756429276684289/Kqq9xAOb_normal.png")</f>
        <v>https://pbs.twimg.com/profile_images/1487756429276684289/Kqq9xAOb_normal.png</v>
      </c>
      <c r="W40" s="82">
        <v>44869.67667824074</v>
      </c>
      <c r="X40" s="88">
        <v>44869</v>
      </c>
      <c r="Y40" s="86" t="s">
        <v>351</v>
      </c>
      <c r="Z40" s="84" t="str">
        <f>HYPERLINK("https://twitter.com/hashtagmarketi7/status/1588565337062121472")</f>
        <v>https://twitter.com/hashtagmarketi7/status/1588565337062121472</v>
      </c>
      <c r="AA40" s="80"/>
      <c r="AB40" s="80"/>
      <c r="AC40" s="86" t="s">
        <v>389</v>
      </c>
      <c r="AD40" s="80"/>
      <c r="AE40" s="80" t="b">
        <v>0</v>
      </c>
      <c r="AF40" s="80">
        <v>0</v>
      </c>
      <c r="AG40" s="86" t="s">
        <v>409</v>
      </c>
      <c r="AH40" s="80" t="b">
        <v>0</v>
      </c>
      <c r="AI40" s="80" t="s">
        <v>410</v>
      </c>
      <c r="AJ40" s="80"/>
      <c r="AK40" s="86" t="s">
        <v>409</v>
      </c>
      <c r="AL40" s="80" t="b">
        <v>0</v>
      </c>
      <c r="AM40" s="80">
        <v>0</v>
      </c>
      <c r="AN40" s="86" t="s">
        <v>409</v>
      </c>
      <c r="AO40" s="86" t="s">
        <v>418</v>
      </c>
      <c r="AP40" s="80" t="b">
        <v>0</v>
      </c>
      <c r="AQ40" s="86" t="s">
        <v>389</v>
      </c>
      <c r="AR40" s="80" t="s">
        <v>211</v>
      </c>
      <c r="AS40" s="80">
        <v>0</v>
      </c>
      <c r="AT40" s="80">
        <v>0</v>
      </c>
      <c r="AU40" s="80"/>
      <c r="AV40" s="80"/>
      <c r="AW40" s="80"/>
      <c r="AX40" s="80"/>
      <c r="AY40" s="80"/>
      <c r="AZ40" s="80"/>
      <c r="BA40" s="80"/>
      <c r="BB40" s="80"/>
      <c r="BC40">
        <v>28</v>
      </c>
      <c r="BD40" s="79" t="str">
        <f>REPLACE(INDEX(GroupVertices[Group],MATCH(Edges[[#This Row],[Vertex 1]],GroupVertices[Vertex],0)),1,1,"")</f>
        <v>1</v>
      </c>
      <c r="BE40" s="79" t="str">
        <f>REPLACE(INDEX(GroupVertices[Group],MATCH(Edges[[#This Row],[Vertex 2]],GroupVertices[Vertex],0)),1,1,"")</f>
        <v>1</v>
      </c>
      <c r="BF40" s="47">
        <v>0</v>
      </c>
      <c r="BG40" s="48">
        <v>0</v>
      </c>
      <c r="BH40" s="47">
        <v>0</v>
      </c>
      <c r="BI40" s="48">
        <v>0</v>
      </c>
      <c r="BJ40" s="47">
        <v>0</v>
      </c>
      <c r="BK40" s="48">
        <v>0</v>
      </c>
      <c r="BL40" s="47">
        <v>8</v>
      </c>
      <c r="BM40" s="48">
        <v>61.53846153846154</v>
      </c>
      <c r="BN40" s="47">
        <v>13</v>
      </c>
    </row>
    <row r="41" spans="1:66" ht="30">
      <c r="A41" s="78" t="s">
        <v>257</v>
      </c>
      <c r="B41" s="78" t="s">
        <v>257</v>
      </c>
      <c r="C41" s="49" t="s">
        <v>886</v>
      </c>
      <c r="D41" s="50">
        <v>10</v>
      </c>
      <c r="E41" s="62" t="s">
        <v>136</v>
      </c>
      <c r="F41" s="51">
        <v>6</v>
      </c>
      <c r="G41" s="49"/>
      <c r="H41" s="53"/>
      <c r="I41" s="52"/>
      <c r="J41" s="52"/>
      <c r="K41" s="32" t="s">
        <v>65</v>
      </c>
      <c r="L41" s="77">
        <v>41</v>
      </c>
      <c r="M41" s="77"/>
      <c r="N41" s="59"/>
      <c r="O41" s="80" t="s">
        <v>211</v>
      </c>
      <c r="P41" s="82">
        <v>44869.79119212963</v>
      </c>
      <c r="Q41" s="80" t="s">
        <v>288</v>
      </c>
      <c r="R41"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41" s="80" t="s">
        <v>303</v>
      </c>
      <c r="T41" s="86" t="s">
        <v>320</v>
      </c>
      <c r="U41" s="80"/>
      <c r="V41" s="84" t="str">
        <f>HYPERLINK("https://pbs.twimg.com/profile_images/1487756429276684289/Kqq9xAOb_normal.png")</f>
        <v>https://pbs.twimg.com/profile_images/1487756429276684289/Kqq9xAOb_normal.png</v>
      </c>
      <c r="W41" s="82">
        <v>44869.79119212963</v>
      </c>
      <c r="X41" s="88">
        <v>44869</v>
      </c>
      <c r="Y41" s="86" t="s">
        <v>352</v>
      </c>
      <c r="Z41" s="84" t="str">
        <f>HYPERLINK("https://twitter.com/hashtagmarketi7/status/1588606838022471688")</f>
        <v>https://twitter.com/hashtagmarketi7/status/1588606838022471688</v>
      </c>
      <c r="AA41" s="80"/>
      <c r="AB41" s="80"/>
      <c r="AC41" s="86" t="s">
        <v>390</v>
      </c>
      <c r="AD41" s="80"/>
      <c r="AE41" s="80" t="b">
        <v>0</v>
      </c>
      <c r="AF41" s="80">
        <v>5</v>
      </c>
      <c r="AG41" s="86" t="s">
        <v>409</v>
      </c>
      <c r="AH41" s="80" t="b">
        <v>0</v>
      </c>
      <c r="AI41" s="80" t="s">
        <v>410</v>
      </c>
      <c r="AJ41" s="80"/>
      <c r="AK41" s="86" t="s">
        <v>409</v>
      </c>
      <c r="AL41" s="80" t="b">
        <v>0</v>
      </c>
      <c r="AM41" s="80">
        <v>0</v>
      </c>
      <c r="AN41" s="86" t="s">
        <v>409</v>
      </c>
      <c r="AO41" s="86" t="s">
        <v>418</v>
      </c>
      <c r="AP41" s="80" t="b">
        <v>0</v>
      </c>
      <c r="AQ41" s="86" t="s">
        <v>390</v>
      </c>
      <c r="AR41" s="80" t="s">
        <v>211</v>
      </c>
      <c r="AS41" s="80">
        <v>0</v>
      </c>
      <c r="AT41" s="80">
        <v>0</v>
      </c>
      <c r="AU41" s="80"/>
      <c r="AV41" s="80"/>
      <c r="AW41" s="80"/>
      <c r="AX41" s="80"/>
      <c r="AY41" s="80"/>
      <c r="AZ41" s="80"/>
      <c r="BA41" s="80"/>
      <c r="BB41" s="80"/>
      <c r="BC41">
        <v>28</v>
      </c>
      <c r="BD41" s="79" t="str">
        <f>REPLACE(INDEX(GroupVertices[Group],MATCH(Edges[[#This Row],[Vertex 1]],GroupVertices[Vertex],0)),1,1,"")</f>
        <v>1</v>
      </c>
      <c r="BE41" s="79" t="str">
        <f>REPLACE(INDEX(GroupVertices[Group],MATCH(Edges[[#This Row],[Vertex 2]],GroupVertices[Vertex],0)),1,1,"")</f>
        <v>1</v>
      </c>
      <c r="BF41" s="47">
        <v>0</v>
      </c>
      <c r="BG41" s="48">
        <v>0</v>
      </c>
      <c r="BH41" s="47">
        <v>0</v>
      </c>
      <c r="BI41" s="48">
        <v>0</v>
      </c>
      <c r="BJ41" s="47">
        <v>0</v>
      </c>
      <c r="BK41" s="48">
        <v>0</v>
      </c>
      <c r="BL41" s="47">
        <v>21</v>
      </c>
      <c r="BM41" s="48">
        <v>77.77777777777777</v>
      </c>
      <c r="BN41" s="47">
        <v>27</v>
      </c>
    </row>
    <row r="42" spans="1:66" ht="30">
      <c r="A42" s="78" t="s">
        <v>257</v>
      </c>
      <c r="B42" s="78" t="s">
        <v>257</v>
      </c>
      <c r="C42" s="49" t="s">
        <v>886</v>
      </c>
      <c r="D42" s="50">
        <v>10</v>
      </c>
      <c r="E42" s="62" t="s">
        <v>136</v>
      </c>
      <c r="F42" s="51">
        <v>6</v>
      </c>
      <c r="G42" s="49"/>
      <c r="H42" s="53"/>
      <c r="I42" s="52"/>
      <c r="J42" s="52"/>
      <c r="K42" s="32" t="s">
        <v>65</v>
      </c>
      <c r="L42" s="77">
        <v>42</v>
      </c>
      <c r="M42" s="77"/>
      <c r="N42" s="59"/>
      <c r="O42" s="80" t="s">
        <v>211</v>
      </c>
      <c r="P42" s="82">
        <v>44870.25991898148</v>
      </c>
      <c r="Q42" s="80" t="s">
        <v>289</v>
      </c>
      <c r="R42" s="84" t="str">
        <f>HYPERLINK("https://vivianfrancos.com/youtube-lleva-los-hashtags-al-siguiente-nivel-de-importancia-al-ofrecer-paginas-dedicadas/")</f>
        <v>https://vivianfrancos.com/youtube-lleva-los-hashtags-al-siguiente-nivel-de-importancia-al-ofrecer-paginas-dedicadas/</v>
      </c>
      <c r="S42" s="80" t="s">
        <v>303</v>
      </c>
      <c r="T42" s="86" t="s">
        <v>321</v>
      </c>
      <c r="U42" s="80"/>
      <c r="V42" s="84" t="str">
        <f>HYPERLINK("https://pbs.twimg.com/profile_images/1487756429276684289/Kqq9xAOb_normal.png")</f>
        <v>https://pbs.twimg.com/profile_images/1487756429276684289/Kqq9xAOb_normal.png</v>
      </c>
      <c r="W42" s="82">
        <v>44870.25991898148</v>
      </c>
      <c r="X42" s="88">
        <v>44870</v>
      </c>
      <c r="Y42" s="86" t="s">
        <v>343</v>
      </c>
      <c r="Z42" s="84" t="str">
        <f>HYPERLINK("https://twitter.com/hashtagmarketi7/status/1588776699654717440")</f>
        <v>https://twitter.com/hashtagmarketi7/status/1588776699654717440</v>
      </c>
      <c r="AA42" s="80"/>
      <c r="AB42" s="80"/>
      <c r="AC42" s="86" t="s">
        <v>391</v>
      </c>
      <c r="AD42" s="80"/>
      <c r="AE42" s="80" t="b">
        <v>0</v>
      </c>
      <c r="AF42" s="80">
        <v>0</v>
      </c>
      <c r="AG42" s="86" t="s">
        <v>409</v>
      </c>
      <c r="AH42" s="80" t="b">
        <v>0</v>
      </c>
      <c r="AI42" s="80" t="s">
        <v>410</v>
      </c>
      <c r="AJ42" s="80"/>
      <c r="AK42" s="86" t="s">
        <v>409</v>
      </c>
      <c r="AL42" s="80" t="b">
        <v>0</v>
      </c>
      <c r="AM42" s="80">
        <v>0</v>
      </c>
      <c r="AN42" s="86" t="s">
        <v>409</v>
      </c>
      <c r="AO42" s="86" t="s">
        <v>418</v>
      </c>
      <c r="AP42" s="80" t="b">
        <v>0</v>
      </c>
      <c r="AQ42" s="86" t="s">
        <v>391</v>
      </c>
      <c r="AR42" s="80" t="s">
        <v>211</v>
      </c>
      <c r="AS42" s="80">
        <v>0</v>
      </c>
      <c r="AT42" s="80">
        <v>0</v>
      </c>
      <c r="AU42" s="80"/>
      <c r="AV42" s="80"/>
      <c r="AW42" s="80"/>
      <c r="AX42" s="80"/>
      <c r="AY42" s="80"/>
      <c r="AZ42" s="80"/>
      <c r="BA42" s="80"/>
      <c r="BB42" s="80"/>
      <c r="BC42">
        <v>28</v>
      </c>
      <c r="BD42" s="79" t="str">
        <f>REPLACE(INDEX(GroupVertices[Group],MATCH(Edges[[#This Row],[Vertex 1]],GroupVertices[Vertex],0)),1,1,"")</f>
        <v>1</v>
      </c>
      <c r="BE42" s="79" t="str">
        <f>REPLACE(INDEX(GroupVertices[Group],MATCH(Edges[[#This Row],[Vertex 2]],GroupVertices[Vertex],0)),1,1,"")</f>
        <v>1</v>
      </c>
      <c r="BF42" s="47">
        <v>0</v>
      </c>
      <c r="BG42" s="48">
        <v>0</v>
      </c>
      <c r="BH42" s="47">
        <v>0</v>
      </c>
      <c r="BI42" s="48">
        <v>0</v>
      </c>
      <c r="BJ42" s="47">
        <v>0</v>
      </c>
      <c r="BK42" s="48">
        <v>0</v>
      </c>
      <c r="BL42" s="47">
        <v>7</v>
      </c>
      <c r="BM42" s="48">
        <v>63.63636363636363</v>
      </c>
      <c r="BN42" s="47">
        <v>11</v>
      </c>
    </row>
    <row r="43" spans="1:66" ht="30">
      <c r="A43" s="78" t="s">
        <v>257</v>
      </c>
      <c r="B43" s="78" t="s">
        <v>257</v>
      </c>
      <c r="C43" s="49" t="s">
        <v>886</v>
      </c>
      <c r="D43" s="50">
        <v>10</v>
      </c>
      <c r="E43" s="62" t="s">
        <v>136</v>
      </c>
      <c r="F43" s="51">
        <v>6</v>
      </c>
      <c r="G43" s="49"/>
      <c r="H43" s="53"/>
      <c r="I43" s="52"/>
      <c r="J43" s="52"/>
      <c r="K43" s="32" t="s">
        <v>65</v>
      </c>
      <c r="L43" s="77">
        <v>43</v>
      </c>
      <c r="M43" s="77"/>
      <c r="N43" s="59"/>
      <c r="O43" s="80" t="s">
        <v>211</v>
      </c>
      <c r="P43" s="82">
        <v>44870.48144675926</v>
      </c>
      <c r="Q43" s="80" t="s">
        <v>290</v>
      </c>
      <c r="R43" s="84" t="str">
        <f>HYPERLINK("https://vivianfrancos.com/nodexl-pro-en-formato-power-bi-completamente-interactivo/")</f>
        <v>https://vivianfrancos.com/nodexl-pro-en-formato-power-bi-completamente-interactivo/</v>
      </c>
      <c r="S43" s="80" t="s">
        <v>303</v>
      </c>
      <c r="T43" s="86" t="s">
        <v>322</v>
      </c>
      <c r="U43" s="80"/>
      <c r="V43" s="84" t="str">
        <f>HYPERLINK("https://pbs.twimg.com/profile_images/1487756429276684289/Kqq9xAOb_normal.png")</f>
        <v>https://pbs.twimg.com/profile_images/1487756429276684289/Kqq9xAOb_normal.png</v>
      </c>
      <c r="W43" s="82">
        <v>44870.48144675926</v>
      </c>
      <c r="X43" s="88">
        <v>44870</v>
      </c>
      <c r="Y43" s="86" t="s">
        <v>353</v>
      </c>
      <c r="Z43" s="84" t="str">
        <f>HYPERLINK("https://twitter.com/hashtagmarketi7/status/1588856977966481409")</f>
        <v>https://twitter.com/hashtagmarketi7/status/1588856977966481409</v>
      </c>
      <c r="AA43" s="80"/>
      <c r="AB43" s="80"/>
      <c r="AC43" s="86" t="s">
        <v>392</v>
      </c>
      <c r="AD43" s="80"/>
      <c r="AE43" s="80" t="b">
        <v>0</v>
      </c>
      <c r="AF43" s="80">
        <v>5</v>
      </c>
      <c r="AG43" s="86" t="s">
        <v>409</v>
      </c>
      <c r="AH43" s="80" t="b">
        <v>0</v>
      </c>
      <c r="AI43" s="80" t="s">
        <v>410</v>
      </c>
      <c r="AJ43" s="80"/>
      <c r="AK43" s="86" t="s">
        <v>409</v>
      </c>
      <c r="AL43" s="80" t="b">
        <v>0</v>
      </c>
      <c r="AM43" s="80">
        <v>0</v>
      </c>
      <c r="AN43" s="86" t="s">
        <v>409</v>
      </c>
      <c r="AO43" s="86" t="s">
        <v>418</v>
      </c>
      <c r="AP43" s="80" t="b">
        <v>0</v>
      </c>
      <c r="AQ43" s="86" t="s">
        <v>392</v>
      </c>
      <c r="AR43" s="80" t="s">
        <v>211</v>
      </c>
      <c r="AS43" s="80">
        <v>0</v>
      </c>
      <c r="AT43" s="80">
        <v>0</v>
      </c>
      <c r="AU43" s="80"/>
      <c r="AV43" s="80"/>
      <c r="AW43" s="80"/>
      <c r="AX43" s="80"/>
      <c r="AY43" s="80"/>
      <c r="AZ43" s="80"/>
      <c r="BA43" s="80"/>
      <c r="BB43" s="80"/>
      <c r="BC43">
        <v>28</v>
      </c>
      <c r="BD43" s="79" t="str">
        <f>REPLACE(INDEX(GroupVertices[Group],MATCH(Edges[[#This Row],[Vertex 1]],GroupVertices[Vertex],0)),1,1,"")</f>
        <v>1</v>
      </c>
      <c r="BE43" s="79" t="str">
        <f>REPLACE(INDEX(GroupVertices[Group],MATCH(Edges[[#This Row],[Vertex 2]],GroupVertices[Vertex],0)),1,1,"")</f>
        <v>1</v>
      </c>
      <c r="BF43" s="47">
        <v>0</v>
      </c>
      <c r="BG43" s="48">
        <v>0</v>
      </c>
      <c r="BH43" s="47">
        <v>0</v>
      </c>
      <c r="BI43" s="48">
        <v>0</v>
      </c>
      <c r="BJ43" s="47">
        <v>0</v>
      </c>
      <c r="BK43" s="48">
        <v>0</v>
      </c>
      <c r="BL43" s="47">
        <v>21</v>
      </c>
      <c r="BM43" s="48">
        <v>70</v>
      </c>
      <c r="BN43" s="47">
        <v>30</v>
      </c>
    </row>
    <row r="44" spans="1:66" ht="30">
      <c r="A44" s="78" t="s">
        <v>257</v>
      </c>
      <c r="B44" s="78" t="s">
        <v>257</v>
      </c>
      <c r="C44" s="49" t="s">
        <v>886</v>
      </c>
      <c r="D44" s="50">
        <v>10</v>
      </c>
      <c r="E44" s="62" t="s">
        <v>136</v>
      </c>
      <c r="F44" s="51">
        <v>6</v>
      </c>
      <c r="G44" s="49"/>
      <c r="H44" s="53"/>
      <c r="I44" s="52"/>
      <c r="J44" s="52"/>
      <c r="K44" s="32" t="s">
        <v>65</v>
      </c>
      <c r="L44" s="77">
        <v>44</v>
      </c>
      <c r="M44" s="77"/>
      <c r="N44" s="59"/>
      <c r="O44" s="80" t="s">
        <v>211</v>
      </c>
      <c r="P44" s="82">
        <v>44871.593935185185</v>
      </c>
      <c r="Q44" s="80" t="s">
        <v>291</v>
      </c>
      <c r="R44" s="84" t="str">
        <f>HYPERLINK("https://www.amazon.es/C%C3%93MO-ENCONTRAR-LOS-HASHTAGS-POTENTES-ebook/dp/B08D9W3Q3V/")</f>
        <v>https://www.amazon.es/C%C3%93MO-ENCONTRAR-LOS-HASHTAGS-POTENTES-ebook/dp/B08D9W3Q3V/</v>
      </c>
      <c r="S44" s="80" t="s">
        <v>305</v>
      </c>
      <c r="T44" s="86" t="s">
        <v>314</v>
      </c>
      <c r="U44" s="84" t="str">
        <f>HYPERLINK("https://pbs.twimg.com/media/Fg4vqZ3XEAATgAg.jpg")</f>
        <v>https://pbs.twimg.com/media/Fg4vqZ3XEAATgAg.jpg</v>
      </c>
      <c r="V44" s="84" t="str">
        <f>HYPERLINK("https://pbs.twimg.com/media/Fg4vqZ3XEAATgAg.jpg")</f>
        <v>https://pbs.twimg.com/media/Fg4vqZ3XEAATgAg.jpg</v>
      </c>
      <c r="W44" s="82">
        <v>44871.593935185185</v>
      </c>
      <c r="X44" s="88">
        <v>44871</v>
      </c>
      <c r="Y44" s="86" t="s">
        <v>354</v>
      </c>
      <c r="Z44" s="84" t="str">
        <f>HYPERLINK("https://twitter.com/hashtagmarketi7/status/1589260130482372611")</f>
        <v>https://twitter.com/hashtagmarketi7/status/1589260130482372611</v>
      </c>
      <c r="AA44" s="80"/>
      <c r="AB44" s="80"/>
      <c r="AC44" s="86" t="s">
        <v>393</v>
      </c>
      <c r="AD44" s="80"/>
      <c r="AE44" s="80" t="b">
        <v>0</v>
      </c>
      <c r="AF44" s="80">
        <v>1</v>
      </c>
      <c r="AG44" s="86" t="s">
        <v>409</v>
      </c>
      <c r="AH44" s="80" t="b">
        <v>0</v>
      </c>
      <c r="AI44" s="80" t="s">
        <v>410</v>
      </c>
      <c r="AJ44" s="80"/>
      <c r="AK44" s="86" t="s">
        <v>409</v>
      </c>
      <c r="AL44" s="80" t="b">
        <v>0</v>
      </c>
      <c r="AM44" s="80">
        <v>0</v>
      </c>
      <c r="AN44" s="86" t="s">
        <v>409</v>
      </c>
      <c r="AO44" s="86" t="s">
        <v>418</v>
      </c>
      <c r="AP44" s="80" t="b">
        <v>0</v>
      </c>
      <c r="AQ44" s="86" t="s">
        <v>393</v>
      </c>
      <c r="AR44" s="80" t="s">
        <v>211</v>
      </c>
      <c r="AS44" s="80">
        <v>0</v>
      </c>
      <c r="AT44" s="80">
        <v>0</v>
      </c>
      <c r="AU44" s="80"/>
      <c r="AV44" s="80"/>
      <c r="AW44" s="80"/>
      <c r="AX44" s="80"/>
      <c r="AY44" s="80"/>
      <c r="AZ44" s="80"/>
      <c r="BA44" s="80"/>
      <c r="BB44" s="80"/>
      <c r="BC44">
        <v>28</v>
      </c>
      <c r="BD44" s="79" t="str">
        <f>REPLACE(INDEX(GroupVertices[Group],MATCH(Edges[[#This Row],[Vertex 1]],GroupVertices[Vertex],0)),1,1,"")</f>
        <v>1</v>
      </c>
      <c r="BE44" s="79" t="str">
        <f>REPLACE(INDEX(GroupVertices[Group],MATCH(Edges[[#This Row],[Vertex 2]],GroupVertices[Vertex],0)),1,1,"")</f>
        <v>1</v>
      </c>
      <c r="BF44" s="47">
        <v>1</v>
      </c>
      <c r="BG44" s="48">
        <v>4.761904761904762</v>
      </c>
      <c r="BH44" s="47">
        <v>0</v>
      </c>
      <c r="BI44" s="48">
        <v>0</v>
      </c>
      <c r="BJ44" s="47">
        <v>0</v>
      </c>
      <c r="BK44" s="48">
        <v>0</v>
      </c>
      <c r="BL44" s="47">
        <v>14</v>
      </c>
      <c r="BM44" s="48">
        <v>66.66666666666667</v>
      </c>
      <c r="BN44" s="47">
        <v>21</v>
      </c>
    </row>
    <row r="45" spans="1:66" ht="30">
      <c r="A45" s="78" t="s">
        <v>257</v>
      </c>
      <c r="B45" s="78" t="s">
        <v>257</v>
      </c>
      <c r="C45" s="49" t="s">
        <v>886</v>
      </c>
      <c r="D45" s="50">
        <v>10</v>
      </c>
      <c r="E45" s="62" t="s">
        <v>136</v>
      </c>
      <c r="F45" s="51">
        <v>6</v>
      </c>
      <c r="G45" s="49"/>
      <c r="H45" s="53"/>
      <c r="I45" s="52"/>
      <c r="J45" s="52"/>
      <c r="K45" s="32" t="s">
        <v>65</v>
      </c>
      <c r="L45" s="77">
        <v>45</v>
      </c>
      <c r="M45" s="77"/>
      <c r="N45" s="59"/>
      <c r="O45" s="80" t="s">
        <v>211</v>
      </c>
      <c r="P45" s="82">
        <v>44871.67653935185</v>
      </c>
      <c r="Q45" s="80" t="s">
        <v>292</v>
      </c>
      <c r="R45" s="84" t="str">
        <f>HYPERLINK("https://vivianfrancos.com/la-importancia-del-posicionamiento-en-las-redessociales/")</f>
        <v>https://vivianfrancos.com/la-importancia-del-posicionamiento-en-las-redessociales/</v>
      </c>
      <c r="S45" s="80" t="s">
        <v>303</v>
      </c>
      <c r="T45" s="86" t="s">
        <v>323</v>
      </c>
      <c r="U45" s="80"/>
      <c r="V45" s="84" t="str">
        <f>HYPERLINK("https://pbs.twimg.com/profile_images/1487756429276684289/Kqq9xAOb_normal.png")</f>
        <v>https://pbs.twimg.com/profile_images/1487756429276684289/Kqq9xAOb_normal.png</v>
      </c>
      <c r="W45" s="82">
        <v>44871.67653935185</v>
      </c>
      <c r="X45" s="88">
        <v>44871</v>
      </c>
      <c r="Y45" s="86" t="s">
        <v>355</v>
      </c>
      <c r="Z45" s="84" t="str">
        <f>HYPERLINK("https://twitter.com/hashtagmarketi7/status/1589290064709918722")</f>
        <v>https://twitter.com/hashtagmarketi7/status/1589290064709918722</v>
      </c>
      <c r="AA45" s="80"/>
      <c r="AB45" s="80"/>
      <c r="AC45" s="86" t="s">
        <v>394</v>
      </c>
      <c r="AD45" s="80"/>
      <c r="AE45" s="80" t="b">
        <v>0</v>
      </c>
      <c r="AF45" s="80">
        <v>1</v>
      </c>
      <c r="AG45" s="86" t="s">
        <v>409</v>
      </c>
      <c r="AH45" s="80" t="b">
        <v>0</v>
      </c>
      <c r="AI45" s="80" t="s">
        <v>410</v>
      </c>
      <c r="AJ45" s="80"/>
      <c r="AK45" s="86" t="s">
        <v>409</v>
      </c>
      <c r="AL45" s="80" t="b">
        <v>0</v>
      </c>
      <c r="AM45" s="80">
        <v>0</v>
      </c>
      <c r="AN45" s="86" t="s">
        <v>409</v>
      </c>
      <c r="AO45" s="86" t="s">
        <v>418</v>
      </c>
      <c r="AP45" s="80" t="b">
        <v>0</v>
      </c>
      <c r="AQ45" s="86" t="s">
        <v>394</v>
      </c>
      <c r="AR45" s="80" t="s">
        <v>211</v>
      </c>
      <c r="AS45" s="80">
        <v>0</v>
      </c>
      <c r="AT45" s="80">
        <v>0</v>
      </c>
      <c r="AU45" s="80"/>
      <c r="AV45" s="80"/>
      <c r="AW45" s="80"/>
      <c r="AX45" s="80"/>
      <c r="AY45" s="80"/>
      <c r="AZ45" s="80"/>
      <c r="BA45" s="80"/>
      <c r="BB45" s="80"/>
      <c r="BC45">
        <v>28</v>
      </c>
      <c r="BD45" s="79" t="str">
        <f>REPLACE(INDEX(GroupVertices[Group],MATCH(Edges[[#This Row],[Vertex 1]],GroupVertices[Vertex],0)),1,1,"")</f>
        <v>1</v>
      </c>
      <c r="BE45" s="79" t="str">
        <f>REPLACE(INDEX(GroupVertices[Group],MATCH(Edges[[#This Row],[Vertex 2]],GroupVertices[Vertex],0)),1,1,"")</f>
        <v>1</v>
      </c>
      <c r="BF45" s="47">
        <v>0</v>
      </c>
      <c r="BG45" s="48">
        <v>0</v>
      </c>
      <c r="BH45" s="47">
        <v>0</v>
      </c>
      <c r="BI45" s="48">
        <v>0</v>
      </c>
      <c r="BJ45" s="47">
        <v>0</v>
      </c>
      <c r="BK45" s="48">
        <v>0</v>
      </c>
      <c r="BL45" s="47">
        <v>4</v>
      </c>
      <c r="BM45" s="48">
        <v>44.44444444444444</v>
      </c>
      <c r="BN45" s="47">
        <v>9</v>
      </c>
    </row>
    <row r="46" spans="1:66" ht="30">
      <c r="A46" s="78" t="s">
        <v>257</v>
      </c>
      <c r="B46" s="78" t="s">
        <v>257</v>
      </c>
      <c r="C46" s="49" t="s">
        <v>886</v>
      </c>
      <c r="D46" s="50">
        <v>10</v>
      </c>
      <c r="E46" s="62" t="s">
        <v>136</v>
      </c>
      <c r="F46" s="51">
        <v>6</v>
      </c>
      <c r="G46" s="49"/>
      <c r="H46" s="53"/>
      <c r="I46" s="52"/>
      <c r="J46" s="52"/>
      <c r="K46" s="32" t="s">
        <v>65</v>
      </c>
      <c r="L46" s="77">
        <v>46</v>
      </c>
      <c r="M46" s="77"/>
      <c r="N46" s="59"/>
      <c r="O46" s="80" t="s">
        <v>211</v>
      </c>
      <c r="P46" s="82">
        <v>44871.91893518518</v>
      </c>
      <c r="Q46" s="80" t="s">
        <v>275</v>
      </c>
      <c r="R46" s="84" t="str">
        <f>HYPERLINK("https://www.amazon.es/C%C3%93MO-ENCONTRAR-LOS-HASHTAGS-POTENTES-ebook/dp/B08D9W3Q3V/")</f>
        <v>https://www.amazon.es/C%C3%93MO-ENCONTRAR-LOS-HASHTAGS-POTENTES-ebook/dp/B08D9W3Q3V/</v>
      </c>
      <c r="S46" s="80" t="s">
        <v>305</v>
      </c>
      <c r="T46" s="86" t="s">
        <v>311</v>
      </c>
      <c r="U46" s="84" t="str">
        <f>HYPERLINK("https://pbs.twimg.com/media/Fg6axwrXkAI7yGY.jpg")</f>
        <v>https://pbs.twimg.com/media/Fg6axwrXkAI7yGY.jpg</v>
      </c>
      <c r="V46" s="84" t="str">
        <f>HYPERLINK("https://pbs.twimg.com/media/Fg6axwrXkAI7yGY.jpg")</f>
        <v>https://pbs.twimg.com/media/Fg6axwrXkAI7yGY.jpg</v>
      </c>
      <c r="W46" s="82">
        <v>44871.91893518518</v>
      </c>
      <c r="X46" s="88">
        <v>44871</v>
      </c>
      <c r="Y46" s="86" t="s">
        <v>344</v>
      </c>
      <c r="Z46" s="84" t="str">
        <f>HYPERLINK("https://twitter.com/hashtagmarketi7/status/1589377904055656449")</f>
        <v>https://twitter.com/hashtagmarketi7/status/1589377904055656449</v>
      </c>
      <c r="AA46" s="80"/>
      <c r="AB46" s="80"/>
      <c r="AC46" s="86" t="s">
        <v>395</v>
      </c>
      <c r="AD46" s="80"/>
      <c r="AE46" s="80" t="b">
        <v>0</v>
      </c>
      <c r="AF46" s="80">
        <v>2</v>
      </c>
      <c r="AG46" s="86" t="s">
        <v>409</v>
      </c>
      <c r="AH46" s="80" t="b">
        <v>0</v>
      </c>
      <c r="AI46" s="80" t="s">
        <v>410</v>
      </c>
      <c r="AJ46" s="80"/>
      <c r="AK46" s="86" t="s">
        <v>409</v>
      </c>
      <c r="AL46" s="80" t="b">
        <v>0</v>
      </c>
      <c r="AM46" s="80">
        <v>1</v>
      </c>
      <c r="AN46" s="86" t="s">
        <v>409</v>
      </c>
      <c r="AO46" s="86" t="s">
        <v>418</v>
      </c>
      <c r="AP46" s="80" t="b">
        <v>0</v>
      </c>
      <c r="AQ46" s="86" t="s">
        <v>395</v>
      </c>
      <c r="AR46" s="80" t="s">
        <v>211</v>
      </c>
      <c r="AS46" s="80">
        <v>0</v>
      </c>
      <c r="AT46" s="80">
        <v>0</v>
      </c>
      <c r="AU46" s="80"/>
      <c r="AV46" s="80"/>
      <c r="AW46" s="80"/>
      <c r="AX46" s="80"/>
      <c r="AY46" s="80"/>
      <c r="AZ46" s="80"/>
      <c r="BA46" s="80"/>
      <c r="BB46" s="80"/>
      <c r="BC46">
        <v>28</v>
      </c>
      <c r="BD46" s="79" t="str">
        <f>REPLACE(INDEX(GroupVertices[Group],MATCH(Edges[[#This Row],[Vertex 1]],GroupVertices[Vertex],0)),1,1,"")</f>
        <v>1</v>
      </c>
      <c r="BE46" s="79" t="str">
        <f>REPLACE(INDEX(GroupVertices[Group],MATCH(Edges[[#This Row],[Vertex 2]],GroupVertices[Vertex],0)),1,1,"")</f>
        <v>1</v>
      </c>
      <c r="BF46" s="47">
        <v>0</v>
      </c>
      <c r="BG46" s="48">
        <v>0</v>
      </c>
      <c r="BH46" s="47">
        <v>0</v>
      </c>
      <c r="BI46" s="48">
        <v>0</v>
      </c>
      <c r="BJ46" s="47">
        <v>0</v>
      </c>
      <c r="BK46" s="48">
        <v>0</v>
      </c>
      <c r="BL46" s="47">
        <v>18</v>
      </c>
      <c r="BM46" s="48">
        <v>69.23076923076923</v>
      </c>
      <c r="BN46" s="47">
        <v>26</v>
      </c>
    </row>
    <row r="47" spans="1:66" ht="30">
      <c r="A47" s="78" t="s">
        <v>257</v>
      </c>
      <c r="B47" s="78" t="s">
        <v>257</v>
      </c>
      <c r="C47" s="49" t="s">
        <v>886</v>
      </c>
      <c r="D47" s="50">
        <v>10</v>
      </c>
      <c r="E47" s="62" t="s">
        <v>136</v>
      </c>
      <c r="F47" s="51">
        <v>6</v>
      </c>
      <c r="G47" s="49"/>
      <c r="H47" s="53"/>
      <c r="I47" s="52"/>
      <c r="J47" s="52"/>
      <c r="K47" s="32" t="s">
        <v>65</v>
      </c>
      <c r="L47" s="77">
        <v>47</v>
      </c>
      <c r="M47" s="77"/>
      <c r="N47" s="59"/>
      <c r="O47" s="80" t="s">
        <v>211</v>
      </c>
      <c r="P47" s="82">
        <v>44872.563043981485</v>
      </c>
      <c r="Q47" s="80" t="s">
        <v>293</v>
      </c>
      <c r="R47" s="84" t="str">
        <f>HYPERLINK("https://help.twitter.com/en/rules-and-policies/twitter-rules")</f>
        <v>https://help.twitter.com/en/rules-and-policies/twitter-rules</v>
      </c>
      <c r="S47" s="80" t="s">
        <v>306</v>
      </c>
      <c r="T47" s="86" t="s">
        <v>324</v>
      </c>
      <c r="U47" s="80"/>
      <c r="V47" s="84" t="str">
        <f>HYPERLINK("https://pbs.twimg.com/profile_images/1487756429276684289/Kqq9xAOb_normal.png")</f>
        <v>https://pbs.twimg.com/profile_images/1487756429276684289/Kqq9xAOb_normal.png</v>
      </c>
      <c r="W47" s="82">
        <v>44872.563043981485</v>
      </c>
      <c r="X47" s="88">
        <v>44872</v>
      </c>
      <c r="Y47" s="86" t="s">
        <v>356</v>
      </c>
      <c r="Z47" s="84" t="str">
        <f>HYPERLINK("https://twitter.com/hashtagmarketi7/status/1589611323247448065")</f>
        <v>https://twitter.com/hashtagmarketi7/status/1589611323247448065</v>
      </c>
      <c r="AA47" s="80"/>
      <c r="AB47" s="80"/>
      <c r="AC47" s="86" t="s">
        <v>396</v>
      </c>
      <c r="AD47" s="80"/>
      <c r="AE47" s="80" t="b">
        <v>0</v>
      </c>
      <c r="AF47" s="80">
        <v>0</v>
      </c>
      <c r="AG47" s="86" t="s">
        <v>409</v>
      </c>
      <c r="AH47" s="80" t="b">
        <v>0</v>
      </c>
      <c r="AI47" s="80" t="s">
        <v>411</v>
      </c>
      <c r="AJ47" s="80"/>
      <c r="AK47" s="86" t="s">
        <v>409</v>
      </c>
      <c r="AL47" s="80" t="b">
        <v>0</v>
      </c>
      <c r="AM47" s="80">
        <v>0</v>
      </c>
      <c r="AN47" s="86" t="s">
        <v>409</v>
      </c>
      <c r="AO47" s="86" t="s">
        <v>416</v>
      </c>
      <c r="AP47" s="80" t="b">
        <v>0</v>
      </c>
      <c r="AQ47" s="86" t="s">
        <v>396</v>
      </c>
      <c r="AR47" s="80" t="s">
        <v>211</v>
      </c>
      <c r="AS47" s="80">
        <v>0</v>
      </c>
      <c r="AT47" s="80">
        <v>0</v>
      </c>
      <c r="AU47" s="80"/>
      <c r="AV47" s="80"/>
      <c r="AW47" s="80"/>
      <c r="AX47" s="80"/>
      <c r="AY47" s="80"/>
      <c r="AZ47" s="80"/>
      <c r="BA47" s="80"/>
      <c r="BB47" s="80"/>
      <c r="BC47">
        <v>28</v>
      </c>
      <c r="BD47" s="79" t="str">
        <f>REPLACE(INDEX(GroupVertices[Group],MATCH(Edges[[#This Row],[Vertex 1]],GroupVertices[Vertex],0)),1,1,"")</f>
        <v>1</v>
      </c>
      <c r="BE47" s="79" t="str">
        <f>REPLACE(INDEX(GroupVertices[Group],MATCH(Edges[[#This Row],[Vertex 2]],GroupVertices[Vertex],0)),1,1,"")</f>
        <v>1</v>
      </c>
      <c r="BF47" s="47">
        <v>0</v>
      </c>
      <c r="BG47" s="48">
        <v>0</v>
      </c>
      <c r="BH47" s="47">
        <v>0</v>
      </c>
      <c r="BI47" s="48">
        <v>0</v>
      </c>
      <c r="BJ47" s="47">
        <v>0</v>
      </c>
      <c r="BK47" s="48">
        <v>0</v>
      </c>
      <c r="BL47" s="47">
        <v>3</v>
      </c>
      <c r="BM47" s="48">
        <v>75</v>
      </c>
      <c r="BN47" s="47">
        <v>4</v>
      </c>
    </row>
    <row r="48" spans="1:66" ht="30">
      <c r="A48" s="78" t="s">
        <v>257</v>
      </c>
      <c r="B48" s="78" t="s">
        <v>257</v>
      </c>
      <c r="C48" s="49" t="s">
        <v>886</v>
      </c>
      <c r="D48" s="50">
        <v>10</v>
      </c>
      <c r="E48" s="62" t="s">
        <v>136</v>
      </c>
      <c r="F48" s="51">
        <v>6</v>
      </c>
      <c r="G48" s="49"/>
      <c r="H48" s="53"/>
      <c r="I48" s="52"/>
      <c r="J48" s="52"/>
      <c r="K48" s="32" t="s">
        <v>65</v>
      </c>
      <c r="L48" s="77">
        <v>48</v>
      </c>
      <c r="M48" s="77"/>
      <c r="N48" s="59"/>
      <c r="O48" s="80" t="s">
        <v>211</v>
      </c>
      <c r="P48" s="82">
        <v>44872.67663194444</v>
      </c>
      <c r="Q48" s="80" t="s">
        <v>294</v>
      </c>
      <c r="R48" s="84" t="str">
        <f>HYPERLINK("https://vivianfrancos.com/las-redessociales-y-el-bitcoin-se-aman-o-se-odian/")</f>
        <v>https://vivianfrancos.com/las-redessociales-y-el-bitcoin-se-aman-o-se-odian/</v>
      </c>
      <c r="S48" s="80" t="s">
        <v>303</v>
      </c>
      <c r="T48" s="86" t="s">
        <v>325</v>
      </c>
      <c r="U48" s="80"/>
      <c r="V48" s="84" t="str">
        <f>HYPERLINK("https://pbs.twimg.com/profile_images/1487756429276684289/Kqq9xAOb_normal.png")</f>
        <v>https://pbs.twimg.com/profile_images/1487756429276684289/Kqq9xAOb_normal.png</v>
      </c>
      <c r="W48" s="82">
        <v>44872.67663194444</v>
      </c>
      <c r="X48" s="88">
        <v>44872</v>
      </c>
      <c r="Y48" s="86" t="s">
        <v>357</v>
      </c>
      <c r="Z48" s="84" t="str">
        <f>HYPERLINK("https://twitter.com/hashtagmarketi7/status/1589652486364749825")</f>
        <v>https://twitter.com/hashtagmarketi7/status/1589652486364749825</v>
      </c>
      <c r="AA48" s="80"/>
      <c r="AB48" s="80"/>
      <c r="AC48" s="86" t="s">
        <v>397</v>
      </c>
      <c r="AD48" s="80"/>
      <c r="AE48" s="80" t="b">
        <v>0</v>
      </c>
      <c r="AF48" s="80">
        <v>0</v>
      </c>
      <c r="AG48" s="86" t="s">
        <v>409</v>
      </c>
      <c r="AH48" s="80" t="b">
        <v>0</v>
      </c>
      <c r="AI48" s="80" t="s">
        <v>410</v>
      </c>
      <c r="AJ48" s="80"/>
      <c r="AK48" s="86" t="s">
        <v>409</v>
      </c>
      <c r="AL48" s="80" t="b">
        <v>0</v>
      </c>
      <c r="AM48" s="80">
        <v>0</v>
      </c>
      <c r="AN48" s="86" t="s">
        <v>409</v>
      </c>
      <c r="AO48" s="86" t="s">
        <v>418</v>
      </c>
      <c r="AP48" s="80" t="b">
        <v>0</v>
      </c>
      <c r="AQ48" s="86" t="s">
        <v>397</v>
      </c>
      <c r="AR48" s="80" t="s">
        <v>211</v>
      </c>
      <c r="AS48" s="80">
        <v>0</v>
      </c>
      <c r="AT48" s="80">
        <v>0</v>
      </c>
      <c r="AU48" s="80"/>
      <c r="AV48" s="80"/>
      <c r="AW48" s="80"/>
      <c r="AX48" s="80"/>
      <c r="AY48" s="80"/>
      <c r="AZ48" s="80"/>
      <c r="BA48" s="80"/>
      <c r="BB48" s="80"/>
      <c r="BC48">
        <v>28</v>
      </c>
      <c r="BD48" s="79" t="str">
        <f>REPLACE(INDEX(GroupVertices[Group],MATCH(Edges[[#This Row],[Vertex 1]],GroupVertices[Vertex],0)),1,1,"")</f>
        <v>1</v>
      </c>
      <c r="BE48" s="79" t="str">
        <f>REPLACE(INDEX(GroupVertices[Group],MATCH(Edges[[#This Row],[Vertex 2]],GroupVertices[Vertex],0)),1,1,"")</f>
        <v>1</v>
      </c>
      <c r="BF48" s="47">
        <v>0</v>
      </c>
      <c r="BG48" s="48">
        <v>0</v>
      </c>
      <c r="BH48" s="47">
        <v>0</v>
      </c>
      <c r="BI48" s="48">
        <v>0</v>
      </c>
      <c r="BJ48" s="47">
        <v>0</v>
      </c>
      <c r="BK48" s="48">
        <v>0</v>
      </c>
      <c r="BL48" s="47">
        <v>12</v>
      </c>
      <c r="BM48" s="48">
        <v>54.54545454545455</v>
      </c>
      <c r="BN48" s="47">
        <v>22</v>
      </c>
    </row>
    <row r="49" spans="1:66" ht="30">
      <c r="A49" s="78" t="s">
        <v>257</v>
      </c>
      <c r="B49" s="78" t="s">
        <v>257</v>
      </c>
      <c r="C49" s="49" t="s">
        <v>886</v>
      </c>
      <c r="D49" s="50">
        <v>10</v>
      </c>
      <c r="E49" s="62" t="s">
        <v>136</v>
      </c>
      <c r="F49" s="51">
        <v>6</v>
      </c>
      <c r="G49" s="49"/>
      <c r="H49" s="53"/>
      <c r="I49" s="52"/>
      <c r="J49" s="52"/>
      <c r="K49" s="32" t="s">
        <v>65</v>
      </c>
      <c r="L49" s="77">
        <v>49</v>
      </c>
      <c r="M49" s="77"/>
      <c r="N49" s="59"/>
      <c r="O49" s="80" t="s">
        <v>211</v>
      </c>
      <c r="P49" s="82">
        <v>44873.4262962963</v>
      </c>
      <c r="Q49" s="80" t="s">
        <v>276</v>
      </c>
      <c r="R49" s="84" t="str">
        <f>HYPERLINK("https://twitter.com/elonmusk/status/1589791846737522688")</f>
        <v>https://twitter.com/elonmusk/status/1589791846737522688</v>
      </c>
      <c r="S49" s="80" t="s">
        <v>306</v>
      </c>
      <c r="T49" s="86" t="s">
        <v>312</v>
      </c>
      <c r="U49" s="80"/>
      <c r="V49" s="84" t="str">
        <f>HYPERLINK("https://pbs.twimg.com/profile_images/1487756429276684289/Kqq9xAOb_normal.png")</f>
        <v>https://pbs.twimg.com/profile_images/1487756429276684289/Kqq9xAOb_normal.png</v>
      </c>
      <c r="W49" s="82">
        <v>44873.4262962963</v>
      </c>
      <c r="X49" s="88">
        <v>44873</v>
      </c>
      <c r="Y49" s="86" t="s">
        <v>358</v>
      </c>
      <c r="Z49" s="84" t="str">
        <f>HYPERLINK("https://twitter.com/hashtagmarketi7/status/1589924153452548097")</f>
        <v>https://twitter.com/hashtagmarketi7/status/1589924153452548097</v>
      </c>
      <c r="AA49" s="80"/>
      <c r="AB49" s="80"/>
      <c r="AC49" s="86" t="s">
        <v>398</v>
      </c>
      <c r="AD49" s="80"/>
      <c r="AE49" s="80" t="b">
        <v>0</v>
      </c>
      <c r="AF49" s="80">
        <v>8</v>
      </c>
      <c r="AG49" s="86" t="s">
        <v>409</v>
      </c>
      <c r="AH49" s="80" t="b">
        <v>1</v>
      </c>
      <c r="AI49" s="80" t="s">
        <v>410</v>
      </c>
      <c r="AJ49" s="80"/>
      <c r="AK49" s="86" t="s">
        <v>413</v>
      </c>
      <c r="AL49" s="80" t="b">
        <v>0</v>
      </c>
      <c r="AM49" s="80">
        <v>3</v>
      </c>
      <c r="AN49" s="86" t="s">
        <v>409</v>
      </c>
      <c r="AO49" s="86" t="s">
        <v>416</v>
      </c>
      <c r="AP49" s="80" t="b">
        <v>0</v>
      </c>
      <c r="AQ49" s="86" t="s">
        <v>398</v>
      </c>
      <c r="AR49" s="80" t="s">
        <v>211</v>
      </c>
      <c r="AS49" s="80">
        <v>0</v>
      </c>
      <c r="AT49" s="80">
        <v>0</v>
      </c>
      <c r="AU49" s="80"/>
      <c r="AV49" s="80"/>
      <c r="AW49" s="80"/>
      <c r="AX49" s="80"/>
      <c r="AY49" s="80"/>
      <c r="AZ49" s="80"/>
      <c r="BA49" s="80"/>
      <c r="BB49" s="80"/>
      <c r="BC49">
        <v>28</v>
      </c>
      <c r="BD49" s="79" t="str">
        <f>REPLACE(INDEX(GroupVertices[Group],MATCH(Edges[[#This Row],[Vertex 1]],GroupVertices[Vertex],0)),1,1,"")</f>
        <v>1</v>
      </c>
      <c r="BE49" s="79" t="str">
        <f>REPLACE(INDEX(GroupVertices[Group],MATCH(Edges[[#This Row],[Vertex 2]],GroupVertices[Vertex],0)),1,1,"")</f>
        <v>1</v>
      </c>
      <c r="BF49" s="47">
        <v>0</v>
      </c>
      <c r="BG49" s="48">
        <v>0</v>
      </c>
      <c r="BH49" s="47">
        <v>0</v>
      </c>
      <c r="BI49" s="48">
        <v>0</v>
      </c>
      <c r="BJ49" s="47">
        <v>0</v>
      </c>
      <c r="BK49" s="48">
        <v>0</v>
      </c>
      <c r="BL49" s="47">
        <v>23</v>
      </c>
      <c r="BM49" s="48">
        <v>62.16216216216216</v>
      </c>
      <c r="BN49" s="47">
        <v>37</v>
      </c>
    </row>
    <row r="50" spans="1:66" ht="30">
      <c r="A50" s="78" t="s">
        <v>257</v>
      </c>
      <c r="B50" s="78" t="s">
        <v>257</v>
      </c>
      <c r="C50" s="49" t="s">
        <v>886</v>
      </c>
      <c r="D50" s="50">
        <v>10</v>
      </c>
      <c r="E50" s="62" t="s">
        <v>136</v>
      </c>
      <c r="F50" s="51">
        <v>6</v>
      </c>
      <c r="G50" s="49"/>
      <c r="H50" s="53"/>
      <c r="I50" s="52"/>
      <c r="J50" s="52"/>
      <c r="K50" s="32" t="s">
        <v>65</v>
      </c>
      <c r="L50" s="77">
        <v>50</v>
      </c>
      <c r="M50" s="77"/>
      <c r="N50" s="59"/>
      <c r="O50" s="80" t="s">
        <v>211</v>
      </c>
      <c r="P50" s="82">
        <v>44873.48158564815</v>
      </c>
      <c r="Q50" s="80" t="s">
        <v>277</v>
      </c>
      <c r="R50" s="84" t="str">
        <f>HYPERLINK("https://eventbrite.com/e/2023-winter-school-social-networks-nodexl-pro-a-few-clicks-to-insights-tickets-393167403287")</f>
        <v>https://eventbrite.com/e/2023-winter-school-social-networks-nodexl-pro-a-few-clicks-to-insights-tickets-393167403287</v>
      </c>
      <c r="S50" s="80" t="s">
        <v>304</v>
      </c>
      <c r="T50" s="86" t="s">
        <v>310</v>
      </c>
      <c r="U50" s="80"/>
      <c r="V50" s="84" t="str">
        <f>HYPERLINK("https://pbs.twimg.com/profile_images/1487756429276684289/Kqq9xAOb_normal.png")</f>
        <v>https://pbs.twimg.com/profile_images/1487756429276684289/Kqq9xAOb_normal.png</v>
      </c>
      <c r="W50" s="82">
        <v>44873.48158564815</v>
      </c>
      <c r="X50" s="88">
        <v>44873</v>
      </c>
      <c r="Y50" s="86" t="s">
        <v>359</v>
      </c>
      <c r="Z50" s="84" t="str">
        <f>HYPERLINK("https://twitter.com/hashtagmarketi7/status/1589944189516759045")</f>
        <v>https://twitter.com/hashtagmarketi7/status/1589944189516759045</v>
      </c>
      <c r="AA50" s="80"/>
      <c r="AB50" s="80"/>
      <c r="AC50" s="86" t="s">
        <v>399</v>
      </c>
      <c r="AD50" s="80"/>
      <c r="AE50" s="80" t="b">
        <v>0</v>
      </c>
      <c r="AF50" s="80">
        <v>4</v>
      </c>
      <c r="AG50" s="86" t="s">
        <v>409</v>
      </c>
      <c r="AH50" s="80" t="b">
        <v>0</v>
      </c>
      <c r="AI50" s="80" t="s">
        <v>411</v>
      </c>
      <c r="AJ50" s="80"/>
      <c r="AK50" s="86" t="s">
        <v>409</v>
      </c>
      <c r="AL50" s="80" t="b">
        <v>0</v>
      </c>
      <c r="AM50" s="80">
        <v>1</v>
      </c>
      <c r="AN50" s="86" t="s">
        <v>409</v>
      </c>
      <c r="AO50" s="86" t="s">
        <v>418</v>
      </c>
      <c r="AP50" s="80" t="b">
        <v>0</v>
      </c>
      <c r="AQ50" s="86" t="s">
        <v>399</v>
      </c>
      <c r="AR50" s="80" t="s">
        <v>211</v>
      </c>
      <c r="AS50" s="80">
        <v>0</v>
      </c>
      <c r="AT50" s="80">
        <v>0</v>
      </c>
      <c r="AU50" s="80"/>
      <c r="AV50" s="80"/>
      <c r="AW50" s="80"/>
      <c r="AX50" s="80"/>
      <c r="AY50" s="80"/>
      <c r="AZ50" s="80"/>
      <c r="BA50" s="80"/>
      <c r="BB50" s="80"/>
      <c r="BC50">
        <v>28</v>
      </c>
      <c r="BD50" s="79" t="str">
        <f>REPLACE(INDEX(GroupVertices[Group],MATCH(Edges[[#This Row],[Vertex 1]],GroupVertices[Vertex],0)),1,1,"")</f>
        <v>1</v>
      </c>
      <c r="BE50" s="79" t="str">
        <f>REPLACE(INDEX(GroupVertices[Group],MATCH(Edges[[#This Row],[Vertex 2]],GroupVertices[Vertex],0)),1,1,"")</f>
        <v>1</v>
      </c>
      <c r="BF50" s="47">
        <v>0</v>
      </c>
      <c r="BG50" s="48">
        <v>0</v>
      </c>
      <c r="BH50" s="47">
        <v>0</v>
      </c>
      <c r="BI50" s="48">
        <v>0</v>
      </c>
      <c r="BJ50" s="47">
        <v>0</v>
      </c>
      <c r="BK50" s="48">
        <v>0</v>
      </c>
      <c r="BL50" s="47">
        <v>25</v>
      </c>
      <c r="BM50" s="48">
        <v>71.42857142857143</v>
      </c>
      <c r="BN50" s="47">
        <v>35</v>
      </c>
    </row>
    <row r="51" spans="1:66" ht="30">
      <c r="A51" s="78" t="s">
        <v>257</v>
      </c>
      <c r="B51" s="78" t="s">
        <v>257</v>
      </c>
      <c r="C51" s="49" t="s">
        <v>886</v>
      </c>
      <c r="D51" s="50">
        <v>10</v>
      </c>
      <c r="E51" s="62" t="s">
        <v>136</v>
      </c>
      <c r="F51" s="51">
        <v>6</v>
      </c>
      <c r="G51" s="49"/>
      <c r="H51" s="53"/>
      <c r="I51" s="52"/>
      <c r="J51" s="52"/>
      <c r="K51" s="32" t="s">
        <v>65</v>
      </c>
      <c r="L51" s="77">
        <v>51</v>
      </c>
      <c r="M51" s="77"/>
      <c r="N51" s="59"/>
      <c r="O51" s="80" t="s">
        <v>211</v>
      </c>
      <c r="P51" s="82">
        <v>44873.59431712963</v>
      </c>
      <c r="Q51" s="80" t="s">
        <v>295</v>
      </c>
      <c r="R51" s="84" t="str">
        <f>HYPERLINK("https://www.amazon.es/C%C3%93MO-ENCONTRAR-LOS-HASHTAGS-POTENTES-ebook/dp/B08D9W3Q3V/")</f>
        <v>https://www.amazon.es/C%C3%93MO-ENCONTRAR-LOS-HASHTAGS-POTENTES-ebook/dp/B08D9W3Q3V/</v>
      </c>
      <c r="S51" s="80" t="s">
        <v>305</v>
      </c>
      <c r="T51" s="86" t="s">
        <v>314</v>
      </c>
      <c r="U51" s="84" t="str">
        <f>HYPERLINK("https://pbs.twimg.com/media/FhDC93cWAAEe49X.jpg")</f>
        <v>https://pbs.twimg.com/media/FhDC93cWAAEe49X.jpg</v>
      </c>
      <c r="V51" s="84" t="str">
        <f>HYPERLINK("https://pbs.twimg.com/media/FhDC93cWAAEe49X.jpg")</f>
        <v>https://pbs.twimg.com/media/FhDC93cWAAEe49X.jpg</v>
      </c>
      <c r="W51" s="82">
        <v>44873.59431712963</v>
      </c>
      <c r="X51" s="88">
        <v>44873</v>
      </c>
      <c r="Y51" s="86" t="s">
        <v>360</v>
      </c>
      <c r="Z51" s="84" t="str">
        <f>HYPERLINK("https://twitter.com/hashtagmarketi7/status/1589985042645778435")</f>
        <v>https://twitter.com/hashtagmarketi7/status/1589985042645778435</v>
      </c>
      <c r="AA51" s="80"/>
      <c r="AB51" s="80"/>
      <c r="AC51" s="86" t="s">
        <v>400</v>
      </c>
      <c r="AD51" s="80"/>
      <c r="AE51" s="80" t="b">
        <v>0</v>
      </c>
      <c r="AF51" s="80">
        <v>0</v>
      </c>
      <c r="AG51" s="86" t="s">
        <v>409</v>
      </c>
      <c r="AH51" s="80" t="b">
        <v>0</v>
      </c>
      <c r="AI51" s="80" t="s">
        <v>410</v>
      </c>
      <c r="AJ51" s="80"/>
      <c r="AK51" s="86" t="s">
        <v>409</v>
      </c>
      <c r="AL51" s="80" t="b">
        <v>0</v>
      </c>
      <c r="AM51" s="80">
        <v>0</v>
      </c>
      <c r="AN51" s="86" t="s">
        <v>409</v>
      </c>
      <c r="AO51" s="86" t="s">
        <v>418</v>
      </c>
      <c r="AP51" s="80" t="b">
        <v>0</v>
      </c>
      <c r="AQ51" s="86" t="s">
        <v>400</v>
      </c>
      <c r="AR51" s="80" t="s">
        <v>211</v>
      </c>
      <c r="AS51" s="80">
        <v>0</v>
      </c>
      <c r="AT51" s="80">
        <v>0</v>
      </c>
      <c r="AU51" s="80"/>
      <c r="AV51" s="80"/>
      <c r="AW51" s="80"/>
      <c r="AX51" s="80"/>
      <c r="AY51" s="80"/>
      <c r="AZ51" s="80"/>
      <c r="BA51" s="80"/>
      <c r="BB51" s="80"/>
      <c r="BC51">
        <v>28</v>
      </c>
      <c r="BD51" s="79" t="str">
        <f>REPLACE(INDEX(GroupVertices[Group],MATCH(Edges[[#This Row],[Vertex 1]],GroupVertices[Vertex],0)),1,1,"")</f>
        <v>1</v>
      </c>
      <c r="BE51" s="79" t="str">
        <f>REPLACE(INDEX(GroupVertices[Group],MATCH(Edges[[#This Row],[Vertex 2]],GroupVertices[Vertex],0)),1,1,"")</f>
        <v>1</v>
      </c>
      <c r="BF51" s="47">
        <v>1</v>
      </c>
      <c r="BG51" s="48">
        <v>4.761904761904762</v>
      </c>
      <c r="BH51" s="47">
        <v>0</v>
      </c>
      <c r="BI51" s="48">
        <v>0</v>
      </c>
      <c r="BJ51" s="47">
        <v>0</v>
      </c>
      <c r="BK51" s="48">
        <v>0</v>
      </c>
      <c r="BL51" s="47">
        <v>14</v>
      </c>
      <c r="BM51" s="48">
        <v>66.66666666666667</v>
      </c>
      <c r="BN51" s="47">
        <v>21</v>
      </c>
    </row>
    <row r="52" spans="1:66" ht="30">
      <c r="A52" s="78" t="s">
        <v>257</v>
      </c>
      <c r="B52" s="78" t="s">
        <v>257</v>
      </c>
      <c r="C52" s="49" t="s">
        <v>886</v>
      </c>
      <c r="D52" s="50">
        <v>10</v>
      </c>
      <c r="E52" s="62" t="s">
        <v>136</v>
      </c>
      <c r="F52" s="51">
        <v>6</v>
      </c>
      <c r="G52" s="49"/>
      <c r="H52" s="53"/>
      <c r="I52" s="52"/>
      <c r="J52" s="52"/>
      <c r="K52" s="32" t="s">
        <v>65</v>
      </c>
      <c r="L52" s="77">
        <v>52</v>
      </c>
      <c r="M52" s="77"/>
      <c r="N52" s="59"/>
      <c r="O52" s="80" t="s">
        <v>211</v>
      </c>
      <c r="P52" s="82">
        <v>44873.75252314815</v>
      </c>
      <c r="Q52" s="80" t="s">
        <v>296</v>
      </c>
      <c r="R52" s="84" t="str">
        <f>HYPERLINK("https://vivianfrancos.com/como-usar-hashtag-para-aumentar-las-ventas/")</f>
        <v>https://vivianfrancos.com/como-usar-hashtag-para-aumentar-las-ventas/</v>
      </c>
      <c r="S52" s="80" t="s">
        <v>303</v>
      </c>
      <c r="T52" s="86" t="s">
        <v>326</v>
      </c>
      <c r="U52" s="80"/>
      <c r="V52" s="84" t="str">
        <f>HYPERLINK("https://pbs.twimg.com/profile_images/1487756429276684289/Kqq9xAOb_normal.png")</f>
        <v>https://pbs.twimg.com/profile_images/1487756429276684289/Kqq9xAOb_normal.png</v>
      </c>
      <c r="W52" s="82">
        <v>44873.75252314815</v>
      </c>
      <c r="X52" s="88">
        <v>44873</v>
      </c>
      <c r="Y52" s="86" t="s">
        <v>361</v>
      </c>
      <c r="Z52" s="84" t="str">
        <f>HYPERLINK("https://twitter.com/hashtagmarketi7/status/1590042373312188416")</f>
        <v>https://twitter.com/hashtagmarketi7/status/1590042373312188416</v>
      </c>
      <c r="AA52" s="80"/>
      <c r="AB52" s="80"/>
      <c r="AC52" s="86" t="s">
        <v>401</v>
      </c>
      <c r="AD52" s="80"/>
      <c r="AE52" s="80" t="b">
        <v>0</v>
      </c>
      <c r="AF52" s="80">
        <v>0</v>
      </c>
      <c r="AG52" s="86" t="s">
        <v>409</v>
      </c>
      <c r="AH52" s="80" t="b">
        <v>0</v>
      </c>
      <c r="AI52" s="80" t="s">
        <v>410</v>
      </c>
      <c r="AJ52" s="80"/>
      <c r="AK52" s="86" t="s">
        <v>409</v>
      </c>
      <c r="AL52" s="80" t="b">
        <v>0</v>
      </c>
      <c r="AM52" s="80">
        <v>0</v>
      </c>
      <c r="AN52" s="86" t="s">
        <v>409</v>
      </c>
      <c r="AO52" s="86" t="s">
        <v>418</v>
      </c>
      <c r="AP52" s="80" t="b">
        <v>0</v>
      </c>
      <c r="AQ52" s="86" t="s">
        <v>401</v>
      </c>
      <c r="AR52" s="80" t="s">
        <v>211</v>
      </c>
      <c r="AS52" s="80">
        <v>0</v>
      </c>
      <c r="AT52" s="80">
        <v>0</v>
      </c>
      <c r="AU52" s="80"/>
      <c r="AV52" s="80"/>
      <c r="AW52" s="80"/>
      <c r="AX52" s="80"/>
      <c r="AY52" s="80"/>
      <c r="AZ52" s="80"/>
      <c r="BA52" s="80"/>
      <c r="BB52" s="80"/>
      <c r="BC52">
        <v>28</v>
      </c>
      <c r="BD52" s="79" t="str">
        <f>REPLACE(INDEX(GroupVertices[Group],MATCH(Edges[[#This Row],[Vertex 1]],GroupVertices[Vertex],0)),1,1,"")</f>
        <v>1</v>
      </c>
      <c r="BE52" s="79" t="str">
        <f>REPLACE(INDEX(GroupVertices[Group],MATCH(Edges[[#This Row],[Vertex 2]],GroupVertices[Vertex],0)),1,1,"")</f>
        <v>1</v>
      </c>
      <c r="BF52" s="47">
        <v>0</v>
      </c>
      <c r="BG52" s="48">
        <v>0</v>
      </c>
      <c r="BH52" s="47">
        <v>0</v>
      </c>
      <c r="BI52" s="48">
        <v>0</v>
      </c>
      <c r="BJ52" s="47">
        <v>0</v>
      </c>
      <c r="BK52" s="48">
        <v>0</v>
      </c>
      <c r="BL52" s="47">
        <v>6</v>
      </c>
      <c r="BM52" s="48">
        <v>75</v>
      </c>
      <c r="BN52" s="47">
        <v>8</v>
      </c>
    </row>
    <row r="53" spans="1:66" ht="30">
      <c r="A53" s="78" t="s">
        <v>257</v>
      </c>
      <c r="B53" s="78" t="s">
        <v>257</v>
      </c>
      <c r="C53" s="49" t="s">
        <v>886</v>
      </c>
      <c r="D53" s="50">
        <v>10</v>
      </c>
      <c r="E53" s="62" t="s">
        <v>136</v>
      </c>
      <c r="F53" s="51">
        <v>6</v>
      </c>
      <c r="G53" s="49"/>
      <c r="H53" s="53"/>
      <c r="I53" s="52"/>
      <c r="J53" s="52"/>
      <c r="K53" s="32" t="s">
        <v>65</v>
      </c>
      <c r="L53" s="77">
        <v>53</v>
      </c>
      <c r="M53" s="77"/>
      <c r="N53" s="59"/>
      <c r="O53" s="80" t="s">
        <v>211</v>
      </c>
      <c r="P53" s="82">
        <v>44873.918958333335</v>
      </c>
      <c r="Q53" s="80" t="s">
        <v>297</v>
      </c>
      <c r="R53" s="84" t="str">
        <f>HYPERLINK("https://www.amazon.es/C%C3%93MO-ENCONTRAR-LOS-HASHTAGS-POTENTES-ebook/dp/B08D9W3Q3V/")</f>
        <v>https://www.amazon.es/C%C3%93MO-ENCONTRAR-LOS-HASHTAGS-POTENTES-ebook/dp/B08D9W3Q3V/</v>
      </c>
      <c r="S53" s="80" t="s">
        <v>305</v>
      </c>
      <c r="T53" s="86" t="s">
        <v>314</v>
      </c>
      <c r="U53" s="84" t="str">
        <f>HYPERLINK("https://pbs.twimg.com/media/FhEt9swWIAEeDsv.jpg")</f>
        <v>https://pbs.twimg.com/media/FhEt9swWIAEeDsv.jpg</v>
      </c>
      <c r="V53" s="84" t="str">
        <f>HYPERLINK("https://pbs.twimg.com/media/FhEt9swWIAEeDsv.jpg")</f>
        <v>https://pbs.twimg.com/media/FhEt9swWIAEeDsv.jpg</v>
      </c>
      <c r="W53" s="82">
        <v>44873.918958333335</v>
      </c>
      <c r="X53" s="88">
        <v>44873</v>
      </c>
      <c r="Y53" s="86" t="s">
        <v>362</v>
      </c>
      <c r="Z53" s="84" t="str">
        <f>HYPERLINK("https://twitter.com/hashtagmarketi7/status/1590102687592419330")</f>
        <v>https://twitter.com/hashtagmarketi7/status/1590102687592419330</v>
      </c>
      <c r="AA53" s="80"/>
      <c r="AB53" s="80"/>
      <c r="AC53" s="86" t="s">
        <v>402</v>
      </c>
      <c r="AD53" s="80"/>
      <c r="AE53" s="80" t="b">
        <v>0</v>
      </c>
      <c r="AF53" s="80">
        <v>0</v>
      </c>
      <c r="AG53" s="86" t="s">
        <v>409</v>
      </c>
      <c r="AH53" s="80" t="b">
        <v>0</v>
      </c>
      <c r="AI53" s="80" t="s">
        <v>410</v>
      </c>
      <c r="AJ53" s="80"/>
      <c r="AK53" s="86" t="s">
        <v>409</v>
      </c>
      <c r="AL53" s="80" t="b">
        <v>0</v>
      </c>
      <c r="AM53" s="80">
        <v>0</v>
      </c>
      <c r="AN53" s="86" t="s">
        <v>409</v>
      </c>
      <c r="AO53" s="86" t="s">
        <v>418</v>
      </c>
      <c r="AP53" s="80" t="b">
        <v>0</v>
      </c>
      <c r="AQ53" s="86" t="s">
        <v>402</v>
      </c>
      <c r="AR53" s="80" t="s">
        <v>211</v>
      </c>
      <c r="AS53" s="80">
        <v>0</v>
      </c>
      <c r="AT53" s="80">
        <v>0</v>
      </c>
      <c r="AU53" s="80"/>
      <c r="AV53" s="80"/>
      <c r="AW53" s="80"/>
      <c r="AX53" s="80"/>
      <c r="AY53" s="80"/>
      <c r="AZ53" s="80"/>
      <c r="BA53" s="80"/>
      <c r="BB53" s="80"/>
      <c r="BC53">
        <v>28</v>
      </c>
      <c r="BD53" s="79" t="str">
        <f>REPLACE(INDEX(GroupVertices[Group],MATCH(Edges[[#This Row],[Vertex 1]],GroupVertices[Vertex],0)),1,1,"")</f>
        <v>1</v>
      </c>
      <c r="BE53" s="79" t="str">
        <f>REPLACE(INDEX(GroupVertices[Group],MATCH(Edges[[#This Row],[Vertex 2]],GroupVertices[Vertex],0)),1,1,"")</f>
        <v>1</v>
      </c>
      <c r="BF53" s="47">
        <v>1</v>
      </c>
      <c r="BG53" s="48">
        <v>4.761904761904762</v>
      </c>
      <c r="BH53" s="47">
        <v>0</v>
      </c>
      <c r="BI53" s="48">
        <v>0</v>
      </c>
      <c r="BJ53" s="47">
        <v>0</v>
      </c>
      <c r="BK53" s="48">
        <v>0</v>
      </c>
      <c r="BL53" s="47">
        <v>14</v>
      </c>
      <c r="BM53" s="48">
        <v>66.66666666666667</v>
      </c>
      <c r="BN53" s="47">
        <v>21</v>
      </c>
    </row>
    <row r="54" spans="1:66" ht="30">
      <c r="A54" s="78" t="s">
        <v>257</v>
      </c>
      <c r="B54" s="78" t="s">
        <v>257</v>
      </c>
      <c r="C54" s="49" t="s">
        <v>886</v>
      </c>
      <c r="D54" s="50">
        <v>10</v>
      </c>
      <c r="E54" s="62" t="s">
        <v>136</v>
      </c>
      <c r="F54" s="51">
        <v>6</v>
      </c>
      <c r="G54" s="49"/>
      <c r="H54" s="53"/>
      <c r="I54" s="52"/>
      <c r="J54" s="52"/>
      <c r="K54" s="32" t="s">
        <v>65</v>
      </c>
      <c r="L54" s="77">
        <v>54</v>
      </c>
      <c r="M54" s="77"/>
      <c r="N54" s="59"/>
      <c r="O54" s="80" t="s">
        <v>211</v>
      </c>
      <c r="P54" s="82">
        <v>44874.676782407405</v>
      </c>
      <c r="Q54" s="80" t="s">
        <v>298</v>
      </c>
      <c r="R54" s="84" t="str">
        <f>HYPERLINK("https://vivianfrancos.com/hashtags-para-pinterest-esto-es-todo-lo-que-necesitas-saber/")</f>
        <v>https://vivianfrancos.com/hashtags-para-pinterest-esto-es-todo-lo-que-necesitas-saber/</v>
      </c>
      <c r="S54" s="80" t="s">
        <v>303</v>
      </c>
      <c r="T54" s="86" t="s">
        <v>327</v>
      </c>
      <c r="U54" s="80"/>
      <c r="V54" s="84" t="str">
        <f>HYPERLINK("https://pbs.twimg.com/profile_images/1487756429276684289/Kqq9xAOb_normal.png")</f>
        <v>https://pbs.twimg.com/profile_images/1487756429276684289/Kqq9xAOb_normal.png</v>
      </c>
      <c r="W54" s="82">
        <v>44874.676782407405</v>
      </c>
      <c r="X54" s="88">
        <v>44874</v>
      </c>
      <c r="Y54" s="86" t="s">
        <v>363</v>
      </c>
      <c r="Z54" s="84" t="str">
        <f>HYPERLINK("https://twitter.com/hashtagmarketi7/status/1590377314206076935")</f>
        <v>https://twitter.com/hashtagmarketi7/status/1590377314206076935</v>
      </c>
      <c r="AA54" s="80"/>
      <c r="AB54" s="80"/>
      <c r="AC54" s="86" t="s">
        <v>403</v>
      </c>
      <c r="AD54" s="80"/>
      <c r="AE54" s="80" t="b">
        <v>0</v>
      </c>
      <c r="AF54" s="80">
        <v>0</v>
      </c>
      <c r="AG54" s="86" t="s">
        <v>409</v>
      </c>
      <c r="AH54" s="80" t="b">
        <v>0</v>
      </c>
      <c r="AI54" s="80" t="s">
        <v>410</v>
      </c>
      <c r="AJ54" s="80"/>
      <c r="AK54" s="86" t="s">
        <v>409</v>
      </c>
      <c r="AL54" s="80" t="b">
        <v>0</v>
      </c>
      <c r="AM54" s="80">
        <v>0</v>
      </c>
      <c r="AN54" s="86" t="s">
        <v>409</v>
      </c>
      <c r="AO54" s="86" t="s">
        <v>418</v>
      </c>
      <c r="AP54" s="80" t="b">
        <v>0</v>
      </c>
      <c r="AQ54" s="86" t="s">
        <v>403</v>
      </c>
      <c r="AR54" s="80" t="s">
        <v>211</v>
      </c>
      <c r="AS54" s="80">
        <v>0</v>
      </c>
      <c r="AT54" s="80">
        <v>0</v>
      </c>
      <c r="AU54" s="80"/>
      <c r="AV54" s="80"/>
      <c r="AW54" s="80"/>
      <c r="AX54" s="80"/>
      <c r="AY54" s="80"/>
      <c r="AZ54" s="80"/>
      <c r="BA54" s="80"/>
      <c r="BB54" s="80"/>
      <c r="BC54">
        <v>28</v>
      </c>
      <c r="BD54" s="79" t="str">
        <f>REPLACE(INDEX(GroupVertices[Group],MATCH(Edges[[#This Row],[Vertex 1]],GroupVertices[Vertex],0)),1,1,"")</f>
        <v>1</v>
      </c>
      <c r="BE54" s="79" t="str">
        <f>REPLACE(INDEX(GroupVertices[Group],MATCH(Edges[[#This Row],[Vertex 2]],GroupVertices[Vertex],0)),1,1,"")</f>
        <v>1</v>
      </c>
      <c r="BF54" s="47">
        <v>0</v>
      </c>
      <c r="BG54" s="48">
        <v>0</v>
      </c>
      <c r="BH54" s="47">
        <v>0</v>
      </c>
      <c r="BI54" s="48">
        <v>0</v>
      </c>
      <c r="BJ54" s="47">
        <v>0</v>
      </c>
      <c r="BK54" s="48">
        <v>0</v>
      </c>
      <c r="BL54" s="47">
        <v>5</v>
      </c>
      <c r="BM54" s="48">
        <v>50</v>
      </c>
      <c r="BN54" s="47">
        <v>10</v>
      </c>
    </row>
    <row r="55" spans="1:66" ht="30">
      <c r="A55" s="78" t="s">
        <v>257</v>
      </c>
      <c r="B55" s="78" t="s">
        <v>257</v>
      </c>
      <c r="C55" s="49" t="s">
        <v>886</v>
      </c>
      <c r="D55" s="50">
        <v>10</v>
      </c>
      <c r="E55" s="62" t="s">
        <v>136</v>
      </c>
      <c r="F55" s="51">
        <v>6</v>
      </c>
      <c r="G55" s="49"/>
      <c r="H55" s="53"/>
      <c r="I55" s="52"/>
      <c r="J55" s="52"/>
      <c r="K55" s="32" t="s">
        <v>65</v>
      </c>
      <c r="L55" s="77">
        <v>55</v>
      </c>
      <c r="M55" s="77"/>
      <c r="N55" s="59"/>
      <c r="O55" s="80" t="s">
        <v>211</v>
      </c>
      <c r="P55" s="82">
        <v>44875.259930555556</v>
      </c>
      <c r="Q55" s="80" t="s">
        <v>299</v>
      </c>
      <c r="R55" s="84" t="str">
        <f>HYPERLINK("https://vivianfrancos.com/revisa-esta-guia-de-hashtags-en-tiktok/")</f>
        <v>https://vivianfrancos.com/revisa-esta-guia-de-hashtags-en-tiktok/</v>
      </c>
      <c r="S55" s="80" t="s">
        <v>303</v>
      </c>
      <c r="T55" s="86" t="s">
        <v>328</v>
      </c>
      <c r="U55" s="80"/>
      <c r="V55" s="84" t="str">
        <f>HYPERLINK("https://pbs.twimg.com/profile_images/1487756429276684289/Kqq9xAOb_normal.png")</f>
        <v>https://pbs.twimg.com/profile_images/1487756429276684289/Kqq9xAOb_normal.png</v>
      </c>
      <c r="W55" s="82">
        <v>44875.259930555556</v>
      </c>
      <c r="X55" s="88">
        <v>44875</v>
      </c>
      <c r="Y55" s="86" t="s">
        <v>364</v>
      </c>
      <c r="Z55" s="84" t="str">
        <f>HYPERLINK("https://twitter.com/hashtagmarketi7/status/1590588641650348033")</f>
        <v>https://twitter.com/hashtagmarketi7/status/1590588641650348033</v>
      </c>
      <c r="AA55" s="80"/>
      <c r="AB55" s="80"/>
      <c r="AC55" s="86" t="s">
        <v>404</v>
      </c>
      <c r="AD55" s="80"/>
      <c r="AE55" s="80" t="b">
        <v>0</v>
      </c>
      <c r="AF55" s="80">
        <v>0</v>
      </c>
      <c r="AG55" s="86" t="s">
        <v>409</v>
      </c>
      <c r="AH55" s="80" t="b">
        <v>0</v>
      </c>
      <c r="AI55" s="80" t="s">
        <v>410</v>
      </c>
      <c r="AJ55" s="80"/>
      <c r="AK55" s="86" t="s">
        <v>409</v>
      </c>
      <c r="AL55" s="80" t="b">
        <v>0</v>
      </c>
      <c r="AM55" s="80">
        <v>0</v>
      </c>
      <c r="AN55" s="86" t="s">
        <v>409</v>
      </c>
      <c r="AO55" s="86" t="s">
        <v>418</v>
      </c>
      <c r="AP55" s="80" t="b">
        <v>0</v>
      </c>
      <c r="AQ55" s="86" t="s">
        <v>404</v>
      </c>
      <c r="AR55" s="80" t="s">
        <v>211</v>
      </c>
      <c r="AS55" s="80">
        <v>0</v>
      </c>
      <c r="AT55" s="80">
        <v>0</v>
      </c>
      <c r="AU55" s="80"/>
      <c r="AV55" s="80"/>
      <c r="AW55" s="80"/>
      <c r="AX55" s="80"/>
      <c r="AY55" s="80"/>
      <c r="AZ55" s="80"/>
      <c r="BA55" s="80"/>
      <c r="BB55" s="80"/>
      <c r="BC55">
        <v>28</v>
      </c>
      <c r="BD55" s="79" t="str">
        <f>REPLACE(INDEX(GroupVertices[Group],MATCH(Edges[[#This Row],[Vertex 1]],GroupVertices[Vertex],0)),1,1,"")</f>
        <v>1</v>
      </c>
      <c r="BE55" s="79" t="str">
        <f>REPLACE(INDEX(GroupVertices[Group],MATCH(Edges[[#This Row],[Vertex 2]],GroupVertices[Vertex],0)),1,1,"")</f>
        <v>1</v>
      </c>
      <c r="BF55" s="47">
        <v>0</v>
      </c>
      <c r="BG55" s="48">
        <v>0</v>
      </c>
      <c r="BH55" s="47">
        <v>0</v>
      </c>
      <c r="BI55" s="48">
        <v>0</v>
      </c>
      <c r="BJ55" s="47">
        <v>0</v>
      </c>
      <c r="BK55" s="48">
        <v>0</v>
      </c>
      <c r="BL55" s="47">
        <v>5</v>
      </c>
      <c r="BM55" s="48">
        <v>55.55555555555556</v>
      </c>
      <c r="BN55" s="47">
        <v>9</v>
      </c>
    </row>
    <row r="56" spans="1:66" ht="30">
      <c r="A56" s="78" t="s">
        <v>257</v>
      </c>
      <c r="B56" s="78" t="s">
        <v>257</v>
      </c>
      <c r="C56" s="49" t="s">
        <v>886</v>
      </c>
      <c r="D56" s="50">
        <v>10</v>
      </c>
      <c r="E56" s="62" t="s">
        <v>136</v>
      </c>
      <c r="F56" s="51">
        <v>6</v>
      </c>
      <c r="G56" s="49"/>
      <c r="H56" s="53"/>
      <c r="I56" s="52"/>
      <c r="J56" s="52"/>
      <c r="K56" s="32" t="s">
        <v>65</v>
      </c>
      <c r="L56" s="77">
        <v>56</v>
      </c>
      <c r="M56" s="77"/>
      <c r="N56" s="59"/>
      <c r="O56" s="80" t="s">
        <v>211</v>
      </c>
      <c r="P56" s="82">
        <v>44875.48143518518</v>
      </c>
      <c r="Q56" s="80" t="s">
        <v>300</v>
      </c>
      <c r="R56"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56" s="80" t="s">
        <v>303</v>
      </c>
      <c r="T56" s="86" t="s">
        <v>320</v>
      </c>
      <c r="U56" s="80"/>
      <c r="V56" s="84" t="str">
        <f>HYPERLINK("https://pbs.twimg.com/profile_images/1487756429276684289/Kqq9xAOb_normal.png")</f>
        <v>https://pbs.twimg.com/profile_images/1487756429276684289/Kqq9xAOb_normal.png</v>
      </c>
      <c r="W56" s="82">
        <v>44875.48143518518</v>
      </c>
      <c r="X56" s="88">
        <v>44875</v>
      </c>
      <c r="Y56" s="86" t="s">
        <v>365</v>
      </c>
      <c r="Z56" s="84" t="str">
        <f>HYPERLINK("https://twitter.com/hashtagmarketi7/status/1590668912617832448")</f>
        <v>https://twitter.com/hashtagmarketi7/status/1590668912617832448</v>
      </c>
      <c r="AA56" s="80"/>
      <c r="AB56" s="80"/>
      <c r="AC56" s="86" t="s">
        <v>405</v>
      </c>
      <c r="AD56" s="80"/>
      <c r="AE56" s="80" t="b">
        <v>0</v>
      </c>
      <c r="AF56" s="80">
        <v>3</v>
      </c>
      <c r="AG56" s="86" t="s">
        <v>409</v>
      </c>
      <c r="AH56" s="80" t="b">
        <v>0</v>
      </c>
      <c r="AI56" s="80" t="s">
        <v>410</v>
      </c>
      <c r="AJ56" s="80"/>
      <c r="AK56" s="86" t="s">
        <v>409</v>
      </c>
      <c r="AL56" s="80" t="b">
        <v>0</v>
      </c>
      <c r="AM56" s="80">
        <v>0</v>
      </c>
      <c r="AN56" s="86" t="s">
        <v>409</v>
      </c>
      <c r="AO56" s="86" t="s">
        <v>418</v>
      </c>
      <c r="AP56" s="80" t="b">
        <v>0</v>
      </c>
      <c r="AQ56" s="86" t="s">
        <v>405</v>
      </c>
      <c r="AR56" s="80" t="s">
        <v>211</v>
      </c>
      <c r="AS56" s="80">
        <v>0</v>
      </c>
      <c r="AT56" s="80">
        <v>0</v>
      </c>
      <c r="AU56" s="80"/>
      <c r="AV56" s="80"/>
      <c r="AW56" s="80"/>
      <c r="AX56" s="80"/>
      <c r="AY56" s="80"/>
      <c r="AZ56" s="80"/>
      <c r="BA56" s="80"/>
      <c r="BB56" s="80"/>
      <c r="BC56">
        <v>28</v>
      </c>
      <c r="BD56" s="79" t="str">
        <f>REPLACE(INDEX(GroupVertices[Group],MATCH(Edges[[#This Row],[Vertex 1]],GroupVertices[Vertex],0)),1,1,"")</f>
        <v>1</v>
      </c>
      <c r="BE56" s="79" t="str">
        <f>REPLACE(INDEX(GroupVertices[Group],MATCH(Edges[[#This Row],[Vertex 2]],GroupVertices[Vertex],0)),1,1,"")</f>
        <v>1</v>
      </c>
      <c r="BF56" s="47">
        <v>0</v>
      </c>
      <c r="BG56" s="48">
        <v>0</v>
      </c>
      <c r="BH56" s="47">
        <v>0</v>
      </c>
      <c r="BI56" s="48">
        <v>0</v>
      </c>
      <c r="BJ56" s="47">
        <v>0</v>
      </c>
      <c r="BK56" s="48">
        <v>0</v>
      </c>
      <c r="BL56" s="47">
        <v>21</v>
      </c>
      <c r="BM56" s="48">
        <v>77.77777777777777</v>
      </c>
      <c r="BN56" s="47">
        <v>27</v>
      </c>
    </row>
    <row r="57" spans="1:66" ht="30">
      <c r="A57" s="78" t="s">
        <v>257</v>
      </c>
      <c r="B57" s="78" t="s">
        <v>257</v>
      </c>
      <c r="C57" s="49" t="s">
        <v>886</v>
      </c>
      <c r="D57" s="50">
        <v>10</v>
      </c>
      <c r="E57" s="62" t="s">
        <v>136</v>
      </c>
      <c r="F57" s="51">
        <v>6</v>
      </c>
      <c r="G57" s="49"/>
      <c r="H57" s="53"/>
      <c r="I57" s="52"/>
      <c r="J57" s="52"/>
      <c r="K57" s="32" t="s">
        <v>65</v>
      </c>
      <c r="L57" s="77">
        <v>57</v>
      </c>
      <c r="M57" s="77"/>
      <c r="N57" s="59"/>
      <c r="O57" s="80" t="s">
        <v>211</v>
      </c>
      <c r="P57" s="82">
        <v>44875.59413194445</v>
      </c>
      <c r="Q57" s="80" t="s">
        <v>301</v>
      </c>
      <c r="R57" s="84" t="str">
        <f>HYPERLINK("https://www.amazon.es/C%C3%93MO-ENCONTRAR-LOS-HASHTAGS-POTENTES-ebook/dp/B08D9W3Q3V/")</f>
        <v>https://www.amazon.es/C%C3%93MO-ENCONTRAR-LOS-HASHTAGS-POTENTES-ebook/dp/B08D9W3Q3V/</v>
      </c>
      <c r="S57" s="80" t="s">
        <v>305</v>
      </c>
      <c r="T57" s="86" t="s">
        <v>317</v>
      </c>
      <c r="U57" s="84" t="str">
        <f>HYPERLINK("https://pbs.twimg.com/media/FhNWFaLWIAYjlxr.jpg")</f>
        <v>https://pbs.twimg.com/media/FhNWFaLWIAYjlxr.jpg</v>
      </c>
      <c r="V57" s="84" t="str">
        <f>HYPERLINK("https://pbs.twimg.com/media/FhNWFaLWIAYjlxr.jpg")</f>
        <v>https://pbs.twimg.com/media/FhNWFaLWIAYjlxr.jpg</v>
      </c>
      <c r="W57" s="82">
        <v>44875.59413194445</v>
      </c>
      <c r="X57" s="88">
        <v>44875</v>
      </c>
      <c r="Y57" s="86" t="s">
        <v>348</v>
      </c>
      <c r="Z57" s="84" t="str">
        <f>HYPERLINK("https://twitter.com/hashtagmarketi7/status/1590709750584561664")</f>
        <v>https://twitter.com/hashtagmarketi7/status/1590709750584561664</v>
      </c>
      <c r="AA57" s="80"/>
      <c r="AB57" s="80"/>
      <c r="AC57" s="86" t="s">
        <v>406</v>
      </c>
      <c r="AD57" s="80"/>
      <c r="AE57" s="80" t="b">
        <v>0</v>
      </c>
      <c r="AF57" s="80">
        <v>0</v>
      </c>
      <c r="AG57" s="86" t="s">
        <v>409</v>
      </c>
      <c r="AH57" s="80" t="b">
        <v>0</v>
      </c>
      <c r="AI57" s="80" t="s">
        <v>410</v>
      </c>
      <c r="AJ57" s="80"/>
      <c r="AK57" s="86" t="s">
        <v>409</v>
      </c>
      <c r="AL57" s="80" t="b">
        <v>0</v>
      </c>
      <c r="AM57" s="80">
        <v>0</v>
      </c>
      <c r="AN57" s="86" t="s">
        <v>409</v>
      </c>
      <c r="AO57" s="86" t="s">
        <v>418</v>
      </c>
      <c r="AP57" s="80" t="b">
        <v>0</v>
      </c>
      <c r="AQ57" s="86" t="s">
        <v>406</v>
      </c>
      <c r="AR57" s="80" t="s">
        <v>211</v>
      </c>
      <c r="AS57" s="80">
        <v>0</v>
      </c>
      <c r="AT57" s="80">
        <v>0</v>
      </c>
      <c r="AU57" s="80"/>
      <c r="AV57" s="80"/>
      <c r="AW57" s="80"/>
      <c r="AX57" s="80"/>
      <c r="AY57" s="80"/>
      <c r="AZ57" s="80"/>
      <c r="BA57" s="80"/>
      <c r="BB57" s="80"/>
      <c r="BC57">
        <v>28</v>
      </c>
      <c r="BD57" s="79" t="str">
        <f>REPLACE(INDEX(GroupVertices[Group],MATCH(Edges[[#This Row],[Vertex 1]],GroupVertices[Vertex],0)),1,1,"")</f>
        <v>1</v>
      </c>
      <c r="BE57" s="79" t="str">
        <f>REPLACE(INDEX(GroupVertices[Group],MATCH(Edges[[#This Row],[Vertex 2]],GroupVertices[Vertex],0)),1,1,"")</f>
        <v>1</v>
      </c>
      <c r="BF57" s="47">
        <v>0</v>
      </c>
      <c r="BG57" s="48">
        <v>0</v>
      </c>
      <c r="BH57" s="47">
        <v>0</v>
      </c>
      <c r="BI57" s="48">
        <v>0</v>
      </c>
      <c r="BJ57" s="47">
        <v>0</v>
      </c>
      <c r="BK57" s="48">
        <v>0</v>
      </c>
      <c r="BL57" s="47">
        <v>11</v>
      </c>
      <c r="BM57" s="48">
        <v>55</v>
      </c>
      <c r="BN57" s="47">
        <v>20</v>
      </c>
    </row>
    <row r="58" spans="1:66" ht="30">
      <c r="A58" s="78" t="s">
        <v>257</v>
      </c>
      <c r="B58" s="78" t="s">
        <v>257</v>
      </c>
      <c r="C58" s="49" t="s">
        <v>886</v>
      </c>
      <c r="D58" s="50">
        <v>10</v>
      </c>
      <c r="E58" s="62" t="s">
        <v>136</v>
      </c>
      <c r="F58" s="51">
        <v>6</v>
      </c>
      <c r="G58" s="49"/>
      <c r="H58" s="53"/>
      <c r="I58" s="52"/>
      <c r="J58" s="52"/>
      <c r="K58" s="32" t="s">
        <v>65</v>
      </c>
      <c r="L58" s="77">
        <v>58</v>
      </c>
      <c r="M58" s="77"/>
      <c r="N58" s="59"/>
      <c r="O58" s="80" t="s">
        <v>211</v>
      </c>
      <c r="P58" s="82">
        <v>44875.63043981481</v>
      </c>
      <c r="Q58" s="80" t="s">
        <v>302</v>
      </c>
      <c r="R58" s="84" t="str">
        <f>HYPERLINK("https://www.linkedin.com/feed/update/urn:li:ugcPost:6996488536824659969")</f>
        <v>https://www.linkedin.com/feed/update/urn:li:ugcPost:6996488536824659969</v>
      </c>
      <c r="S58" s="80" t="s">
        <v>308</v>
      </c>
      <c r="T58" s="86" t="s">
        <v>329</v>
      </c>
      <c r="U58" s="80"/>
      <c r="V58" s="84" t="str">
        <f>HYPERLINK("https://pbs.twimg.com/profile_images/1487756429276684289/Kqq9xAOb_normal.png")</f>
        <v>https://pbs.twimg.com/profile_images/1487756429276684289/Kqq9xAOb_normal.png</v>
      </c>
      <c r="W58" s="82">
        <v>44875.63043981481</v>
      </c>
      <c r="X58" s="88">
        <v>44875</v>
      </c>
      <c r="Y58" s="86" t="s">
        <v>366</v>
      </c>
      <c r="Z58" s="84" t="str">
        <f>HYPERLINK("https://twitter.com/hashtagmarketi7/status/1590722911433678848")</f>
        <v>https://twitter.com/hashtagmarketi7/status/1590722911433678848</v>
      </c>
      <c r="AA58" s="80"/>
      <c r="AB58" s="80"/>
      <c r="AC58" s="86" t="s">
        <v>407</v>
      </c>
      <c r="AD58" s="80"/>
      <c r="AE58" s="80" t="b">
        <v>0</v>
      </c>
      <c r="AF58" s="80">
        <v>1</v>
      </c>
      <c r="AG58" s="86" t="s">
        <v>409</v>
      </c>
      <c r="AH58" s="80" t="b">
        <v>0</v>
      </c>
      <c r="AI58" s="80" t="s">
        <v>410</v>
      </c>
      <c r="AJ58" s="80"/>
      <c r="AK58" s="86" t="s">
        <v>409</v>
      </c>
      <c r="AL58" s="80" t="b">
        <v>0</v>
      </c>
      <c r="AM58" s="80">
        <v>0</v>
      </c>
      <c r="AN58" s="86" t="s">
        <v>409</v>
      </c>
      <c r="AO58" s="86" t="s">
        <v>419</v>
      </c>
      <c r="AP58" s="80" t="b">
        <v>0</v>
      </c>
      <c r="AQ58" s="86" t="s">
        <v>407</v>
      </c>
      <c r="AR58" s="80" t="s">
        <v>211</v>
      </c>
      <c r="AS58" s="80">
        <v>0</v>
      </c>
      <c r="AT58" s="80">
        <v>0</v>
      </c>
      <c r="AU58" s="80"/>
      <c r="AV58" s="80"/>
      <c r="AW58" s="80"/>
      <c r="AX58" s="80"/>
      <c r="AY58" s="80"/>
      <c r="AZ58" s="80"/>
      <c r="BA58" s="80"/>
      <c r="BB58" s="80"/>
      <c r="BC58">
        <v>28</v>
      </c>
      <c r="BD58" s="79" t="str">
        <f>REPLACE(INDEX(GroupVertices[Group],MATCH(Edges[[#This Row],[Vertex 1]],GroupVertices[Vertex],0)),1,1,"")</f>
        <v>1</v>
      </c>
      <c r="BE58" s="79" t="str">
        <f>REPLACE(INDEX(GroupVertices[Group],MATCH(Edges[[#This Row],[Vertex 2]],GroupVertices[Vertex],0)),1,1,"")</f>
        <v>1</v>
      </c>
      <c r="BF58" s="47">
        <v>0</v>
      </c>
      <c r="BG58" s="48">
        <v>0</v>
      </c>
      <c r="BH58" s="47">
        <v>0</v>
      </c>
      <c r="BI58" s="48">
        <v>0</v>
      </c>
      <c r="BJ58" s="47">
        <v>0</v>
      </c>
      <c r="BK58" s="48">
        <v>0</v>
      </c>
      <c r="BL58" s="47">
        <v>6</v>
      </c>
      <c r="BM58" s="48">
        <v>54.54545454545455</v>
      </c>
      <c r="BN58" s="47">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5924-DD3C-4EFF-9EAD-E5A6039B6D80}">
  <dimension ref="A1:L236"/>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803</v>
      </c>
      <c r="B1" s="7" t="s">
        <v>804</v>
      </c>
      <c r="C1" s="7" t="s">
        <v>794</v>
      </c>
      <c r="D1" s="7" t="s">
        <v>798</v>
      </c>
      <c r="E1" s="7" t="s">
        <v>805</v>
      </c>
      <c r="F1" s="7" t="s">
        <v>144</v>
      </c>
      <c r="G1" s="7" t="s">
        <v>806</v>
      </c>
      <c r="H1" s="7" t="s">
        <v>807</v>
      </c>
      <c r="I1" s="7" t="s">
        <v>808</v>
      </c>
      <c r="J1" s="7" t="s">
        <v>809</v>
      </c>
      <c r="K1" s="7" t="s">
        <v>810</v>
      </c>
      <c r="L1" s="7" t="s">
        <v>811</v>
      </c>
    </row>
    <row r="2" spans="1:12" ht="15">
      <c r="A2" s="85" t="s">
        <v>592</v>
      </c>
      <c r="B2" s="85" t="s">
        <v>595</v>
      </c>
      <c r="C2" s="85">
        <v>9</v>
      </c>
      <c r="D2" s="121">
        <v>0.010807520858798863</v>
      </c>
      <c r="E2" s="121">
        <v>1.2779646915952878</v>
      </c>
      <c r="F2" s="85" t="s">
        <v>799</v>
      </c>
      <c r="G2" s="85" t="b">
        <v>0</v>
      </c>
      <c r="H2" s="85" t="b">
        <v>0</v>
      </c>
      <c r="I2" s="85" t="b">
        <v>0</v>
      </c>
      <c r="J2" s="85" t="b">
        <v>0</v>
      </c>
      <c r="K2" s="85" t="b">
        <v>0</v>
      </c>
      <c r="L2" s="85" t="b">
        <v>0</v>
      </c>
    </row>
    <row r="3" spans="1:12" ht="15">
      <c r="A3" s="86" t="s">
        <v>599</v>
      </c>
      <c r="B3" s="85" t="s">
        <v>598</v>
      </c>
      <c r="C3" s="85">
        <v>8</v>
      </c>
      <c r="D3" s="121">
        <v>0.013681541325100143</v>
      </c>
      <c r="E3" s="121">
        <v>1.8372727025023003</v>
      </c>
      <c r="F3" s="85" t="s">
        <v>799</v>
      </c>
      <c r="G3" s="85" t="b">
        <v>0</v>
      </c>
      <c r="H3" s="85" t="b">
        <v>0</v>
      </c>
      <c r="I3" s="85" t="b">
        <v>0</v>
      </c>
      <c r="J3" s="85" t="b">
        <v>0</v>
      </c>
      <c r="K3" s="85" t="b">
        <v>0</v>
      </c>
      <c r="L3" s="85" t="b">
        <v>0</v>
      </c>
    </row>
    <row r="4" spans="1:12" ht="15">
      <c r="A4" s="86" t="s">
        <v>593</v>
      </c>
      <c r="B4" s="85" t="s">
        <v>709</v>
      </c>
      <c r="C4" s="85">
        <v>7</v>
      </c>
      <c r="D4" s="121">
        <v>0.009092725409371151</v>
      </c>
      <c r="E4" s="121">
        <v>1.5942346538160057</v>
      </c>
      <c r="F4" s="85" t="s">
        <v>799</v>
      </c>
      <c r="G4" s="85" t="b">
        <v>0</v>
      </c>
      <c r="H4" s="85" t="b">
        <v>0</v>
      </c>
      <c r="I4" s="85" t="b">
        <v>0</v>
      </c>
      <c r="J4" s="85" t="b">
        <v>0</v>
      </c>
      <c r="K4" s="85" t="b">
        <v>0</v>
      </c>
      <c r="L4" s="85" t="b">
        <v>0</v>
      </c>
    </row>
    <row r="5" spans="1:12" ht="15">
      <c r="A5" s="86" t="s">
        <v>713</v>
      </c>
      <c r="B5" s="85" t="s">
        <v>712</v>
      </c>
      <c r="C5" s="85">
        <v>7</v>
      </c>
      <c r="D5" s="121">
        <v>0.009092725409371151</v>
      </c>
      <c r="E5" s="121">
        <v>1.895264649479987</v>
      </c>
      <c r="F5" s="85" t="s">
        <v>799</v>
      </c>
      <c r="G5" s="85" t="b">
        <v>0</v>
      </c>
      <c r="H5" s="85" t="b">
        <v>0</v>
      </c>
      <c r="I5" s="85" t="b">
        <v>0</v>
      </c>
      <c r="J5" s="85" t="b">
        <v>0</v>
      </c>
      <c r="K5" s="85" t="b">
        <v>0</v>
      </c>
      <c r="L5" s="85" t="b">
        <v>0</v>
      </c>
    </row>
    <row r="6" spans="1:12" ht="15">
      <c r="A6" s="86" t="s">
        <v>712</v>
      </c>
      <c r="B6" s="85" t="s">
        <v>710</v>
      </c>
      <c r="C6" s="85">
        <v>7</v>
      </c>
      <c r="D6" s="121">
        <v>0.009092725409371151</v>
      </c>
      <c r="E6" s="121">
        <v>1.895264649479987</v>
      </c>
      <c r="F6" s="85" t="s">
        <v>799</v>
      </c>
      <c r="G6" s="85" t="b">
        <v>0</v>
      </c>
      <c r="H6" s="85" t="b">
        <v>0</v>
      </c>
      <c r="I6" s="85" t="b">
        <v>0</v>
      </c>
      <c r="J6" s="85" t="b">
        <v>1</v>
      </c>
      <c r="K6" s="85" t="b">
        <v>0</v>
      </c>
      <c r="L6" s="85" t="b">
        <v>0</v>
      </c>
    </row>
    <row r="7" spans="1:12" ht="15">
      <c r="A7" s="86" t="s">
        <v>706</v>
      </c>
      <c r="B7" s="85" t="s">
        <v>592</v>
      </c>
      <c r="C7" s="85">
        <v>7</v>
      </c>
      <c r="D7" s="121">
        <v>0.009092725409371151</v>
      </c>
      <c r="E7" s="121">
        <v>1.2779646915952878</v>
      </c>
      <c r="F7" s="85" t="s">
        <v>799</v>
      </c>
      <c r="G7" s="85" t="b">
        <v>0</v>
      </c>
      <c r="H7" s="85" t="b">
        <v>0</v>
      </c>
      <c r="I7" s="85" t="b">
        <v>0</v>
      </c>
      <c r="J7" s="85" t="b">
        <v>0</v>
      </c>
      <c r="K7" s="85" t="b">
        <v>0</v>
      </c>
      <c r="L7" s="85" t="b">
        <v>0</v>
      </c>
    </row>
    <row r="8" spans="1:12" ht="15">
      <c r="A8" s="86" t="s">
        <v>709</v>
      </c>
      <c r="B8" s="85" t="s">
        <v>713</v>
      </c>
      <c r="C8" s="85">
        <v>7</v>
      </c>
      <c r="D8" s="121">
        <v>0.009092725409371151</v>
      </c>
      <c r="E8" s="121">
        <v>1.895264649479987</v>
      </c>
      <c r="F8" s="85" t="s">
        <v>799</v>
      </c>
      <c r="G8" s="85" t="b">
        <v>0</v>
      </c>
      <c r="H8" s="85" t="b">
        <v>0</v>
      </c>
      <c r="I8" s="85" t="b">
        <v>0</v>
      </c>
      <c r="J8" s="85" t="b">
        <v>0</v>
      </c>
      <c r="K8" s="85" t="b">
        <v>0</v>
      </c>
      <c r="L8" s="85" t="b">
        <v>0</v>
      </c>
    </row>
    <row r="9" spans="1:12" ht="15">
      <c r="A9" s="86" t="s">
        <v>594</v>
      </c>
      <c r="B9" s="85" t="s">
        <v>711</v>
      </c>
      <c r="C9" s="85">
        <v>7</v>
      </c>
      <c r="D9" s="121">
        <v>0.009092725409371151</v>
      </c>
      <c r="E9" s="121">
        <v>1.7403626894942439</v>
      </c>
      <c r="F9" s="85" t="s">
        <v>799</v>
      </c>
      <c r="G9" s="85" t="b">
        <v>0</v>
      </c>
      <c r="H9" s="85" t="b">
        <v>0</v>
      </c>
      <c r="I9" s="85" t="b">
        <v>0</v>
      </c>
      <c r="J9" s="85" t="b">
        <v>0</v>
      </c>
      <c r="K9" s="85" t="b">
        <v>0</v>
      </c>
      <c r="L9" s="85" t="b">
        <v>0</v>
      </c>
    </row>
    <row r="10" spans="1:12" ht="15">
      <c r="A10" s="86" t="s">
        <v>710</v>
      </c>
      <c r="B10" s="85" t="s">
        <v>596</v>
      </c>
      <c r="C10" s="85">
        <v>7</v>
      </c>
      <c r="D10" s="121">
        <v>0.009092725409371151</v>
      </c>
      <c r="E10" s="121">
        <v>1.786120180054919</v>
      </c>
      <c r="F10" s="85" t="s">
        <v>799</v>
      </c>
      <c r="G10" s="85" t="b">
        <v>1</v>
      </c>
      <c r="H10" s="85" t="b">
        <v>0</v>
      </c>
      <c r="I10" s="85" t="b">
        <v>0</v>
      </c>
      <c r="J10" s="85" t="b">
        <v>0</v>
      </c>
      <c r="K10" s="85" t="b">
        <v>0</v>
      </c>
      <c r="L10" s="85" t="b">
        <v>0</v>
      </c>
    </row>
    <row r="11" spans="1:12" ht="15">
      <c r="A11" s="86" t="s">
        <v>591</v>
      </c>
      <c r="B11" s="85" t="s">
        <v>592</v>
      </c>
      <c r="C11" s="85">
        <v>7</v>
      </c>
      <c r="D11" s="121">
        <v>0.009092725409371151</v>
      </c>
      <c r="E11" s="121">
        <v>0.9189427489536198</v>
      </c>
      <c r="F11" s="85" t="s">
        <v>799</v>
      </c>
      <c r="G11" s="85" t="b">
        <v>0</v>
      </c>
      <c r="H11" s="85" t="b">
        <v>0</v>
      </c>
      <c r="I11" s="85" t="b">
        <v>0</v>
      </c>
      <c r="J11" s="85" t="b">
        <v>0</v>
      </c>
      <c r="K11" s="85" t="b">
        <v>0</v>
      </c>
      <c r="L11" s="85" t="b">
        <v>0</v>
      </c>
    </row>
    <row r="12" spans="1:12" ht="15">
      <c r="A12" s="86" t="s">
        <v>592</v>
      </c>
      <c r="B12" s="85" t="s">
        <v>708</v>
      </c>
      <c r="C12" s="85">
        <v>7</v>
      </c>
      <c r="D12" s="121">
        <v>0.009092725409371151</v>
      </c>
      <c r="E12" s="121">
        <v>1.2779646915952878</v>
      </c>
      <c r="F12" s="85" t="s">
        <v>799</v>
      </c>
      <c r="G12" s="85" t="b">
        <v>0</v>
      </c>
      <c r="H12" s="85" t="b">
        <v>0</v>
      </c>
      <c r="I12" s="85" t="b">
        <v>0</v>
      </c>
      <c r="J12" s="85" t="b">
        <v>0</v>
      </c>
      <c r="K12" s="85" t="b">
        <v>0</v>
      </c>
      <c r="L12" s="85" t="b">
        <v>0</v>
      </c>
    </row>
    <row r="13" spans="1:12" ht="15">
      <c r="A13" s="86" t="s">
        <v>708</v>
      </c>
      <c r="B13" s="85" t="s">
        <v>592</v>
      </c>
      <c r="C13" s="85">
        <v>7</v>
      </c>
      <c r="D13" s="121">
        <v>0.009092725409371151</v>
      </c>
      <c r="E13" s="121">
        <v>1.2779646915952878</v>
      </c>
      <c r="F13" s="85" t="s">
        <v>799</v>
      </c>
      <c r="G13" s="85" t="b">
        <v>0</v>
      </c>
      <c r="H13" s="85" t="b">
        <v>0</v>
      </c>
      <c r="I13" s="85" t="b">
        <v>0</v>
      </c>
      <c r="J13" s="85" t="b">
        <v>0</v>
      </c>
      <c r="K13" s="85" t="b">
        <v>0</v>
      </c>
      <c r="L13" s="85" t="b">
        <v>0</v>
      </c>
    </row>
    <row r="14" spans="1:12" ht="15">
      <c r="A14" s="86" t="s">
        <v>596</v>
      </c>
      <c r="B14" s="85" t="s">
        <v>591</v>
      </c>
      <c r="C14" s="85">
        <v>7</v>
      </c>
      <c r="D14" s="121">
        <v>0.009092725409371151</v>
      </c>
      <c r="E14" s="121">
        <v>1.114169018449562</v>
      </c>
      <c r="F14" s="85" t="s">
        <v>799</v>
      </c>
      <c r="G14" s="85" t="b">
        <v>0</v>
      </c>
      <c r="H14" s="85" t="b">
        <v>0</v>
      </c>
      <c r="I14" s="85" t="b">
        <v>0</v>
      </c>
      <c r="J14" s="85" t="b">
        <v>0</v>
      </c>
      <c r="K14" s="85" t="b">
        <v>0</v>
      </c>
      <c r="L14" s="85" t="b">
        <v>0</v>
      </c>
    </row>
    <row r="15" spans="1:12" ht="15">
      <c r="A15" s="86" t="s">
        <v>711</v>
      </c>
      <c r="B15" s="85" t="s">
        <v>593</v>
      </c>
      <c r="C15" s="85">
        <v>7</v>
      </c>
      <c r="D15" s="121">
        <v>0.009092725409371151</v>
      </c>
      <c r="E15" s="121">
        <v>1.661181443446619</v>
      </c>
      <c r="F15" s="85" t="s">
        <v>799</v>
      </c>
      <c r="G15" s="85" t="b">
        <v>0</v>
      </c>
      <c r="H15" s="85" t="b">
        <v>0</v>
      </c>
      <c r="I15" s="85" t="b">
        <v>0</v>
      </c>
      <c r="J15" s="85" t="b">
        <v>0</v>
      </c>
      <c r="K15" s="85" t="b">
        <v>0</v>
      </c>
      <c r="L15" s="85" t="b">
        <v>0</v>
      </c>
    </row>
    <row r="16" spans="1:12" ht="15">
      <c r="A16" s="86" t="s">
        <v>592</v>
      </c>
      <c r="B16" s="85" t="s">
        <v>706</v>
      </c>
      <c r="C16" s="85">
        <v>7</v>
      </c>
      <c r="D16" s="121">
        <v>0.009092725409371151</v>
      </c>
      <c r="E16" s="121">
        <v>1.2779646915952878</v>
      </c>
      <c r="F16" s="85" t="s">
        <v>799</v>
      </c>
      <c r="G16" s="85" t="b">
        <v>0</v>
      </c>
      <c r="H16" s="85" t="b">
        <v>0</v>
      </c>
      <c r="I16" s="85" t="b">
        <v>0</v>
      </c>
      <c r="J16" s="85" t="b">
        <v>0</v>
      </c>
      <c r="K16" s="85" t="b">
        <v>0</v>
      </c>
      <c r="L16" s="85" t="b">
        <v>0</v>
      </c>
    </row>
    <row r="17" spans="1:12" ht="15">
      <c r="A17" s="86" t="s">
        <v>603</v>
      </c>
      <c r="B17" s="85" t="s">
        <v>608</v>
      </c>
      <c r="C17" s="85">
        <v>6</v>
      </c>
      <c r="D17" s="121">
        <v>0.008473427475493317</v>
      </c>
      <c r="E17" s="121">
        <v>1.828317859849374</v>
      </c>
      <c r="F17" s="85" t="s">
        <v>799</v>
      </c>
      <c r="G17" s="85" t="b">
        <v>0</v>
      </c>
      <c r="H17" s="85" t="b">
        <v>0</v>
      </c>
      <c r="I17" s="85" t="b">
        <v>0</v>
      </c>
      <c r="J17" s="85" t="b">
        <v>0</v>
      </c>
      <c r="K17" s="85" t="b">
        <v>0</v>
      </c>
      <c r="L17" s="85" t="b">
        <v>0</v>
      </c>
    </row>
    <row r="18" spans="1:12" ht="15">
      <c r="A18" s="86" t="s">
        <v>605</v>
      </c>
      <c r="B18" s="85" t="s">
        <v>604</v>
      </c>
      <c r="C18" s="85">
        <v>6</v>
      </c>
      <c r="D18" s="121">
        <v>0.008473427475493317</v>
      </c>
      <c r="E18" s="121">
        <v>1.9622114391106003</v>
      </c>
      <c r="F18" s="85" t="s">
        <v>799</v>
      </c>
      <c r="G18" s="85" t="b">
        <v>0</v>
      </c>
      <c r="H18" s="85" t="b">
        <v>0</v>
      </c>
      <c r="I18" s="85" t="b">
        <v>0</v>
      </c>
      <c r="J18" s="85" t="b">
        <v>0</v>
      </c>
      <c r="K18" s="85" t="b">
        <v>0</v>
      </c>
      <c r="L18" s="85" t="b">
        <v>0</v>
      </c>
    </row>
    <row r="19" spans="1:12" ht="15">
      <c r="A19" s="86" t="s">
        <v>607</v>
      </c>
      <c r="B19" s="85" t="s">
        <v>605</v>
      </c>
      <c r="C19" s="85">
        <v>6</v>
      </c>
      <c r="D19" s="121">
        <v>0.008473427475493317</v>
      </c>
      <c r="E19" s="121">
        <v>1.9622114391106003</v>
      </c>
      <c r="F19" s="85" t="s">
        <v>799</v>
      </c>
      <c r="G19" s="85" t="b">
        <v>0</v>
      </c>
      <c r="H19" s="85" t="b">
        <v>0</v>
      </c>
      <c r="I19" s="85" t="b">
        <v>0</v>
      </c>
      <c r="J19" s="85" t="b">
        <v>0</v>
      </c>
      <c r="K19" s="85" t="b">
        <v>0</v>
      </c>
      <c r="L19" s="85" t="b">
        <v>0</v>
      </c>
    </row>
    <row r="20" spans="1:12" ht="15">
      <c r="A20" s="86" t="s">
        <v>609</v>
      </c>
      <c r="B20" s="85" t="s">
        <v>591</v>
      </c>
      <c r="C20" s="85">
        <v>6</v>
      </c>
      <c r="D20" s="121">
        <v>0.008473427475493317</v>
      </c>
      <c r="E20" s="121">
        <v>1.172160965427249</v>
      </c>
      <c r="F20" s="85" t="s">
        <v>799</v>
      </c>
      <c r="G20" s="85" t="b">
        <v>0</v>
      </c>
      <c r="H20" s="85" t="b">
        <v>0</v>
      </c>
      <c r="I20" s="85" t="b">
        <v>0</v>
      </c>
      <c r="J20" s="85" t="b">
        <v>0</v>
      </c>
      <c r="K20" s="85" t="b">
        <v>0</v>
      </c>
      <c r="L20" s="85" t="b">
        <v>0</v>
      </c>
    </row>
    <row r="21" spans="1:12" ht="15">
      <c r="A21" s="86" t="s">
        <v>608</v>
      </c>
      <c r="B21" s="85" t="s">
        <v>607</v>
      </c>
      <c r="C21" s="85">
        <v>6</v>
      </c>
      <c r="D21" s="121">
        <v>0.008473427475493317</v>
      </c>
      <c r="E21" s="121">
        <v>1.895264649479987</v>
      </c>
      <c r="F21" s="85" t="s">
        <v>799</v>
      </c>
      <c r="G21" s="85" t="b">
        <v>0</v>
      </c>
      <c r="H21" s="85" t="b">
        <v>0</v>
      </c>
      <c r="I21" s="85" t="b">
        <v>0</v>
      </c>
      <c r="J21" s="85" t="b">
        <v>0</v>
      </c>
      <c r="K21" s="85" t="b">
        <v>0</v>
      </c>
      <c r="L21" s="85" t="b">
        <v>0</v>
      </c>
    </row>
    <row r="22" spans="1:12" ht="15">
      <c r="A22" s="86" t="s">
        <v>604</v>
      </c>
      <c r="B22" s="85" t="s">
        <v>609</v>
      </c>
      <c r="C22" s="85">
        <v>6</v>
      </c>
      <c r="D22" s="121">
        <v>0.008473427475493317</v>
      </c>
      <c r="E22" s="121">
        <v>1.895264649479987</v>
      </c>
      <c r="F22" s="85" t="s">
        <v>799</v>
      </c>
      <c r="G22" s="85" t="b">
        <v>0</v>
      </c>
      <c r="H22" s="85" t="b">
        <v>0</v>
      </c>
      <c r="I22" s="85" t="b">
        <v>0</v>
      </c>
      <c r="J22" s="85" t="b">
        <v>0</v>
      </c>
      <c r="K22" s="85" t="b">
        <v>0</v>
      </c>
      <c r="L22" s="85" t="b">
        <v>0</v>
      </c>
    </row>
    <row r="23" spans="1:12" ht="15">
      <c r="A23" s="86" t="s">
        <v>606</v>
      </c>
      <c r="B23" s="85" t="s">
        <v>603</v>
      </c>
      <c r="C23" s="85">
        <v>6</v>
      </c>
      <c r="D23" s="121">
        <v>0.008473427475493317</v>
      </c>
      <c r="E23" s="121">
        <v>1.895264649479987</v>
      </c>
      <c r="F23" s="85" t="s">
        <v>799</v>
      </c>
      <c r="G23" s="85" t="b">
        <v>0</v>
      </c>
      <c r="H23" s="85" t="b">
        <v>0</v>
      </c>
      <c r="I23" s="85" t="b">
        <v>0</v>
      </c>
      <c r="J23" s="85" t="b">
        <v>0</v>
      </c>
      <c r="K23" s="85" t="b">
        <v>0</v>
      </c>
      <c r="L23" s="85" t="b">
        <v>0</v>
      </c>
    </row>
    <row r="24" spans="1:12" ht="15">
      <c r="A24" s="86" t="s">
        <v>707</v>
      </c>
      <c r="B24" s="85" t="s">
        <v>714</v>
      </c>
      <c r="C24" s="85">
        <v>5</v>
      </c>
      <c r="D24" s="121">
        <v>0.007731081661452764</v>
      </c>
      <c r="E24" s="121">
        <v>1.816083403432362</v>
      </c>
      <c r="F24" s="85" t="s">
        <v>799</v>
      </c>
      <c r="G24" s="85" t="b">
        <v>0</v>
      </c>
      <c r="H24" s="85" t="b">
        <v>0</v>
      </c>
      <c r="I24" s="85" t="b">
        <v>0</v>
      </c>
      <c r="J24" s="85" t="b">
        <v>0</v>
      </c>
      <c r="K24" s="85" t="b">
        <v>0</v>
      </c>
      <c r="L24" s="85" t="b">
        <v>0</v>
      </c>
    </row>
    <row r="25" spans="1:12" ht="15">
      <c r="A25" s="86" t="s">
        <v>719</v>
      </c>
      <c r="B25" s="85" t="s">
        <v>600</v>
      </c>
      <c r="C25" s="85">
        <v>4</v>
      </c>
      <c r="D25" s="121">
        <v>0.006840770662550072</v>
      </c>
      <c r="E25" s="121">
        <v>1.8372727025023003</v>
      </c>
      <c r="F25" s="85" t="s">
        <v>799</v>
      </c>
      <c r="G25" s="85" t="b">
        <v>0</v>
      </c>
      <c r="H25" s="85" t="b">
        <v>0</v>
      </c>
      <c r="I25" s="85" t="b">
        <v>0</v>
      </c>
      <c r="J25" s="85" t="b">
        <v>0</v>
      </c>
      <c r="K25" s="85" t="b">
        <v>0</v>
      </c>
      <c r="L25" s="85" t="b">
        <v>0</v>
      </c>
    </row>
    <row r="26" spans="1:12" ht="15">
      <c r="A26" s="86" t="s">
        <v>756</v>
      </c>
      <c r="B26" s="85" t="s">
        <v>742</v>
      </c>
      <c r="C26" s="85">
        <v>4</v>
      </c>
      <c r="D26" s="121">
        <v>0.006840770662550072</v>
      </c>
      <c r="E26" s="121">
        <v>2.1383026981662816</v>
      </c>
      <c r="F26" s="85" t="s">
        <v>799</v>
      </c>
      <c r="G26" s="85" t="b">
        <v>0</v>
      </c>
      <c r="H26" s="85" t="b">
        <v>0</v>
      </c>
      <c r="I26" s="85" t="b">
        <v>0</v>
      </c>
      <c r="J26" s="85" t="b">
        <v>0</v>
      </c>
      <c r="K26" s="85" t="b">
        <v>0</v>
      </c>
      <c r="L26" s="85" t="b">
        <v>0</v>
      </c>
    </row>
    <row r="27" spans="1:12" ht="15">
      <c r="A27" s="86" t="s">
        <v>757</v>
      </c>
      <c r="B27" s="85" t="s">
        <v>724</v>
      </c>
      <c r="C27" s="85">
        <v>4</v>
      </c>
      <c r="D27" s="121">
        <v>0.006840770662550072</v>
      </c>
      <c r="E27" s="121">
        <v>2.1383026981662816</v>
      </c>
      <c r="F27" s="85" t="s">
        <v>799</v>
      </c>
      <c r="G27" s="85" t="b">
        <v>0</v>
      </c>
      <c r="H27" s="85" t="b">
        <v>0</v>
      </c>
      <c r="I27" s="85" t="b">
        <v>0</v>
      </c>
      <c r="J27" s="85" t="b">
        <v>0</v>
      </c>
      <c r="K27" s="85" t="b">
        <v>0</v>
      </c>
      <c r="L27" s="85" t="b">
        <v>0</v>
      </c>
    </row>
    <row r="28" spans="1:12" ht="15">
      <c r="A28" s="86" t="s">
        <v>754</v>
      </c>
      <c r="B28" s="85" t="s">
        <v>718</v>
      </c>
      <c r="C28" s="85">
        <v>4</v>
      </c>
      <c r="D28" s="121">
        <v>0.006840770662550072</v>
      </c>
      <c r="E28" s="121">
        <v>2.1383026981662816</v>
      </c>
      <c r="F28" s="85" t="s">
        <v>799</v>
      </c>
      <c r="G28" s="85" t="b">
        <v>0</v>
      </c>
      <c r="H28" s="85" t="b">
        <v>0</v>
      </c>
      <c r="I28" s="85" t="b">
        <v>0</v>
      </c>
      <c r="J28" s="85" t="b">
        <v>0</v>
      </c>
      <c r="K28" s="85" t="b">
        <v>0</v>
      </c>
      <c r="L28" s="85" t="b">
        <v>0</v>
      </c>
    </row>
    <row r="29" spans="1:12" ht="15">
      <c r="A29" s="86" t="s">
        <v>727</v>
      </c>
      <c r="B29" s="85" t="s">
        <v>592</v>
      </c>
      <c r="C29" s="85">
        <v>4</v>
      </c>
      <c r="D29" s="121">
        <v>0.006840770662550072</v>
      </c>
      <c r="E29" s="121">
        <v>1.2779646915952878</v>
      </c>
      <c r="F29" s="85" t="s">
        <v>799</v>
      </c>
      <c r="G29" s="85" t="b">
        <v>0</v>
      </c>
      <c r="H29" s="85" t="b">
        <v>0</v>
      </c>
      <c r="I29" s="85" t="b">
        <v>0</v>
      </c>
      <c r="J29" s="85" t="b">
        <v>0</v>
      </c>
      <c r="K29" s="85" t="b">
        <v>0</v>
      </c>
      <c r="L29" s="85" t="b">
        <v>0</v>
      </c>
    </row>
    <row r="30" spans="1:12" ht="15">
      <c r="A30" s="86" t="s">
        <v>739</v>
      </c>
      <c r="B30" s="85" t="s">
        <v>753</v>
      </c>
      <c r="C30" s="85">
        <v>4</v>
      </c>
      <c r="D30" s="121">
        <v>0.006840770662550072</v>
      </c>
      <c r="E30" s="121">
        <v>2.1383026981662816</v>
      </c>
      <c r="F30" s="85" t="s">
        <v>799</v>
      </c>
      <c r="G30" s="85" t="b">
        <v>0</v>
      </c>
      <c r="H30" s="85" t="b">
        <v>0</v>
      </c>
      <c r="I30" s="85" t="b">
        <v>0</v>
      </c>
      <c r="J30" s="85" t="b">
        <v>0</v>
      </c>
      <c r="K30" s="85" t="b">
        <v>0</v>
      </c>
      <c r="L30" s="85" t="b">
        <v>0</v>
      </c>
    </row>
    <row r="31" spans="1:12" ht="15">
      <c r="A31" s="86" t="s">
        <v>740</v>
      </c>
      <c r="B31" s="85" t="s">
        <v>751</v>
      </c>
      <c r="C31" s="85">
        <v>4</v>
      </c>
      <c r="D31" s="121">
        <v>0.006840770662550072</v>
      </c>
      <c r="E31" s="121">
        <v>2.1383026981662816</v>
      </c>
      <c r="F31" s="85" t="s">
        <v>799</v>
      </c>
      <c r="G31" s="85" t="b">
        <v>0</v>
      </c>
      <c r="H31" s="85" t="b">
        <v>0</v>
      </c>
      <c r="I31" s="85" t="b">
        <v>0</v>
      </c>
      <c r="J31" s="85" t="b">
        <v>0</v>
      </c>
      <c r="K31" s="85" t="b">
        <v>0</v>
      </c>
      <c r="L31" s="85" t="b">
        <v>0</v>
      </c>
    </row>
    <row r="32" spans="1:12" ht="15">
      <c r="A32" s="86" t="s">
        <v>732</v>
      </c>
      <c r="B32" s="85" t="s">
        <v>744</v>
      </c>
      <c r="C32" s="85">
        <v>4</v>
      </c>
      <c r="D32" s="121">
        <v>0.006840770662550072</v>
      </c>
      <c r="E32" s="121">
        <v>2.1383026981662816</v>
      </c>
      <c r="F32" s="85" t="s">
        <v>799</v>
      </c>
      <c r="G32" s="85" t="b">
        <v>0</v>
      </c>
      <c r="H32" s="85" t="b">
        <v>0</v>
      </c>
      <c r="I32" s="85" t="b">
        <v>0</v>
      </c>
      <c r="J32" s="85" t="b">
        <v>0</v>
      </c>
      <c r="K32" s="85" t="b">
        <v>0</v>
      </c>
      <c r="L32" s="85" t="b">
        <v>0</v>
      </c>
    </row>
    <row r="33" spans="1:12" ht="15">
      <c r="A33" s="86" t="s">
        <v>746</v>
      </c>
      <c r="B33" s="85" t="s">
        <v>707</v>
      </c>
      <c r="C33" s="85">
        <v>4</v>
      </c>
      <c r="D33" s="121">
        <v>0.006840770662550072</v>
      </c>
      <c r="E33" s="121">
        <v>1.895264649479987</v>
      </c>
      <c r="F33" s="85" t="s">
        <v>799</v>
      </c>
      <c r="G33" s="85" t="b">
        <v>0</v>
      </c>
      <c r="H33" s="85" t="b">
        <v>0</v>
      </c>
      <c r="I33" s="85" t="b">
        <v>0</v>
      </c>
      <c r="J33" s="85" t="b">
        <v>0</v>
      </c>
      <c r="K33" s="85" t="b">
        <v>0</v>
      </c>
      <c r="L33" s="85" t="b">
        <v>0</v>
      </c>
    </row>
    <row r="34" spans="1:12" ht="15">
      <c r="A34" s="86" t="s">
        <v>738</v>
      </c>
      <c r="B34" s="85" t="s">
        <v>756</v>
      </c>
      <c r="C34" s="85">
        <v>4</v>
      </c>
      <c r="D34" s="121">
        <v>0.006840770662550072</v>
      </c>
      <c r="E34" s="121">
        <v>2.1383026981662816</v>
      </c>
      <c r="F34" s="85" t="s">
        <v>799</v>
      </c>
      <c r="G34" s="85" t="b">
        <v>0</v>
      </c>
      <c r="H34" s="85" t="b">
        <v>0</v>
      </c>
      <c r="I34" s="85" t="b">
        <v>0</v>
      </c>
      <c r="J34" s="85" t="b">
        <v>0</v>
      </c>
      <c r="K34" s="85" t="b">
        <v>0</v>
      </c>
      <c r="L34" s="85" t="b">
        <v>0</v>
      </c>
    </row>
    <row r="35" spans="1:12" ht="15">
      <c r="A35" s="86" t="s">
        <v>755</v>
      </c>
      <c r="B35" s="85" t="s">
        <v>733</v>
      </c>
      <c r="C35" s="85">
        <v>4</v>
      </c>
      <c r="D35" s="121">
        <v>0.006840770662550072</v>
      </c>
      <c r="E35" s="121">
        <v>2.1383026981662816</v>
      </c>
      <c r="F35" s="85" t="s">
        <v>799</v>
      </c>
      <c r="G35" s="85" t="b">
        <v>0</v>
      </c>
      <c r="H35" s="85" t="b">
        <v>0</v>
      </c>
      <c r="I35" s="85" t="b">
        <v>0</v>
      </c>
      <c r="J35" s="85" t="b">
        <v>0</v>
      </c>
      <c r="K35" s="85" t="b">
        <v>0</v>
      </c>
      <c r="L35" s="85" t="b">
        <v>0</v>
      </c>
    </row>
    <row r="36" spans="1:12" ht="15">
      <c r="A36" s="86" t="s">
        <v>731</v>
      </c>
      <c r="B36" s="85" t="s">
        <v>737</v>
      </c>
      <c r="C36" s="85">
        <v>4</v>
      </c>
      <c r="D36" s="121">
        <v>0.006840770662550072</v>
      </c>
      <c r="E36" s="121">
        <v>2.1383026981662816</v>
      </c>
      <c r="F36" s="85" t="s">
        <v>799</v>
      </c>
      <c r="G36" s="85" t="b">
        <v>0</v>
      </c>
      <c r="H36" s="85" t="b">
        <v>0</v>
      </c>
      <c r="I36" s="85" t="b">
        <v>0</v>
      </c>
      <c r="J36" s="85" t="b">
        <v>0</v>
      </c>
      <c r="K36" s="85" t="b">
        <v>0</v>
      </c>
      <c r="L36" s="85" t="b">
        <v>0</v>
      </c>
    </row>
    <row r="37" spans="1:12" ht="15">
      <c r="A37" s="86" t="s">
        <v>716</v>
      </c>
      <c r="B37" s="85" t="s">
        <v>750</v>
      </c>
      <c r="C37" s="85">
        <v>4</v>
      </c>
      <c r="D37" s="121">
        <v>0.006840770662550072</v>
      </c>
      <c r="E37" s="121">
        <v>2.041392685158225</v>
      </c>
      <c r="F37" s="85" t="s">
        <v>799</v>
      </c>
      <c r="G37" s="85" t="b">
        <v>0</v>
      </c>
      <c r="H37" s="85" t="b">
        <v>0</v>
      </c>
      <c r="I37" s="85" t="b">
        <v>0</v>
      </c>
      <c r="J37" s="85" t="b">
        <v>0</v>
      </c>
      <c r="K37" s="85" t="b">
        <v>0</v>
      </c>
      <c r="L37" s="85" t="b">
        <v>0</v>
      </c>
    </row>
    <row r="38" spans="1:12" ht="15">
      <c r="A38" s="86" t="s">
        <v>257</v>
      </c>
      <c r="B38" s="85" t="s">
        <v>606</v>
      </c>
      <c r="C38" s="85">
        <v>4</v>
      </c>
      <c r="D38" s="121">
        <v>0.006840770662550072</v>
      </c>
      <c r="E38" s="121">
        <v>2.1383026981662816</v>
      </c>
      <c r="F38" s="85" t="s">
        <v>799</v>
      </c>
      <c r="G38" s="85" t="b">
        <v>0</v>
      </c>
      <c r="H38" s="85" t="b">
        <v>0</v>
      </c>
      <c r="I38" s="85" t="b">
        <v>0</v>
      </c>
      <c r="J38" s="85" t="b">
        <v>0</v>
      </c>
      <c r="K38" s="85" t="b">
        <v>0</v>
      </c>
      <c r="L38" s="85" t="b">
        <v>0</v>
      </c>
    </row>
    <row r="39" spans="1:12" ht="15">
      <c r="A39" s="86" t="s">
        <v>751</v>
      </c>
      <c r="B39" s="85" t="s">
        <v>752</v>
      </c>
      <c r="C39" s="85">
        <v>4</v>
      </c>
      <c r="D39" s="121">
        <v>0.006840770662550072</v>
      </c>
      <c r="E39" s="121">
        <v>2.1383026981662816</v>
      </c>
      <c r="F39" s="85" t="s">
        <v>799</v>
      </c>
      <c r="G39" s="85" t="b">
        <v>0</v>
      </c>
      <c r="H39" s="85" t="b">
        <v>0</v>
      </c>
      <c r="I39" s="85" t="b">
        <v>0</v>
      </c>
      <c r="J39" s="85" t="b">
        <v>0</v>
      </c>
      <c r="K39" s="85" t="b">
        <v>0</v>
      </c>
      <c r="L39" s="85" t="b">
        <v>0</v>
      </c>
    </row>
    <row r="40" spans="1:12" ht="15">
      <c r="A40" s="86" t="s">
        <v>723</v>
      </c>
      <c r="B40" s="85" t="s">
        <v>720</v>
      </c>
      <c r="C40" s="85">
        <v>4</v>
      </c>
      <c r="D40" s="121">
        <v>0.006840770662550072</v>
      </c>
      <c r="E40" s="121">
        <v>2.1383026981662816</v>
      </c>
      <c r="F40" s="85" t="s">
        <v>799</v>
      </c>
      <c r="G40" s="85" t="b">
        <v>0</v>
      </c>
      <c r="H40" s="85" t="b">
        <v>0</v>
      </c>
      <c r="I40" s="85" t="b">
        <v>0</v>
      </c>
      <c r="J40" s="85" t="b">
        <v>0</v>
      </c>
      <c r="K40" s="85" t="b">
        <v>0</v>
      </c>
      <c r="L40" s="85" t="b">
        <v>0</v>
      </c>
    </row>
    <row r="41" spans="1:12" ht="15">
      <c r="A41" s="86" t="s">
        <v>743</v>
      </c>
      <c r="B41" s="85" t="s">
        <v>725</v>
      </c>
      <c r="C41" s="85">
        <v>4</v>
      </c>
      <c r="D41" s="121">
        <v>0.006840770662550072</v>
      </c>
      <c r="E41" s="121">
        <v>2.1383026981662816</v>
      </c>
      <c r="F41" s="85" t="s">
        <v>799</v>
      </c>
      <c r="G41" s="85" t="b">
        <v>0</v>
      </c>
      <c r="H41" s="85" t="b">
        <v>0</v>
      </c>
      <c r="I41" s="85" t="b">
        <v>0</v>
      </c>
      <c r="J41" s="85" t="b">
        <v>0</v>
      </c>
      <c r="K41" s="85" t="b">
        <v>0</v>
      </c>
      <c r="L41" s="85" t="b">
        <v>0</v>
      </c>
    </row>
    <row r="42" spans="1:12" ht="15">
      <c r="A42" s="86" t="s">
        <v>733</v>
      </c>
      <c r="B42" s="85" t="s">
        <v>726</v>
      </c>
      <c r="C42" s="85">
        <v>4</v>
      </c>
      <c r="D42" s="121">
        <v>0.006840770662550072</v>
      </c>
      <c r="E42" s="121">
        <v>2.1383026981662816</v>
      </c>
      <c r="F42" s="85" t="s">
        <v>799</v>
      </c>
      <c r="G42" s="85" t="b">
        <v>0</v>
      </c>
      <c r="H42" s="85" t="b">
        <v>0</v>
      </c>
      <c r="I42" s="85" t="b">
        <v>0</v>
      </c>
      <c r="J42" s="85" t="b">
        <v>0</v>
      </c>
      <c r="K42" s="85" t="b">
        <v>0</v>
      </c>
      <c r="L42" s="85" t="b">
        <v>0</v>
      </c>
    </row>
    <row r="43" spans="1:12" ht="15">
      <c r="A43" s="86" t="s">
        <v>598</v>
      </c>
      <c r="B43" s="85" t="s">
        <v>740</v>
      </c>
      <c r="C43" s="85">
        <v>4</v>
      </c>
      <c r="D43" s="121">
        <v>0.006840770662550072</v>
      </c>
      <c r="E43" s="121">
        <v>1.8372727025023003</v>
      </c>
      <c r="F43" s="85" t="s">
        <v>799</v>
      </c>
      <c r="G43" s="85" t="b">
        <v>0</v>
      </c>
      <c r="H43" s="85" t="b">
        <v>0</v>
      </c>
      <c r="I43" s="85" t="b">
        <v>0</v>
      </c>
      <c r="J43" s="85" t="b">
        <v>0</v>
      </c>
      <c r="K43" s="85" t="b">
        <v>0</v>
      </c>
      <c r="L43" s="85" t="b">
        <v>0</v>
      </c>
    </row>
    <row r="44" spans="1:12" ht="15">
      <c r="A44" s="86" t="s">
        <v>725</v>
      </c>
      <c r="B44" s="85" t="s">
        <v>728</v>
      </c>
      <c r="C44" s="85">
        <v>4</v>
      </c>
      <c r="D44" s="121">
        <v>0.006840770662550072</v>
      </c>
      <c r="E44" s="121">
        <v>2.1383026981662816</v>
      </c>
      <c r="F44" s="85" t="s">
        <v>799</v>
      </c>
      <c r="G44" s="85" t="b">
        <v>0</v>
      </c>
      <c r="H44" s="85" t="b">
        <v>0</v>
      </c>
      <c r="I44" s="85" t="b">
        <v>0</v>
      </c>
      <c r="J44" s="85" t="b">
        <v>0</v>
      </c>
      <c r="K44" s="85" t="b">
        <v>0</v>
      </c>
      <c r="L44" s="85" t="b">
        <v>0</v>
      </c>
    </row>
    <row r="45" spans="1:12" ht="15">
      <c r="A45" s="86" t="s">
        <v>749</v>
      </c>
      <c r="B45" s="85" t="s">
        <v>743</v>
      </c>
      <c r="C45" s="85">
        <v>4</v>
      </c>
      <c r="D45" s="121">
        <v>0.006840770662550072</v>
      </c>
      <c r="E45" s="121">
        <v>2.1383026981662816</v>
      </c>
      <c r="F45" s="85" t="s">
        <v>799</v>
      </c>
      <c r="G45" s="85" t="b">
        <v>0</v>
      </c>
      <c r="H45" s="85" t="b">
        <v>0</v>
      </c>
      <c r="I45" s="85" t="b">
        <v>0</v>
      </c>
      <c r="J45" s="85" t="b">
        <v>0</v>
      </c>
      <c r="K45" s="85" t="b">
        <v>0</v>
      </c>
      <c r="L45" s="85" t="b">
        <v>0</v>
      </c>
    </row>
    <row r="46" spans="1:12" ht="15">
      <c r="A46" s="86" t="s">
        <v>735</v>
      </c>
      <c r="B46" s="85" t="s">
        <v>738</v>
      </c>
      <c r="C46" s="85">
        <v>4</v>
      </c>
      <c r="D46" s="121">
        <v>0.006840770662550072</v>
      </c>
      <c r="E46" s="121">
        <v>2.1383026981662816</v>
      </c>
      <c r="F46" s="85" t="s">
        <v>799</v>
      </c>
      <c r="G46" s="85" t="b">
        <v>0</v>
      </c>
      <c r="H46" s="85" t="b">
        <v>0</v>
      </c>
      <c r="I46" s="85" t="b">
        <v>0</v>
      </c>
      <c r="J46" s="85" t="b">
        <v>0</v>
      </c>
      <c r="K46" s="85" t="b">
        <v>0</v>
      </c>
      <c r="L46" s="85" t="b">
        <v>0</v>
      </c>
    </row>
    <row r="47" spans="1:12" ht="15">
      <c r="A47" s="86" t="s">
        <v>737</v>
      </c>
      <c r="B47" s="85" t="s">
        <v>749</v>
      </c>
      <c r="C47" s="85">
        <v>4</v>
      </c>
      <c r="D47" s="121">
        <v>0.006840770662550072</v>
      </c>
      <c r="E47" s="121">
        <v>2.1383026981662816</v>
      </c>
      <c r="F47" s="85" t="s">
        <v>799</v>
      </c>
      <c r="G47" s="85" t="b">
        <v>0</v>
      </c>
      <c r="H47" s="85" t="b">
        <v>0</v>
      </c>
      <c r="I47" s="85" t="b">
        <v>0</v>
      </c>
      <c r="J47" s="85" t="b">
        <v>0</v>
      </c>
      <c r="K47" s="85" t="b">
        <v>0</v>
      </c>
      <c r="L47" s="85" t="b">
        <v>0</v>
      </c>
    </row>
    <row r="48" spans="1:12" ht="15">
      <c r="A48" s="86" t="s">
        <v>726</v>
      </c>
      <c r="B48" s="85" t="s">
        <v>736</v>
      </c>
      <c r="C48" s="85">
        <v>4</v>
      </c>
      <c r="D48" s="121">
        <v>0.006840770662550072</v>
      </c>
      <c r="E48" s="121">
        <v>2.1383026981662816</v>
      </c>
      <c r="F48" s="85" t="s">
        <v>799</v>
      </c>
      <c r="G48" s="85" t="b">
        <v>0</v>
      </c>
      <c r="H48" s="85" t="b">
        <v>0</v>
      </c>
      <c r="I48" s="85" t="b">
        <v>0</v>
      </c>
      <c r="J48" s="85" t="b">
        <v>0</v>
      </c>
      <c r="K48" s="85" t="b">
        <v>0</v>
      </c>
      <c r="L48" s="85" t="b">
        <v>0</v>
      </c>
    </row>
    <row r="49" spans="1:12" ht="15">
      <c r="A49" s="86" t="s">
        <v>760</v>
      </c>
      <c r="B49" s="85" t="s">
        <v>748</v>
      </c>
      <c r="C49" s="85">
        <v>4</v>
      </c>
      <c r="D49" s="121">
        <v>0.006840770662550072</v>
      </c>
      <c r="E49" s="121">
        <v>2.1383026981662816</v>
      </c>
      <c r="F49" s="85" t="s">
        <v>799</v>
      </c>
      <c r="G49" s="85" t="b">
        <v>0</v>
      </c>
      <c r="H49" s="85" t="b">
        <v>0</v>
      </c>
      <c r="I49" s="85" t="b">
        <v>0</v>
      </c>
      <c r="J49" s="85" t="b">
        <v>0</v>
      </c>
      <c r="K49" s="85" t="b">
        <v>0</v>
      </c>
      <c r="L49" s="85" t="b">
        <v>0</v>
      </c>
    </row>
    <row r="50" spans="1:12" ht="15">
      <c r="A50" s="86" t="s">
        <v>742</v>
      </c>
      <c r="B50" s="85" t="s">
        <v>741</v>
      </c>
      <c r="C50" s="85">
        <v>4</v>
      </c>
      <c r="D50" s="121">
        <v>0.006840770662550072</v>
      </c>
      <c r="E50" s="121">
        <v>2.1383026981662816</v>
      </c>
      <c r="F50" s="85" t="s">
        <v>799</v>
      </c>
      <c r="G50" s="85" t="b">
        <v>0</v>
      </c>
      <c r="H50" s="85" t="b">
        <v>0</v>
      </c>
      <c r="I50" s="85" t="b">
        <v>0</v>
      </c>
      <c r="J50" s="85" t="b">
        <v>0</v>
      </c>
      <c r="K50" s="85" t="b">
        <v>0</v>
      </c>
      <c r="L50" s="85" t="b">
        <v>0</v>
      </c>
    </row>
    <row r="51" spans="1:12" ht="15">
      <c r="A51" s="86" t="s">
        <v>748</v>
      </c>
      <c r="B51" s="85" t="s">
        <v>745</v>
      </c>
      <c r="C51" s="85">
        <v>4</v>
      </c>
      <c r="D51" s="121">
        <v>0.006840770662550072</v>
      </c>
      <c r="E51" s="121">
        <v>2.1383026981662816</v>
      </c>
      <c r="F51" s="85" t="s">
        <v>799</v>
      </c>
      <c r="G51" s="85" t="b">
        <v>0</v>
      </c>
      <c r="H51" s="85" t="b">
        <v>0</v>
      </c>
      <c r="I51" s="85" t="b">
        <v>0</v>
      </c>
      <c r="J51" s="85" t="b">
        <v>0</v>
      </c>
      <c r="K51" s="85" t="b">
        <v>0</v>
      </c>
      <c r="L51" s="85" t="b">
        <v>0</v>
      </c>
    </row>
    <row r="52" spans="1:12" ht="15">
      <c r="A52" s="86" t="s">
        <v>720</v>
      </c>
      <c r="B52" s="85" t="s">
        <v>600</v>
      </c>
      <c r="C52" s="85">
        <v>4</v>
      </c>
      <c r="D52" s="121">
        <v>0.006840770662550072</v>
      </c>
      <c r="E52" s="121">
        <v>1.8372727025023003</v>
      </c>
      <c r="F52" s="85" t="s">
        <v>799</v>
      </c>
      <c r="G52" s="85" t="b">
        <v>0</v>
      </c>
      <c r="H52" s="85" t="b">
        <v>0</v>
      </c>
      <c r="I52" s="85" t="b">
        <v>0</v>
      </c>
      <c r="J52" s="85" t="b">
        <v>0</v>
      </c>
      <c r="K52" s="85" t="b">
        <v>0</v>
      </c>
      <c r="L52" s="85" t="b">
        <v>0</v>
      </c>
    </row>
    <row r="53" spans="1:12" ht="15">
      <c r="A53" s="86" t="s">
        <v>745</v>
      </c>
      <c r="B53" s="85" t="s">
        <v>599</v>
      </c>
      <c r="C53" s="85">
        <v>4</v>
      </c>
      <c r="D53" s="121">
        <v>0.006840770662550072</v>
      </c>
      <c r="E53" s="121">
        <v>1.8372727025023003</v>
      </c>
      <c r="F53" s="85" t="s">
        <v>799</v>
      </c>
      <c r="G53" s="85" t="b">
        <v>0</v>
      </c>
      <c r="H53" s="85" t="b">
        <v>0</v>
      </c>
      <c r="I53" s="85" t="b">
        <v>0</v>
      </c>
      <c r="J53" s="85" t="b">
        <v>0</v>
      </c>
      <c r="K53" s="85" t="b">
        <v>0</v>
      </c>
      <c r="L53" s="85" t="b">
        <v>0</v>
      </c>
    </row>
    <row r="54" spans="1:12" ht="15">
      <c r="A54" s="86" t="s">
        <v>758</v>
      </c>
      <c r="B54" s="85" t="s">
        <v>719</v>
      </c>
      <c r="C54" s="85">
        <v>4</v>
      </c>
      <c r="D54" s="121">
        <v>0.006840770662550072</v>
      </c>
      <c r="E54" s="121">
        <v>2.1383026981662816</v>
      </c>
      <c r="F54" s="85" t="s">
        <v>799</v>
      </c>
      <c r="G54" s="85" t="b">
        <v>0</v>
      </c>
      <c r="H54" s="85" t="b">
        <v>0</v>
      </c>
      <c r="I54" s="85" t="b">
        <v>0</v>
      </c>
      <c r="J54" s="85" t="b">
        <v>0</v>
      </c>
      <c r="K54" s="85" t="b">
        <v>0</v>
      </c>
      <c r="L54" s="85" t="b">
        <v>0</v>
      </c>
    </row>
    <row r="55" spans="1:12" ht="15">
      <c r="A55" s="86" t="s">
        <v>718</v>
      </c>
      <c r="B55" s="85" t="s">
        <v>716</v>
      </c>
      <c r="C55" s="85">
        <v>4</v>
      </c>
      <c r="D55" s="121">
        <v>0.006840770662550072</v>
      </c>
      <c r="E55" s="121">
        <v>2.041392685158225</v>
      </c>
      <c r="F55" s="85" t="s">
        <v>799</v>
      </c>
      <c r="G55" s="85" t="b">
        <v>0</v>
      </c>
      <c r="H55" s="85" t="b">
        <v>0</v>
      </c>
      <c r="I55" s="85" t="b">
        <v>0</v>
      </c>
      <c r="J55" s="85" t="b">
        <v>0</v>
      </c>
      <c r="K55" s="85" t="b">
        <v>0</v>
      </c>
      <c r="L55" s="85" t="b">
        <v>0</v>
      </c>
    </row>
    <row r="56" spans="1:12" ht="15">
      <c r="A56" s="86" t="s">
        <v>600</v>
      </c>
      <c r="B56" s="85" t="s">
        <v>729</v>
      </c>
      <c r="C56" s="85">
        <v>4</v>
      </c>
      <c r="D56" s="121">
        <v>0.006840770662550072</v>
      </c>
      <c r="E56" s="121">
        <v>1.8372727025023003</v>
      </c>
      <c r="F56" s="85" t="s">
        <v>799</v>
      </c>
      <c r="G56" s="85" t="b">
        <v>0</v>
      </c>
      <c r="H56" s="85" t="b">
        <v>0</v>
      </c>
      <c r="I56" s="85" t="b">
        <v>0</v>
      </c>
      <c r="J56" s="85" t="b">
        <v>0</v>
      </c>
      <c r="K56" s="85" t="b">
        <v>0</v>
      </c>
      <c r="L56" s="85" t="b">
        <v>0</v>
      </c>
    </row>
    <row r="57" spans="1:12" ht="15">
      <c r="A57" s="86" t="s">
        <v>714</v>
      </c>
      <c r="B57" s="85" t="s">
        <v>754</v>
      </c>
      <c r="C57" s="85">
        <v>4</v>
      </c>
      <c r="D57" s="121">
        <v>0.006840770662550072</v>
      </c>
      <c r="E57" s="121">
        <v>1.9622114391106003</v>
      </c>
      <c r="F57" s="85" t="s">
        <v>799</v>
      </c>
      <c r="G57" s="85" t="b">
        <v>0</v>
      </c>
      <c r="H57" s="85" t="b">
        <v>0</v>
      </c>
      <c r="I57" s="85" t="b">
        <v>0</v>
      </c>
      <c r="J57" s="85" t="b">
        <v>0</v>
      </c>
      <c r="K57" s="85" t="b">
        <v>0</v>
      </c>
      <c r="L57" s="85" t="b">
        <v>0</v>
      </c>
    </row>
    <row r="58" spans="1:12" ht="15">
      <c r="A58" s="86" t="s">
        <v>736</v>
      </c>
      <c r="B58" s="85" t="s">
        <v>717</v>
      </c>
      <c r="C58" s="85">
        <v>4</v>
      </c>
      <c r="D58" s="121">
        <v>0.006840770662550072</v>
      </c>
      <c r="E58" s="121">
        <v>2.1383026981662816</v>
      </c>
      <c r="F58" s="85" t="s">
        <v>799</v>
      </c>
      <c r="G58" s="85" t="b">
        <v>0</v>
      </c>
      <c r="H58" s="85" t="b">
        <v>0</v>
      </c>
      <c r="I58" s="85" t="b">
        <v>0</v>
      </c>
      <c r="J58" s="85" t="b">
        <v>0</v>
      </c>
      <c r="K58" s="85" t="b">
        <v>0</v>
      </c>
      <c r="L58" s="85" t="b">
        <v>0</v>
      </c>
    </row>
    <row r="59" spans="1:12" ht="15">
      <c r="A59" s="86" t="s">
        <v>753</v>
      </c>
      <c r="B59" s="85" t="s">
        <v>732</v>
      </c>
      <c r="C59" s="85">
        <v>4</v>
      </c>
      <c r="D59" s="121">
        <v>0.006840770662550072</v>
      </c>
      <c r="E59" s="121">
        <v>2.1383026981662816</v>
      </c>
      <c r="F59" s="85" t="s">
        <v>799</v>
      </c>
      <c r="G59" s="85" t="b">
        <v>0</v>
      </c>
      <c r="H59" s="85" t="b">
        <v>0</v>
      </c>
      <c r="I59" s="85" t="b">
        <v>0</v>
      </c>
      <c r="J59" s="85" t="b">
        <v>0</v>
      </c>
      <c r="K59" s="85" t="b">
        <v>0</v>
      </c>
      <c r="L59" s="85" t="b">
        <v>0</v>
      </c>
    </row>
    <row r="60" spans="1:12" ht="15">
      <c r="A60" s="86" t="s">
        <v>750</v>
      </c>
      <c r="B60" s="85" t="s">
        <v>599</v>
      </c>
      <c r="C60" s="85">
        <v>4</v>
      </c>
      <c r="D60" s="121">
        <v>0.006840770662550072</v>
      </c>
      <c r="E60" s="121">
        <v>1.8372727025023003</v>
      </c>
      <c r="F60" s="85" t="s">
        <v>799</v>
      </c>
      <c r="G60" s="85" t="b">
        <v>0</v>
      </c>
      <c r="H60" s="85" t="b">
        <v>0</v>
      </c>
      <c r="I60" s="85" t="b">
        <v>0</v>
      </c>
      <c r="J60" s="85" t="b">
        <v>0</v>
      </c>
      <c r="K60" s="85" t="b">
        <v>0</v>
      </c>
      <c r="L60" s="85" t="b">
        <v>0</v>
      </c>
    </row>
    <row r="61" spans="1:12" ht="15">
      <c r="A61" s="86" t="s">
        <v>592</v>
      </c>
      <c r="B61" s="85" t="s">
        <v>759</v>
      </c>
      <c r="C61" s="85">
        <v>4</v>
      </c>
      <c r="D61" s="121">
        <v>0.006840770662550072</v>
      </c>
      <c r="E61" s="121">
        <v>1.2779646915952878</v>
      </c>
      <c r="F61" s="85" t="s">
        <v>799</v>
      </c>
      <c r="G61" s="85" t="b">
        <v>0</v>
      </c>
      <c r="H61" s="85" t="b">
        <v>0</v>
      </c>
      <c r="I61" s="85" t="b">
        <v>0</v>
      </c>
      <c r="J61" s="85" t="b">
        <v>0</v>
      </c>
      <c r="K61" s="85" t="b">
        <v>0</v>
      </c>
      <c r="L61" s="85" t="b">
        <v>0</v>
      </c>
    </row>
    <row r="62" spans="1:12" ht="15">
      <c r="A62" s="86" t="s">
        <v>256</v>
      </c>
      <c r="B62" s="85" t="s">
        <v>257</v>
      </c>
      <c r="C62" s="85">
        <v>4</v>
      </c>
      <c r="D62" s="121">
        <v>0.006840770662550072</v>
      </c>
      <c r="E62" s="121">
        <v>2.1383026981662816</v>
      </c>
      <c r="F62" s="85" t="s">
        <v>799</v>
      </c>
      <c r="G62" s="85" t="b">
        <v>0</v>
      </c>
      <c r="H62" s="85" t="b">
        <v>0</v>
      </c>
      <c r="I62" s="85" t="b">
        <v>0</v>
      </c>
      <c r="J62" s="85" t="b">
        <v>0</v>
      </c>
      <c r="K62" s="85" t="b">
        <v>0</v>
      </c>
      <c r="L62" s="85" t="b">
        <v>0</v>
      </c>
    </row>
    <row r="63" spans="1:12" ht="15">
      <c r="A63" s="86" t="s">
        <v>598</v>
      </c>
      <c r="B63" s="85" t="s">
        <v>734</v>
      </c>
      <c r="C63" s="85">
        <v>4</v>
      </c>
      <c r="D63" s="121">
        <v>0.006840770662550072</v>
      </c>
      <c r="E63" s="121">
        <v>1.8372727025023003</v>
      </c>
      <c r="F63" s="85" t="s">
        <v>799</v>
      </c>
      <c r="G63" s="85" t="b">
        <v>0</v>
      </c>
      <c r="H63" s="85" t="b">
        <v>0</v>
      </c>
      <c r="I63" s="85" t="b">
        <v>0</v>
      </c>
      <c r="J63" s="85" t="b">
        <v>0</v>
      </c>
      <c r="K63" s="85" t="b">
        <v>0</v>
      </c>
      <c r="L63" s="85" t="b">
        <v>0</v>
      </c>
    </row>
    <row r="64" spans="1:12" ht="15">
      <c r="A64" s="86" t="s">
        <v>715</v>
      </c>
      <c r="B64" s="85" t="s">
        <v>735</v>
      </c>
      <c r="C64" s="85">
        <v>4</v>
      </c>
      <c r="D64" s="121">
        <v>0.006840770662550072</v>
      </c>
      <c r="E64" s="121">
        <v>2.041392685158225</v>
      </c>
      <c r="F64" s="85" t="s">
        <v>799</v>
      </c>
      <c r="G64" s="85" t="b">
        <v>0</v>
      </c>
      <c r="H64" s="85" t="b">
        <v>0</v>
      </c>
      <c r="I64" s="85" t="b">
        <v>0</v>
      </c>
      <c r="J64" s="85" t="b">
        <v>0</v>
      </c>
      <c r="K64" s="85" t="b">
        <v>0</v>
      </c>
      <c r="L64" s="85" t="b">
        <v>0</v>
      </c>
    </row>
    <row r="65" spans="1:12" ht="15">
      <c r="A65" s="86" t="s">
        <v>717</v>
      </c>
      <c r="B65" s="85" t="s">
        <v>591</v>
      </c>
      <c r="C65" s="85">
        <v>4</v>
      </c>
      <c r="D65" s="121">
        <v>0.006840770662550072</v>
      </c>
      <c r="E65" s="121">
        <v>1.172160965427249</v>
      </c>
      <c r="F65" s="85" t="s">
        <v>799</v>
      </c>
      <c r="G65" s="85" t="b">
        <v>0</v>
      </c>
      <c r="H65" s="85" t="b">
        <v>0</v>
      </c>
      <c r="I65" s="85" t="b">
        <v>0</v>
      </c>
      <c r="J65" s="85" t="b">
        <v>0</v>
      </c>
      <c r="K65" s="85" t="b">
        <v>0</v>
      </c>
      <c r="L65" s="85" t="b">
        <v>0</v>
      </c>
    </row>
    <row r="66" spans="1:12" ht="15">
      <c r="A66" s="86" t="s">
        <v>730</v>
      </c>
      <c r="B66" s="85" t="s">
        <v>758</v>
      </c>
      <c r="C66" s="85">
        <v>4</v>
      </c>
      <c r="D66" s="121">
        <v>0.006840770662550072</v>
      </c>
      <c r="E66" s="121">
        <v>2.1383026981662816</v>
      </c>
      <c r="F66" s="85" t="s">
        <v>799</v>
      </c>
      <c r="G66" s="85" t="b">
        <v>0</v>
      </c>
      <c r="H66" s="85" t="b">
        <v>0</v>
      </c>
      <c r="I66" s="85" t="b">
        <v>0</v>
      </c>
      <c r="J66" s="85" t="b">
        <v>0</v>
      </c>
      <c r="K66" s="85" t="b">
        <v>0</v>
      </c>
      <c r="L66" s="85" t="b">
        <v>0</v>
      </c>
    </row>
    <row r="67" spans="1:12" ht="15">
      <c r="A67" s="86" t="s">
        <v>734</v>
      </c>
      <c r="B67" s="85" t="s">
        <v>746</v>
      </c>
      <c r="C67" s="85">
        <v>4</v>
      </c>
      <c r="D67" s="121">
        <v>0.006840770662550072</v>
      </c>
      <c r="E67" s="121">
        <v>2.1383026981662816</v>
      </c>
      <c r="F67" s="85" t="s">
        <v>799</v>
      </c>
      <c r="G67" s="85" t="b">
        <v>0</v>
      </c>
      <c r="H67" s="85" t="b">
        <v>0</v>
      </c>
      <c r="I67" s="85" t="b">
        <v>0</v>
      </c>
      <c r="J67" s="85" t="b">
        <v>0</v>
      </c>
      <c r="K67" s="85" t="b">
        <v>0</v>
      </c>
      <c r="L67" s="85" t="b">
        <v>0</v>
      </c>
    </row>
    <row r="68" spans="1:12" ht="15">
      <c r="A68" s="86" t="s">
        <v>752</v>
      </c>
      <c r="B68" s="85" t="s">
        <v>757</v>
      </c>
      <c r="C68" s="85">
        <v>4</v>
      </c>
      <c r="D68" s="121">
        <v>0.006840770662550072</v>
      </c>
      <c r="E68" s="121">
        <v>2.1383026981662816</v>
      </c>
      <c r="F68" s="85" t="s">
        <v>799</v>
      </c>
      <c r="G68" s="85" t="b">
        <v>0</v>
      </c>
      <c r="H68" s="85" t="b">
        <v>0</v>
      </c>
      <c r="I68" s="85" t="b">
        <v>0</v>
      </c>
      <c r="J68" s="85" t="b">
        <v>0</v>
      </c>
      <c r="K68" s="85" t="b">
        <v>0</v>
      </c>
      <c r="L68" s="85" t="b">
        <v>0</v>
      </c>
    </row>
    <row r="69" spans="1:12" ht="15">
      <c r="A69" s="86" t="s">
        <v>724</v>
      </c>
      <c r="B69" s="85" t="s">
        <v>739</v>
      </c>
      <c r="C69" s="85">
        <v>4</v>
      </c>
      <c r="D69" s="121">
        <v>0.006840770662550072</v>
      </c>
      <c r="E69" s="121">
        <v>2.1383026981662816</v>
      </c>
      <c r="F69" s="85" t="s">
        <v>799</v>
      </c>
      <c r="G69" s="85" t="b">
        <v>0</v>
      </c>
      <c r="H69" s="85" t="b">
        <v>0</v>
      </c>
      <c r="I69" s="85" t="b">
        <v>0</v>
      </c>
      <c r="J69" s="85" t="b">
        <v>0</v>
      </c>
      <c r="K69" s="85" t="b">
        <v>0</v>
      </c>
      <c r="L69" s="85" t="b">
        <v>0</v>
      </c>
    </row>
    <row r="70" spans="1:12" ht="15">
      <c r="A70" s="86" t="s">
        <v>729</v>
      </c>
      <c r="B70" s="85" t="s">
        <v>731</v>
      </c>
      <c r="C70" s="85">
        <v>4</v>
      </c>
      <c r="D70" s="121">
        <v>0.006840770662550072</v>
      </c>
      <c r="E70" s="121">
        <v>2.1383026981662816</v>
      </c>
      <c r="F70" s="85" t="s">
        <v>799</v>
      </c>
      <c r="G70" s="85" t="b">
        <v>0</v>
      </c>
      <c r="H70" s="85" t="b">
        <v>0</v>
      </c>
      <c r="I70" s="85" t="b">
        <v>0</v>
      </c>
      <c r="J70" s="85" t="b">
        <v>0</v>
      </c>
      <c r="K70" s="85" t="b">
        <v>0</v>
      </c>
      <c r="L70" s="85" t="b">
        <v>0</v>
      </c>
    </row>
    <row r="71" spans="1:12" ht="15">
      <c r="A71" s="86" t="s">
        <v>747</v>
      </c>
      <c r="B71" s="85" t="s">
        <v>755</v>
      </c>
      <c r="C71" s="85">
        <v>4</v>
      </c>
      <c r="D71" s="121">
        <v>0.006840770662550072</v>
      </c>
      <c r="E71" s="121">
        <v>2.1383026981662816</v>
      </c>
      <c r="F71" s="85" t="s">
        <v>799</v>
      </c>
      <c r="G71" s="85" t="b">
        <v>0</v>
      </c>
      <c r="H71" s="85" t="b">
        <v>0</v>
      </c>
      <c r="I71" s="85" t="b">
        <v>0</v>
      </c>
      <c r="J71" s="85" t="b">
        <v>0</v>
      </c>
      <c r="K71" s="85" t="b">
        <v>0</v>
      </c>
      <c r="L71" s="85" t="b">
        <v>0</v>
      </c>
    </row>
    <row r="72" spans="1:12" ht="15">
      <c r="A72" s="86" t="s">
        <v>741</v>
      </c>
      <c r="B72" s="85" t="s">
        <v>723</v>
      </c>
      <c r="C72" s="85">
        <v>4</v>
      </c>
      <c r="D72" s="121">
        <v>0.006840770662550072</v>
      </c>
      <c r="E72" s="121">
        <v>2.1383026981662816</v>
      </c>
      <c r="F72" s="85" t="s">
        <v>799</v>
      </c>
      <c r="G72" s="85" t="b">
        <v>0</v>
      </c>
      <c r="H72" s="85" t="b">
        <v>0</v>
      </c>
      <c r="I72" s="85" t="b">
        <v>0</v>
      </c>
      <c r="J72" s="85" t="b">
        <v>0</v>
      </c>
      <c r="K72" s="85" t="b">
        <v>0</v>
      </c>
      <c r="L72" s="85" t="b">
        <v>0</v>
      </c>
    </row>
    <row r="73" spans="1:12" ht="15">
      <c r="A73" s="86" t="s">
        <v>728</v>
      </c>
      <c r="B73" s="85" t="s">
        <v>747</v>
      </c>
      <c r="C73" s="85">
        <v>4</v>
      </c>
      <c r="D73" s="121">
        <v>0.006840770662550072</v>
      </c>
      <c r="E73" s="121">
        <v>2.1383026981662816</v>
      </c>
      <c r="F73" s="85" t="s">
        <v>799</v>
      </c>
      <c r="G73" s="85" t="b">
        <v>0</v>
      </c>
      <c r="H73" s="85" t="b">
        <v>0</v>
      </c>
      <c r="I73" s="85" t="b">
        <v>0</v>
      </c>
      <c r="J73" s="85" t="b">
        <v>0</v>
      </c>
      <c r="K73" s="85" t="b">
        <v>0</v>
      </c>
      <c r="L73" s="85" t="b">
        <v>0</v>
      </c>
    </row>
    <row r="74" spans="1:12" ht="15">
      <c r="A74" s="86" t="s">
        <v>744</v>
      </c>
      <c r="B74" s="85" t="s">
        <v>591</v>
      </c>
      <c r="C74" s="85">
        <v>4</v>
      </c>
      <c r="D74" s="121">
        <v>0.006840770662550072</v>
      </c>
      <c r="E74" s="121">
        <v>1.172160965427249</v>
      </c>
      <c r="F74" s="85" t="s">
        <v>799</v>
      </c>
      <c r="G74" s="85" t="b">
        <v>0</v>
      </c>
      <c r="H74" s="85" t="b">
        <v>0</v>
      </c>
      <c r="I74" s="85" t="b">
        <v>0</v>
      </c>
      <c r="J74" s="85" t="b">
        <v>0</v>
      </c>
      <c r="K74" s="85" t="b">
        <v>0</v>
      </c>
      <c r="L74" s="85" t="b">
        <v>0</v>
      </c>
    </row>
    <row r="75" spans="1:12" ht="15">
      <c r="A75" s="86" t="s">
        <v>773</v>
      </c>
      <c r="B75" s="85" t="s">
        <v>789</v>
      </c>
      <c r="C75" s="85">
        <v>2</v>
      </c>
      <c r="D75" s="121">
        <v>0.004439099360594769</v>
      </c>
      <c r="E75" s="121">
        <v>2.439332693830263</v>
      </c>
      <c r="F75" s="85" t="s">
        <v>799</v>
      </c>
      <c r="G75" s="85" t="b">
        <v>0</v>
      </c>
      <c r="H75" s="85" t="b">
        <v>0</v>
      </c>
      <c r="I75" s="85" t="b">
        <v>0</v>
      </c>
      <c r="J75" s="85" t="b">
        <v>0</v>
      </c>
      <c r="K75" s="85" t="b">
        <v>0</v>
      </c>
      <c r="L75" s="85" t="b">
        <v>0</v>
      </c>
    </row>
    <row r="76" spans="1:12" ht="15">
      <c r="A76" s="86" t="s">
        <v>597</v>
      </c>
      <c r="B76" s="85" t="s">
        <v>730</v>
      </c>
      <c r="C76" s="85">
        <v>2</v>
      </c>
      <c r="D76" s="121">
        <v>0.004439099360594769</v>
      </c>
      <c r="E76" s="121">
        <v>1.536242706838319</v>
      </c>
      <c r="F76" s="85" t="s">
        <v>799</v>
      </c>
      <c r="G76" s="85" t="b">
        <v>0</v>
      </c>
      <c r="H76" s="85" t="b">
        <v>0</v>
      </c>
      <c r="I76" s="85" t="b">
        <v>0</v>
      </c>
      <c r="J76" s="85" t="b">
        <v>0</v>
      </c>
      <c r="K76" s="85" t="b">
        <v>0</v>
      </c>
      <c r="L76" s="85" t="b">
        <v>0</v>
      </c>
    </row>
    <row r="77" spans="1:12" ht="15">
      <c r="A77" s="86" t="s">
        <v>791</v>
      </c>
      <c r="B77" s="85" t="s">
        <v>786</v>
      </c>
      <c r="C77" s="85">
        <v>2</v>
      </c>
      <c r="D77" s="121">
        <v>0.004439099360594769</v>
      </c>
      <c r="E77" s="121">
        <v>2.439332693830263</v>
      </c>
      <c r="F77" s="85" t="s">
        <v>799</v>
      </c>
      <c r="G77" s="85" t="b">
        <v>0</v>
      </c>
      <c r="H77" s="85" t="b">
        <v>0</v>
      </c>
      <c r="I77" s="85" t="b">
        <v>0</v>
      </c>
      <c r="J77" s="85" t="b">
        <v>0</v>
      </c>
      <c r="K77" s="85" t="b">
        <v>0</v>
      </c>
      <c r="L77" s="85" t="b">
        <v>0</v>
      </c>
    </row>
    <row r="78" spans="1:12" ht="15">
      <c r="A78" s="86" t="s">
        <v>772</v>
      </c>
      <c r="B78" s="85" t="s">
        <v>594</v>
      </c>
      <c r="C78" s="85">
        <v>2</v>
      </c>
      <c r="D78" s="121">
        <v>0.004439099360594769</v>
      </c>
      <c r="E78" s="121">
        <v>2.2632414347745815</v>
      </c>
      <c r="F78" s="85" t="s">
        <v>799</v>
      </c>
      <c r="G78" s="85" t="b">
        <v>0</v>
      </c>
      <c r="H78" s="85" t="b">
        <v>0</v>
      </c>
      <c r="I78" s="85" t="b">
        <v>0</v>
      </c>
      <c r="J78" s="85" t="b">
        <v>0</v>
      </c>
      <c r="K78" s="85" t="b">
        <v>0</v>
      </c>
      <c r="L78" s="85" t="b">
        <v>0</v>
      </c>
    </row>
    <row r="79" spans="1:12" ht="15">
      <c r="A79" s="86" t="s">
        <v>783</v>
      </c>
      <c r="B79" s="85" t="s">
        <v>721</v>
      </c>
      <c r="C79" s="85">
        <v>2</v>
      </c>
      <c r="D79" s="121">
        <v>0.004439099360594769</v>
      </c>
      <c r="E79" s="121">
        <v>2.2632414347745815</v>
      </c>
      <c r="F79" s="85" t="s">
        <v>799</v>
      </c>
      <c r="G79" s="85" t="b">
        <v>0</v>
      </c>
      <c r="H79" s="85" t="b">
        <v>0</v>
      </c>
      <c r="I79" s="85" t="b">
        <v>0</v>
      </c>
      <c r="J79" s="85" t="b">
        <v>0</v>
      </c>
      <c r="K79" s="85" t="b">
        <v>0</v>
      </c>
      <c r="L79" s="85" t="b">
        <v>0</v>
      </c>
    </row>
    <row r="80" spans="1:12" ht="15">
      <c r="A80" s="86" t="s">
        <v>759</v>
      </c>
      <c r="B80" s="85" t="s">
        <v>591</v>
      </c>
      <c r="C80" s="85">
        <v>2</v>
      </c>
      <c r="D80" s="121">
        <v>0.004439099360594769</v>
      </c>
      <c r="E80" s="121">
        <v>0.8711309697632676</v>
      </c>
      <c r="F80" s="85" t="s">
        <v>799</v>
      </c>
      <c r="G80" s="85" t="b">
        <v>0</v>
      </c>
      <c r="H80" s="85" t="b">
        <v>0</v>
      </c>
      <c r="I80" s="85" t="b">
        <v>0</v>
      </c>
      <c r="J80" s="85" t="b">
        <v>0</v>
      </c>
      <c r="K80" s="85" t="b">
        <v>0</v>
      </c>
      <c r="L80" s="85" t="b">
        <v>0</v>
      </c>
    </row>
    <row r="81" spans="1:12" ht="15">
      <c r="A81" s="86" t="s">
        <v>762</v>
      </c>
      <c r="B81" s="85" t="s">
        <v>773</v>
      </c>
      <c r="C81" s="85">
        <v>2</v>
      </c>
      <c r="D81" s="121">
        <v>0.004439099360594769</v>
      </c>
      <c r="E81" s="121">
        <v>2.439332693830263</v>
      </c>
      <c r="F81" s="85" t="s">
        <v>799</v>
      </c>
      <c r="G81" s="85" t="b">
        <v>0</v>
      </c>
      <c r="H81" s="85" t="b">
        <v>0</v>
      </c>
      <c r="I81" s="85" t="b">
        <v>0</v>
      </c>
      <c r="J81" s="85" t="b">
        <v>0</v>
      </c>
      <c r="K81" s="85" t="b">
        <v>0</v>
      </c>
      <c r="L81" s="85" t="b">
        <v>0</v>
      </c>
    </row>
    <row r="82" spans="1:12" ht="15">
      <c r="A82" s="86" t="s">
        <v>595</v>
      </c>
      <c r="B82" s="85" t="s">
        <v>722</v>
      </c>
      <c r="C82" s="85">
        <v>2</v>
      </c>
      <c r="D82" s="121">
        <v>0.004439099360594769</v>
      </c>
      <c r="E82" s="121">
        <v>1.8372727025023003</v>
      </c>
      <c r="F82" s="85" t="s">
        <v>799</v>
      </c>
      <c r="G82" s="85" t="b">
        <v>0</v>
      </c>
      <c r="H82" s="85" t="b">
        <v>0</v>
      </c>
      <c r="I82" s="85" t="b">
        <v>0</v>
      </c>
      <c r="J82" s="85" t="b">
        <v>0</v>
      </c>
      <c r="K82" s="85" t="b">
        <v>0</v>
      </c>
      <c r="L82" s="85" t="b">
        <v>0</v>
      </c>
    </row>
    <row r="83" spans="1:12" ht="15">
      <c r="A83" s="86" t="s">
        <v>591</v>
      </c>
      <c r="B83" s="85" t="s">
        <v>730</v>
      </c>
      <c r="C83" s="85">
        <v>2</v>
      </c>
      <c r="D83" s="121">
        <v>0.004439099360594769</v>
      </c>
      <c r="E83" s="121">
        <v>1.2352127111743378</v>
      </c>
      <c r="F83" s="85" t="s">
        <v>799</v>
      </c>
      <c r="G83" s="85" t="b">
        <v>0</v>
      </c>
      <c r="H83" s="85" t="b">
        <v>0</v>
      </c>
      <c r="I83" s="85" t="b">
        <v>0</v>
      </c>
      <c r="J83" s="85" t="b">
        <v>0</v>
      </c>
      <c r="K83" s="85" t="b">
        <v>0</v>
      </c>
      <c r="L83" s="85" t="b">
        <v>0</v>
      </c>
    </row>
    <row r="84" spans="1:12" ht="15">
      <c r="A84" s="86" t="s">
        <v>789</v>
      </c>
      <c r="B84" s="85" t="s">
        <v>771</v>
      </c>
      <c r="C84" s="85">
        <v>2</v>
      </c>
      <c r="D84" s="121">
        <v>0.004439099360594769</v>
      </c>
      <c r="E84" s="121">
        <v>2.439332693830263</v>
      </c>
      <c r="F84" s="85" t="s">
        <v>799</v>
      </c>
      <c r="G84" s="85" t="b">
        <v>0</v>
      </c>
      <c r="H84" s="85" t="b">
        <v>0</v>
      </c>
      <c r="I84" s="85" t="b">
        <v>0</v>
      </c>
      <c r="J84" s="85" t="b">
        <v>0</v>
      </c>
      <c r="K84" s="85" t="b">
        <v>0</v>
      </c>
      <c r="L84" s="85" t="b">
        <v>0</v>
      </c>
    </row>
    <row r="85" spans="1:12" ht="15">
      <c r="A85" s="86" t="s">
        <v>784</v>
      </c>
      <c r="B85" s="85" t="s">
        <v>597</v>
      </c>
      <c r="C85" s="85">
        <v>2</v>
      </c>
      <c r="D85" s="121">
        <v>0.004439099360594769</v>
      </c>
      <c r="E85" s="121">
        <v>1.895264649479987</v>
      </c>
      <c r="F85" s="85" t="s">
        <v>799</v>
      </c>
      <c r="G85" s="85" t="b">
        <v>0</v>
      </c>
      <c r="H85" s="85" t="b">
        <v>0</v>
      </c>
      <c r="I85" s="85" t="b">
        <v>0</v>
      </c>
      <c r="J85" s="85" t="b">
        <v>0</v>
      </c>
      <c r="K85" s="85" t="b">
        <v>0</v>
      </c>
      <c r="L85" s="85" t="b">
        <v>0</v>
      </c>
    </row>
    <row r="86" spans="1:12" ht="15">
      <c r="A86" s="86" t="s">
        <v>793</v>
      </c>
      <c r="B86" s="85" t="s">
        <v>770</v>
      </c>
      <c r="C86" s="85">
        <v>2</v>
      </c>
      <c r="D86" s="121">
        <v>0.004439099360594769</v>
      </c>
      <c r="E86" s="121">
        <v>2.439332693830263</v>
      </c>
      <c r="F86" s="85" t="s">
        <v>799</v>
      </c>
      <c r="G86" s="85" t="b">
        <v>0</v>
      </c>
      <c r="H86" s="85" t="b">
        <v>0</v>
      </c>
      <c r="I86" s="85" t="b">
        <v>0</v>
      </c>
      <c r="J86" s="85" t="b">
        <v>0</v>
      </c>
      <c r="K86" s="85" t="b">
        <v>0</v>
      </c>
      <c r="L86" s="85" t="b">
        <v>0</v>
      </c>
    </row>
    <row r="87" spans="1:12" ht="15">
      <c r="A87" s="86" t="s">
        <v>759</v>
      </c>
      <c r="B87" s="85" t="s">
        <v>782</v>
      </c>
      <c r="C87" s="85">
        <v>2</v>
      </c>
      <c r="D87" s="121">
        <v>0.004439099360594769</v>
      </c>
      <c r="E87" s="121">
        <v>2.1383026981662816</v>
      </c>
      <c r="F87" s="85" t="s">
        <v>799</v>
      </c>
      <c r="G87" s="85" t="b">
        <v>0</v>
      </c>
      <c r="H87" s="85" t="b">
        <v>0</v>
      </c>
      <c r="I87" s="85" t="b">
        <v>0</v>
      </c>
      <c r="J87" s="85" t="b">
        <v>0</v>
      </c>
      <c r="K87" s="85" t="b">
        <v>0</v>
      </c>
      <c r="L87" s="85" t="b">
        <v>0</v>
      </c>
    </row>
    <row r="88" spans="1:12" ht="15">
      <c r="A88" s="86" t="s">
        <v>785</v>
      </c>
      <c r="B88" s="85" t="s">
        <v>761</v>
      </c>
      <c r="C88" s="85">
        <v>2</v>
      </c>
      <c r="D88" s="121">
        <v>0.004439099360594769</v>
      </c>
      <c r="E88" s="121">
        <v>2.439332693830263</v>
      </c>
      <c r="F88" s="85" t="s">
        <v>799</v>
      </c>
      <c r="G88" s="85" t="b">
        <v>0</v>
      </c>
      <c r="H88" s="85" t="b">
        <v>0</v>
      </c>
      <c r="I88" s="85" t="b">
        <v>0</v>
      </c>
      <c r="J88" s="85" t="b">
        <v>0</v>
      </c>
      <c r="K88" s="85" t="b">
        <v>0</v>
      </c>
      <c r="L88" s="85" t="b">
        <v>0</v>
      </c>
    </row>
    <row r="89" spans="1:12" ht="15">
      <c r="A89" s="86" t="s">
        <v>765</v>
      </c>
      <c r="B89" s="85" t="s">
        <v>784</v>
      </c>
      <c r="C89" s="85">
        <v>2</v>
      </c>
      <c r="D89" s="121">
        <v>0.004439099360594769</v>
      </c>
      <c r="E89" s="121">
        <v>2.439332693830263</v>
      </c>
      <c r="F89" s="85" t="s">
        <v>799</v>
      </c>
      <c r="G89" s="85" t="b">
        <v>0</v>
      </c>
      <c r="H89" s="85" t="b">
        <v>0</v>
      </c>
      <c r="I89" s="85" t="b">
        <v>0</v>
      </c>
      <c r="J89" s="85" t="b">
        <v>0</v>
      </c>
      <c r="K89" s="85" t="b">
        <v>0</v>
      </c>
      <c r="L89" s="85" t="b">
        <v>0</v>
      </c>
    </row>
    <row r="90" spans="1:12" ht="15">
      <c r="A90" s="86" t="s">
        <v>707</v>
      </c>
      <c r="B90" s="85" t="s">
        <v>778</v>
      </c>
      <c r="C90" s="85">
        <v>2</v>
      </c>
      <c r="D90" s="121">
        <v>0.004439099360594769</v>
      </c>
      <c r="E90" s="121">
        <v>1.895264649479987</v>
      </c>
      <c r="F90" s="85" t="s">
        <v>799</v>
      </c>
      <c r="G90" s="85" t="b">
        <v>0</v>
      </c>
      <c r="H90" s="85" t="b">
        <v>0</v>
      </c>
      <c r="I90" s="85" t="b">
        <v>0</v>
      </c>
      <c r="J90" s="85" t="b">
        <v>0</v>
      </c>
      <c r="K90" s="85" t="b">
        <v>0</v>
      </c>
      <c r="L90" s="85" t="b">
        <v>0</v>
      </c>
    </row>
    <row r="91" spans="1:12" ht="15">
      <c r="A91" s="86" t="s">
        <v>600</v>
      </c>
      <c r="B91" s="85" t="s">
        <v>591</v>
      </c>
      <c r="C91" s="85">
        <v>2</v>
      </c>
      <c r="D91" s="121">
        <v>0.004439099360594769</v>
      </c>
      <c r="E91" s="121">
        <v>0.5701009740992864</v>
      </c>
      <c r="F91" s="85" t="s">
        <v>799</v>
      </c>
      <c r="G91" s="85" t="b">
        <v>0</v>
      </c>
      <c r="H91" s="85" t="b">
        <v>0</v>
      </c>
      <c r="I91" s="85" t="b">
        <v>0</v>
      </c>
      <c r="J91" s="85" t="b">
        <v>0</v>
      </c>
      <c r="K91" s="85" t="b">
        <v>0</v>
      </c>
      <c r="L91" s="85" t="b">
        <v>0</v>
      </c>
    </row>
    <row r="92" spans="1:12" ht="15">
      <c r="A92" s="86" t="s">
        <v>766</v>
      </c>
      <c r="B92" s="85" t="s">
        <v>791</v>
      </c>
      <c r="C92" s="85">
        <v>2</v>
      </c>
      <c r="D92" s="121">
        <v>0.004439099360594769</v>
      </c>
      <c r="E92" s="121">
        <v>2.439332693830263</v>
      </c>
      <c r="F92" s="85" t="s">
        <v>799</v>
      </c>
      <c r="G92" s="85" t="b">
        <v>0</v>
      </c>
      <c r="H92" s="85" t="b">
        <v>0</v>
      </c>
      <c r="I92" s="85" t="b">
        <v>0</v>
      </c>
      <c r="J92" s="85" t="b">
        <v>0</v>
      </c>
      <c r="K92" s="85" t="b">
        <v>0</v>
      </c>
      <c r="L92" s="85" t="b">
        <v>0</v>
      </c>
    </row>
    <row r="93" spans="1:12" ht="15">
      <c r="A93" s="86" t="s">
        <v>782</v>
      </c>
      <c r="B93" s="85" t="s">
        <v>779</v>
      </c>
      <c r="C93" s="85">
        <v>2</v>
      </c>
      <c r="D93" s="121">
        <v>0.004439099360594769</v>
      </c>
      <c r="E93" s="121">
        <v>2.439332693830263</v>
      </c>
      <c r="F93" s="85" t="s">
        <v>799</v>
      </c>
      <c r="G93" s="85" t="b">
        <v>0</v>
      </c>
      <c r="H93" s="85" t="b">
        <v>0</v>
      </c>
      <c r="I93" s="85" t="b">
        <v>0</v>
      </c>
      <c r="J93" s="85" t="b">
        <v>0</v>
      </c>
      <c r="K93" s="85" t="b">
        <v>0</v>
      </c>
      <c r="L93" s="85" t="b">
        <v>0</v>
      </c>
    </row>
    <row r="94" spans="1:12" ht="15">
      <c r="A94" s="86" t="s">
        <v>780</v>
      </c>
      <c r="B94" s="85" t="s">
        <v>775</v>
      </c>
      <c r="C94" s="85">
        <v>2</v>
      </c>
      <c r="D94" s="121">
        <v>0.004439099360594769</v>
      </c>
      <c r="E94" s="121">
        <v>2.439332693830263</v>
      </c>
      <c r="F94" s="85" t="s">
        <v>799</v>
      </c>
      <c r="G94" s="85" t="b">
        <v>0</v>
      </c>
      <c r="H94" s="85" t="b">
        <v>0</v>
      </c>
      <c r="I94" s="85" t="b">
        <v>0</v>
      </c>
      <c r="J94" s="85" t="b">
        <v>0</v>
      </c>
      <c r="K94" s="85" t="b">
        <v>0</v>
      </c>
      <c r="L94" s="85" t="b">
        <v>0</v>
      </c>
    </row>
    <row r="95" spans="1:12" ht="15">
      <c r="A95" s="86" t="s">
        <v>767</v>
      </c>
      <c r="B95" s="85" t="s">
        <v>776</v>
      </c>
      <c r="C95" s="85">
        <v>2</v>
      </c>
      <c r="D95" s="121">
        <v>0.004439099360594769</v>
      </c>
      <c r="E95" s="121">
        <v>2.439332693830263</v>
      </c>
      <c r="F95" s="85" t="s">
        <v>799</v>
      </c>
      <c r="G95" s="85" t="b">
        <v>0</v>
      </c>
      <c r="H95" s="85" t="b">
        <v>0</v>
      </c>
      <c r="I95" s="85" t="b">
        <v>0</v>
      </c>
      <c r="J95" s="85" t="b">
        <v>0</v>
      </c>
      <c r="K95" s="85" t="b">
        <v>0</v>
      </c>
      <c r="L95" s="85" t="b">
        <v>0</v>
      </c>
    </row>
    <row r="96" spans="1:12" ht="15">
      <c r="A96" s="86" t="s">
        <v>722</v>
      </c>
      <c r="B96" s="85" t="s">
        <v>788</v>
      </c>
      <c r="C96" s="85">
        <v>2</v>
      </c>
      <c r="D96" s="121">
        <v>0.004439099360594769</v>
      </c>
      <c r="E96" s="121">
        <v>2.439332693830263</v>
      </c>
      <c r="F96" s="85" t="s">
        <v>799</v>
      </c>
      <c r="G96" s="85" t="b">
        <v>0</v>
      </c>
      <c r="H96" s="85" t="b">
        <v>0</v>
      </c>
      <c r="I96" s="85" t="b">
        <v>0</v>
      </c>
      <c r="J96" s="85" t="b">
        <v>0</v>
      </c>
      <c r="K96" s="85" t="b">
        <v>0</v>
      </c>
      <c r="L96" s="85" t="b">
        <v>0</v>
      </c>
    </row>
    <row r="97" spans="1:12" ht="15">
      <c r="A97" s="86" t="s">
        <v>763</v>
      </c>
      <c r="B97" s="85" t="s">
        <v>769</v>
      </c>
      <c r="C97" s="85">
        <v>2</v>
      </c>
      <c r="D97" s="121">
        <v>0.004439099360594769</v>
      </c>
      <c r="E97" s="121">
        <v>2.439332693830263</v>
      </c>
      <c r="F97" s="85" t="s">
        <v>799</v>
      </c>
      <c r="G97" s="85" t="b">
        <v>0</v>
      </c>
      <c r="H97" s="85" t="b">
        <v>0</v>
      </c>
      <c r="I97" s="85" t="b">
        <v>0</v>
      </c>
      <c r="J97" s="85" t="b">
        <v>0</v>
      </c>
      <c r="K97" s="85" t="b">
        <v>0</v>
      </c>
      <c r="L97" s="85" t="b">
        <v>0</v>
      </c>
    </row>
    <row r="98" spans="1:12" ht="15">
      <c r="A98" s="86" t="s">
        <v>786</v>
      </c>
      <c r="B98" s="85" t="s">
        <v>772</v>
      </c>
      <c r="C98" s="85">
        <v>2</v>
      </c>
      <c r="D98" s="121">
        <v>0.004439099360594769</v>
      </c>
      <c r="E98" s="121">
        <v>2.439332693830263</v>
      </c>
      <c r="F98" s="85" t="s">
        <v>799</v>
      </c>
      <c r="G98" s="85" t="b">
        <v>0</v>
      </c>
      <c r="H98" s="85" t="b">
        <v>0</v>
      </c>
      <c r="I98" s="85" t="b">
        <v>0</v>
      </c>
      <c r="J98" s="85" t="b">
        <v>0</v>
      </c>
      <c r="K98" s="85" t="b">
        <v>0</v>
      </c>
      <c r="L98" s="85" t="b">
        <v>0</v>
      </c>
    </row>
    <row r="99" spans="1:12" ht="15">
      <c r="A99" s="86" t="s">
        <v>771</v>
      </c>
      <c r="B99" s="85" t="s">
        <v>763</v>
      </c>
      <c r="C99" s="85">
        <v>2</v>
      </c>
      <c r="D99" s="121">
        <v>0.004439099360594769</v>
      </c>
      <c r="E99" s="121">
        <v>2.439332693830263</v>
      </c>
      <c r="F99" s="85" t="s">
        <v>799</v>
      </c>
      <c r="G99" s="85" t="b">
        <v>0</v>
      </c>
      <c r="H99" s="85" t="b">
        <v>0</v>
      </c>
      <c r="I99" s="85" t="b">
        <v>0</v>
      </c>
      <c r="J99" s="85" t="b">
        <v>0</v>
      </c>
      <c r="K99" s="85" t="b">
        <v>0</v>
      </c>
      <c r="L99" s="85" t="b">
        <v>0</v>
      </c>
    </row>
    <row r="100" spans="1:12" ht="15">
      <c r="A100" s="86" t="s">
        <v>594</v>
      </c>
      <c r="B100" s="85" t="s">
        <v>727</v>
      </c>
      <c r="C100" s="85">
        <v>2</v>
      </c>
      <c r="D100" s="121">
        <v>0.004439099360594769</v>
      </c>
      <c r="E100" s="121">
        <v>1.4393326938302626</v>
      </c>
      <c r="F100" s="85" t="s">
        <v>799</v>
      </c>
      <c r="G100" s="85" t="b">
        <v>0</v>
      </c>
      <c r="H100" s="85" t="b">
        <v>0</v>
      </c>
      <c r="I100" s="85" t="b">
        <v>0</v>
      </c>
      <c r="J100" s="85" t="b">
        <v>0</v>
      </c>
      <c r="K100" s="85" t="b">
        <v>0</v>
      </c>
      <c r="L100" s="85" t="b">
        <v>0</v>
      </c>
    </row>
    <row r="101" spans="1:12" ht="15">
      <c r="A101" s="86" t="s">
        <v>775</v>
      </c>
      <c r="B101" s="85" t="s">
        <v>764</v>
      </c>
      <c r="C101" s="85">
        <v>2</v>
      </c>
      <c r="D101" s="121">
        <v>0.004439099360594769</v>
      </c>
      <c r="E101" s="121">
        <v>2.439332693830263</v>
      </c>
      <c r="F101" s="85" t="s">
        <v>799</v>
      </c>
      <c r="G101" s="85" t="b">
        <v>0</v>
      </c>
      <c r="H101" s="85" t="b">
        <v>0</v>
      </c>
      <c r="I101" s="85" t="b">
        <v>0</v>
      </c>
      <c r="J101" s="85" t="b">
        <v>0</v>
      </c>
      <c r="K101" s="85" t="b">
        <v>0</v>
      </c>
      <c r="L101" s="85" t="b">
        <v>0</v>
      </c>
    </row>
    <row r="102" spans="1:12" ht="15">
      <c r="A102" s="86" t="s">
        <v>764</v>
      </c>
      <c r="B102" s="85" t="s">
        <v>767</v>
      </c>
      <c r="C102" s="85">
        <v>2</v>
      </c>
      <c r="D102" s="121">
        <v>0.004439099360594769</v>
      </c>
      <c r="E102" s="121">
        <v>2.439332693830263</v>
      </c>
      <c r="F102" s="85" t="s">
        <v>799</v>
      </c>
      <c r="G102" s="85" t="b">
        <v>0</v>
      </c>
      <c r="H102" s="85" t="b">
        <v>0</v>
      </c>
      <c r="I102" s="85" t="b">
        <v>0</v>
      </c>
      <c r="J102" s="85" t="b">
        <v>0</v>
      </c>
      <c r="K102" s="85" t="b">
        <v>0</v>
      </c>
      <c r="L102" s="85" t="b">
        <v>0</v>
      </c>
    </row>
    <row r="103" spans="1:12" ht="15">
      <c r="A103" s="86" t="s">
        <v>788</v>
      </c>
      <c r="B103" s="85" t="s">
        <v>774</v>
      </c>
      <c r="C103" s="85">
        <v>2</v>
      </c>
      <c r="D103" s="121">
        <v>0.004439099360594769</v>
      </c>
      <c r="E103" s="121">
        <v>2.439332693830263</v>
      </c>
      <c r="F103" s="85" t="s">
        <v>799</v>
      </c>
      <c r="G103" s="85" t="b">
        <v>0</v>
      </c>
      <c r="H103" s="85" t="b">
        <v>0</v>
      </c>
      <c r="I103" s="85" t="b">
        <v>0</v>
      </c>
      <c r="J103" s="85" t="b">
        <v>0</v>
      </c>
      <c r="K103" s="85" t="b">
        <v>0</v>
      </c>
      <c r="L103" s="85" t="b">
        <v>0</v>
      </c>
    </row>
    <row r="104" spans="1:12" ht="15">
      <c r="A104" s="86" t="s">
        <v>776</v>
      </c>
      <c r="B104" s="85" t="s">
        <v>597</v>
      </c>
      <c r="C104" s="85">
        <v>2</v>
      </c>
      <c r="D104" s="121">
        <v>0.004439099360594769</v>
      </c>
      <c r="E104" s="121">
        <v>1.895264649479987</v>
      </c>
      <c r="F104" s="85" t="s">
        <v>799</v>
      </c>
      <c r="G104" s="85" t="b">
        <v>0</v>
      </c>
      <c r="H104" s="85" t="b">
        <v>0</v>
      </c>
      <c r="I104" s="85" t="b">
        <v>0</v>
      </c>
      <c r="J104" s="85" t="b">
        <v>0</v>
      </c>
      <c r="K104" s="85" t="b">
        <v>0</v>
      </c>
      <c r="L104" s="85" t="b">
        <v>0</v>
      </c>
    </row>
    <row r="105" spans="1:12" ht="15">
      <c r="A105" s="86" t="s">
        <v>591</v>
      </c>
      <c r="B105" s="85" t="s">
        <v>783</v>
      </c>
      <c r="C105" s="85">
        <v>2</v>
      </c>
      <c r="D105" s="121">
        <v>0.004439099360594769</v>
      </c>
      <c r="E105" s="121">
        <v>1.536242706838319</v>
      </c>
      <c r="F105" s="85" t="s">
        <v>799</v>
      </c>
      <c r="G105" s="85" t="b">
        <v>0</v>
      </c>
      <c r="H105" s="85" t="b">
        <v>0</v>
      </c>
      <c r="I105" s="85" t="b">
        <v>0</v>
      </c>
      <c r="J105" s="85" t="b">
        <v>0</v>
      </c>
      <c r="K105" s="85" t="b">
        <v>0</v>
      </c>
      <c r="L105" s="85" t="b">
        <v>0</v>
      </c>
    </row>
    <row r="106" spans="1:12" ht="15">
      <c r="A106" s="86" t="s">
        <v>774</v>
      </c>
      <c r="B106" s="85" t="s">
        <v>785</v>
      </c>
      <c r="C106" s="85">
        <v>2</v>
      </c>
      <c r="D106" s="121">
        <v>0.004439099360594769</v>
      </c>
      <c r="E106" s="121">
        <v>2.439332693830263</v>
      </c>
      <c r="F106" s="85" t="s">
        <v>799</v>
      </c>
      <c r="G106" s="85" t="b">
        <v>0</v>
      </c>
      <c r="H106" s="85" t="b">
        <v>0</v>
      </c>
      <c r="I106" s="85" t="b">
        <v>0</v>
      </c>
      <c r="J106" s="85" t="b">
        <v>0</v>
      </c>
      <c r="K106" s="85" t="b">
        <v>0</v>
      </c>
      <c r="L106" s="85" t="b">
        <v>0</v>
      </c>
    </row>
    <row r="107" spans="1:12" ht="15">
      <c r="A107" s="86" t="s">
        <v>593</v>
      </c>
      <c r="B107" s="85" t="s">
        <v>727</v>
      </c>
      <c r="C107" s="85">
        <v>2</v>
      </c>
      <c r="D107" s="121">
        <v>0.004439099360594769</v>
      </c>
      <c r="E107" s="121">
        <v>1.2932046581520247</v>
      </c>
      <c r="F107" s="85" t="s">
        <v>799</v>
      </c>
      <c r="G107" s="85" t="b">
        <v>0</v>
      </c>
      <c r="H107" s="85" t="b">
        <v>0</v>
      </c>
      <c r="I107" s="85" t="b">
        <v>0</v>
      </c>
      <c r="J107" s="85" t="b">
        <v>0</v>
      </c>
      <c r="K107" s="85" t="b">
        <v>0</v>
      </c>
      <c r="L107" s="85" t="b">
        <v>0</v>
      </c>
    </row>
    <row r="108" spans="1:12" ht="15">
      <c r="A108" s="86" t="s">
        <v>597</v>
      </c>
      <c r="B108" s="85" t="s">
        <v>777</v>
      </c>
      <c r="C108" s="85">
        <v>2</v>
      </c>
      <c r="D108" s="121">
        <v>0.005457813389914502</v>
      </c>
      <c r="E108" s="121">
        <v>1.8372727025023003</v>
      </c>
      <c r="F108" s="85" t="s">
        <v>799</v>
      </c>
      <c r="G108" s="85" t="b">
        <v>0</v>
      </c>
      <c r="H108" s="85" t="b">
        <v>0</v>
      </c>
      <c r="I108" s="85" t="b">
        <v>0</v>
      </c>
      <c r="J108" s="85" t="b">
        <v>0</v>
      </c>
      <c r="K108" s="85" t="b">
        <v>0</v>
      </c>
      <c r="L108" s="85" t="b">
        <v>0</v>
      </c>
    </row>
    <row r="109" spans="1:12" ht="15">
      <c r="A109" s="86" t="s">
        <v>597</v>
      </c>
      <c r="B109" s="85" t="s">
        <v>793</v>
      </c>
      <c r="C109" s="85">
        <v>2</v>
      </c>
      <c r="D109" s="121">
        <v>0.004439099360594769</v>
      </c>
      <c r="E109" s="121">
        <v>1.8372727025023003</v>
      </c>
      <c r="F109" s="85" t="s">
        <v>799</v>
      </c>
      <c r="G109" s="85" t="b">
        <v>0</v>
      </c>
      <c r="H109" s="85" t="b">
        <v>0</v>
      </c>
      <c r="I109" s="85" t="b">
        <v>0</v>
      </c>
      <c r="J109" s="85" t="b">
        <v>0</v>
      </c>
      <c r="K109" s="85" t="b">
        <v>0</v>
      </c>
      <c r="L109" s="85" t="b">
        <v>0</v>
      </c>
    </row>
    <row r="110" spans="1:12" ht="15">
      <c r="A110" s="86" t="s">
        <v>600</v>
      </c>
      <c r="B110" s="85" t="s">
        <v>722</v>
      </c>
      <c r="C110" s="85">
        <v>2</v>
      </c>
      <c r="D110" s="121">
        <v>0.004439099360594769</v>
      </c>
      <c r="E110" s="121">
        <v>1.536242706838319</v>
      </c>
      <c r="F110" s="85" t="s">
        <v>799</v>
      </c>
      <c r="G110" s="85" t="b">
        <v>0</v>
      </c>
      <c r="H110" s="85" t="b">
        <v>0</v>
      </c>
      <c r="I110" s="85" t="b">
        <v>0</v>
      </c>
      <c r="J110" s="85" t="b">
        <v>0</v>
      </c>
      <c r="K110" s="85" t="b">
        <v>0</v>
      </c>
      <c r="L110" s="85" t="b">
        <v>0</v>
      </c>
    </row>
    <row r="111" spans="1:12" ht="15">
      <c r="A111" s="86" t="s">
        <v>790</v>
      </c>
      <c r="B111" s="85" t="s">
        <v>781</v>
      </c>
      <c r="C111" s="85">
        <v>2</v>
      </c>
      <c r="D111" s="121">
        <v>0.005457813389914502</v>
      </c>
      <c r="E111" s="121">
        <v>2.439332693830263</v>
      </c>
      <c r="F111" s="85" t="s">
        <v>799</v>
      </c>
      <c r="G111" s="85" t="b">
        <v>0</v>
      </c>
      <c r="H111" s="85" t="b">
        <v>0</v>
      </c>
      <c r="I111" s="85" t="b">
        <v>0</v>
      </c>
      <c r="J111" s="85" t="b">
        <v>0</v>
      </c>
      <c r="K111" s="85" t="b">
        <v>0</v>
      </c>
      <c r="L111" s="85" t="b">
        <v>0</v>
      </c>
    </row>
    <row r="112" spans="1:12" ht="15">
      <c r="A112" s="86" t="s">
        <v>779</v>
      </c>
      <c r="B112" s="85" t="s">
        <v>762</v>
      </c>
      <c r="C112" s="85">
        <v>2</v>
      </c>
      <c r="D112" s="121">
        <v>0.004439099360594769</v>
      </c>
      <c r="E112" s="121">
        <v>2.439332693830263</v>
      </c>
      <c r="F112" s="85" t="s">
        <v>799</v>
      </c>
      <c r="G112" s="85" t="b">
        <v>0</v>
      </c>
      <c r="H112" s="85" t="b">
        <v>0</v>
      </c>
      <c r="I112" s="85" t="b">
        <v>0</v>
      </c>
      <c r="J112" s="85" t="b">
        <v>0</v>
      </c>
      <c r="K112" s="85" t="b">
        <v>0</v>
      </c>
      <c r="L112" s="85" t="b">
        <v>0</v>
      </c>
    </row>
    <row r="113" spans="1:12" ht="15">
      <c r="A113" s="86" t="s">
        <v>770</v>
      </c>
      <c r="B113" s="85" t="s">
        <v>593</v>
      </c>
      <c r="C113" s="85">
        <v>2</v>
      </c>
      <c r="D113" s="121">
        <v>0.004439099360594769</v>
      </c>
      <c r="E113" s="121">
        <v>1.661181443446619</v>
      </c>
      <c r="F113" s="85" t="s">
        <v>799</v>
      </c>
      <c r="G113" s="85" t="b">
        <v>0</v>
      </c>
      <c r="H113" s="85" t="b">
        <v>0</v>
      </c>
      <c r="I113" s="85" t="b">
        <v>0</v>
      </c>
      <c r="J113" s="85" t="b">
        <v>0</v>
      </c>
      <c r="K113" s="85" t="b">
        <v>0</v>
      </c>
      <c r="L113" s="85" t="b">
        <v>0</v>
      </c>
    </row>
    <row r="114" spans="1:12" ht="15">
      <c r="A114" s="86" t="s">
        <v>769</v>
      </c>
      <c r="B114" s="85" t="s">
        <v>707</v>
      </c>
      <c r="C114" s="85">
        <v>2</v>
      </c>
      <c r="D114" s="121">
        <v>0.004439099360594769</v>
      </c>
      <c r="E114" s="121">
        <v>1.895264649479987</v>
      </c>
      <c r="F114" s="85" t="s">
        <v>799</v>
      </c>
      <c r="G114" s="85" t="b">
        <v>0</v>
      </c>
      <c r="H114" s="85" t="b">
        <v>0</v>
      </c>
      <c r="I114" s="85" t="b">
        <v>0</v>
      </c>
      <c r="J114" s="85" t="b">
        <v>0</v>
      </c>
      <c r="K114" s="85" t="b">
        <v>0</v>
      </c>
      <c r="L114" s="85" t="b">
        <v>0</v>
      </c>
    </row>
    <row r="115" spans="1:12" ht="15">
      <c r="A115" s="86" t="s">
        <v>721</v>
      </c>
      <c r="B115" s="85" t="s">
        <v>766</v>
      </c>
      <c r="C115" s="85">
        <v>2</v>
      </c>
      <c r="D115" s="121">
        <v>0.004439099360594769</v>
      </c>
      <c r="E115" s="121">
        <v>2.1383026981662816</v>
      </c>
      <c r="F115" s="85" t="s">
        <v>799</v>
      </c>
      <c r="G115" s="85" t="b">
        <v>0</v>
      </c>
      <c r="H115" s="85" t="b">
        <v>0</v>
      </c>
      <c r="I115" s="85" t="b">
        <v>0</v>
      </c>
      <c r="J115" s="85" t="b">
        <v>0</v>
      </c>
      <c r="K115" s="85" t="b">
        <v>0</v>
      </c>
      <c r="L115" s="85" t="b">
        <v>0</v>
      </c>
    </row>
    <row r="116" spans="1:12" ht="15">
      <c r="A116" s="86" t="s">
        <v>592</v>
      </c>
      <c r="B116" s="85" t="s">
        <v>595</v>
      </c>
      <c r="C116" s="85">
        <v>9</v>
      </c>
      <c r="D116" s="121">
        <v>0.010824603315868831</v>
      </c>
      <c r="E116" s="121">
        <v>1.2502517037282552</v>
      </c>
      <c r="F116" s="85" t="s">
        <v>540</v>
      </c>
      <c r="G116" s="85" t="b">
        <v>0</v>
      </c>
      <c r="H116" s="85" t="b">
        <v>0</v>
      </c>
      <c r="I116" s="85" t="b">
        <v>0</v>
      </c>
      <c r="J116" s="85" t="b">
        <v>0</v>
      </c>
      <c r="K116" s="85" t="b">
        <v>0</v>
      </c>
      <c r="L116" s="85" t="b">
        <v>0</v>
      </c>
    </row>
    <row r="117" spans="1:12" ht="15">
      <c r="A117" s="86" t="s">
        <v>599</v>
      </c>
      <c r="B117" s="85" t="s">
        <v>598</v>
      </c>
      <c r="C117" s="85">
        <v>8</v>
      </c>
      <c r="D117" s="121">
        <v>0.013976733927508608</v>
      </c>
      <c r="E117" s="121">
        <v>1.8095597146352678</v>
      </c>
      <c r="F117" s="85" t="s">
        <v>540</v>
      </c>
      <c r="G117" s="85" t="b">
        <v>0</v>
      </c>
      <c r="H117" s="85" t="b">
        <v>0</v>
      </c>
      <c r="I117" s="85" t="b">
        <v>0</v>
      </c>
      <c r="J117" s="85" t="b">
        <v>0</v>
      </c>
      <c r="K117" s="85" t="b">
        <v>0</v>
      </c>
      <c r="L117" s="85" t="b">
        <v>0</v>
      </c>
    </row>
    <row r="118" spans="1:12" ht="15">
      <c r="A118" s="86" t="s">
        <v>593</v>
      </c>
      <c r="B118" s="85" t="s">
        <v>709</v>
      </c>
      <c r="C118" s="85">
        <v>7</v>
      </c>
      <c r="D118" s="121">
        <v>0.009153211190540989</v>
      </c>
      <c r="E118" s="121">
        <v>1.5665216659489734</v>
      </c>
      <c r="F118" s="85" t="s">
        <v>540</v>
      </c>
      <c r="G118" s="85" t="b">
        <v>0</v>
      </c>
      <c r="H118" s="85" t="b">
        <v>0</v>
      </c>
      <c r="I118" s="85" t="b">
        <v>0</v>
      </c>
      <c r="J118" s="85" t="b">
        <v>0</v>
      </c>
      <c r="K118" s="85" t="b">
        <v>0</v>
      </c>
      <c r="L118" s="85" t="b">
        <v>0</v>
      </c>
    </row>
    <row r="119" spans="1:12" ht="15">
      <c r="A119" s="86" t="s">
        <v>713</v>
      </c>
      <c r="B119" s="85" t="s">
        <v>712</v>
      </c>
      <c r="C119" s="85">
        <v>7</v>
      </c>
      <c r="D119" s="121">
        <v>0.009153211190540989</v>
      </c>
      <c r="E119" s="121">
        <v>1.8675516616129544</v>
      </c>
      <c r="F119" s="85" t="s">
        <v>540</v>
      </c>
      <c r="G119" s="85" t="b">
        <v>0</v>
      </c>
      <c r="H119" s="85" t="b">
        <v>0</v>
      </c>
      <c r="I119" s="85" t="b">
        <v>0</v>
      </c>
      <c r="J119" s="85" t="b">
        <v>0</v>
      </c>
      <c r="K119" s="85" t="b">
        <v>0</v>
      </c>
      <c r="L119" s="85" t="b">
        <v>0</v>
      </c>
    </row>
    <row r="120" spans="1:12" ht="15">
      <c r="A120" s="86" t="s">
        <v>712</v>
      </c>
      <c r="B120" s="85" t="s">
        <v>710</v>
      </c>
      <c r="C120" s="85">
        <v>7</v>
      </c>
      <c r="D120" s="121">
        <v>0.009153211190540989</v>
      </c>
      <c r="E120" s="121">
        <v>1.8675516616129544</v>
      </c>
      <c r="F120" s="85" t="s">
        <v>540</v>
      </c>
      <c r="G120" s="85" t="b">
        <v>0</v>
      </c>
      <c r="H120" s="85" t="b">
        <v>0</v>
      </c>
      <c r="I120" s="85" t="b">
        <v>0</v>
      </c>
      <c r="J120" s="85" t="b">
        <v>1</v>
      </c>
      <c r="K120" s="85" t="b">
        <v>0</v>
      </c>
      <c r="L120" s="85" t="b">
        <v>0</v>
      </c>
    </row>
    <row r="121" spans="1:12" ht="15">
      <c r="A121" s="86" t="s">
        <v>706</v>
      </c>
      <c r="B121" s="85" t="s">
        <v>592</v>
      </c>
      <c r="C121" s="85">
        <v>7</v>
      </c>
      <c r="D121" s="121">
        <v>0.009153211190540989</v>
      </c>
      <c r="E121" s="121">
        <v>1.2502517037282552</v>
      </c>
      <c r="F121" s="85" t="s">
        <v>540</v>
      </c>
      <c r="G121" s="85" t="b">
        <v>0</v>
      </c>
      <c r="H121" s="85" t="b">
        <v>0</v>
      </c>
      <c r="I121" s="85" t="b">
        <v>0</v>
      </c>
      <c r="J121" s="85" t="b">
        <v>0</v>
      </c>
      <c r="K121" s="85" t="b">
        <v>0</v>
      </c>
      <c r="L121" s="85" t="b">
        <v>0</v>
      </c>
    </row>
    <row r="122" spans="1:12" ht="15">
      <c r="A122" s="86" t="s">
        <v>709</v>
      </c>
      <c r="B122" s="85" t="s">
        <v>713</v>
      </c>
      <c r="C122" s="85">
        <v>7</v>
      </c>
      <c r="D122" s="121">
        <v>0.009153211190540989</v>
      </c>
      <c r="E122" s="121">
        <v>1.8675516616129544</v>
      </c>
      <c r="F122" s="85" t="s">
        <v>540</v>
      </c>
      <c r="G122" s="85" t="b">
        <v>0</v>
      </c>
      <c r="H122" s="85" t="b">
        <v>0</v>
      </c>
      <c r="I122" s="85" t="b">
        <v>0</v>
      </c>
      <c r="J122" s="85" t="b">
        <v>0</v>
      </c>
      <c r="K122" s="85" t="b">
        <v>0</v>
      </c>
      <c r="L122" s="85" t="b">
        <v>0</v>
      </c>
    </row>
    <row r="123" spans="1:12" ht="15">
      <c r="A123" s="86" t="s">
        <v>594</v>
      </c>
      <c r="B123" s="85" t="s">
        <v>711</v>
      </c>
      <c r="C123" s="85">
        <v>7</v>
      </c>
      <c r="D123" s="121">
        <v>0.009153211190540989</v>
      </c>
      <c r="E123" s="121">
        <v>1.7126497016272115</v>
      </c>
      <c r="F123" s="85" t="s">
        <v>540</v>
      </c>
      <c r="G123" s="85" t="b">
        <v>0</v>
      </c>
      <c r="H123" s="85" t="b">
        <v>0</v>
      </c>
      <c r="I123" s="85" t="b">
        <v>0</v>
      </c>
      <c r="J123" s="85" t="b">
        <v>0</v>
      </c>
      <c r="K123" s="85" t="b">
        <v>0</v>
      </c>
      <c r="L123" s="85" t="b">
        <v>0</v>
      </c>
    </row>
    <row r="124" spans="1:12" ht="15">
      <c r="A124" s="86" t="s">
        <v>710</v>
      </c>
      <c r="B124" s="85" t="s">
        <v>596</v>
      </c>
      <c r="C124" s="85">
        <v>7</v>
      </c>
      <c r="D124" s="121">
        <v>0.009153211190540989</v>
      </c>
      <c r="E124" s="121">
        <v>1.7584071921878865</v>
      </c>
      <c r="F124" s="85" t="s">
        <v>540</v>
      </c>
      <c r="G124" s="85" t="b">
        <v>1</v>
      </c>
      <c r="H124" s="85" t="b">
        <v>0</v>
      </c>
      <c r="I124" s="85" t="b">
        <v>0</v>
      </c>
      <c r="J124" s="85" t="b">
        <v>0</v>
      </c>
      <c r="K124" s="85" t="b">
        <v>0</v>
      </c>
      <c r="L124" s="85" t="b">
        <v>0</v>
      </c>
    </row>
    <row r="125" spans="1:12" ht="15">
      <c r="A125" s="86" t="s">
        <v>591</v>
      </c>
      <c r="B125" s="85" t="s">
        <v>592</v>
      </c>
      <c r="C125" s="85">
        <v>7</v>
      </c>
      <c r="D125" s="121">
        <v>0.009153211190540989</v>
      </c>
      <c r="E125" s="121">
        <v>0.8912297610865874</v>
      </c>
      <c r="F125" s="85" t="s">
        <v>540</v>
      </c>
      <c r="G125" s="85" t="b">
        <v>0</v>
      </c>
      <c r="H125" s="85" t="b">
        <v>0</v>
      </c>
      <c r="I125" s="85" t="b">
        <v>0</v>
      </c>
      <c r="J125" s="85" t="b">
        <v>0</v>
      </c>
      <c r="K125" s="85" t="b">
        <v>0</v>
      </c>
      <c r="L125" s="85" t="b">
        <v>0</v>
      </c>
    </row>
    <row r="126" spans="1:12" ht="15">
      <c r="A126" s="86" t="s">
        <v>592</v>
      </c>
      <c r="B126" s="85" t="s">
        <v>708</v>
      </c>
      <c r="C126" s="85">
        <v>7</v>
      </c>
      <c r="D126" s="121">
        <v>0.009153211190540989</v>
      </c>
      <c r="E126" s="121">
        <v>1.2502517037282552</v>
      </c>
      <c r="F126" s="85" t="s">
        <v>540</v>
      </c>
      <c r="G126" s="85" t="b">
        <v>0</v>
      </c>
      <c r="H126" s="85" t="b">
        <v>0</v>
      </c>
      <c r="I126" s="85" t="b">
        <v>0</v>
      </c>
      <c r="J126" s="85" t="b">
        <v>0</v>
      </c>
      <c r="K126" s="85" t="b">
        <v>0</v>
      </c>
      <c r="L126" s="85" t="b">
        <v>0</v>
      </c>
    </row>
    <row r="127" spans="1:12" ht="15">
      <c r="A127" s="86" t="s">
        <v>708</v>
      </c>
      <c r="B127" s="85" t="s">
        <v>592</v>
      </c>
      <c r="C127" s="85">
        <v>7</v>
      </c>
      <c r="D127" s="121">
        <v>0.009153211190540989</v>
      </c>
      <c r="E127" s="121">
        <v>1.2502517037282552</v>
      </c>
      <c r="F127" s="85" t="s">
        <v>540</v>
      </c>
      <c r="G127" s="85" t="b">
        <v>0</v>
      </c>
      <c r="H127" s="85" t="b">
        <v>0</v>
      </c>
      <c r="I127" s="85" t="b">
        <v>0</v>
      </c>
      <c r="J127" s="85" t="b">
        <v>0</v>
      </c>
      <c r="K127" s="85" t="b">
        <v>0</v>
      </c>
      <c r="L127" s="85" t="b">
        <v>0</v>
      </c>
    </row>
    <row r="128" spans="1:12" ht="15">
      <c r="A128" s="86" t="s">
        <v>596</v>
      </c>
      <c r="B128" s="85" t="s">
        <v>591</v>
      </c>
      <c r="C128" s="85">
        <v>7</v>
      </c>
      <c r="D128" s="121">
        <v>0.009153211190540989</v>
      </c>
      <c r="E128" s="121">
        <v>1.136143814771637</v>
      </c>
      <c r="F128" s="85" t="s">
        <v>540</v>
      </c>
      <c r="G128" s="85" t="b">
        <v>0</v>
      </c>
      <c r="H128" s="85" t="b">
        <v>0</v>
      </c>
      <c r="I128" s="85" t="b">
        <v>0</v>
      </c>
      <c r="J128" s="85" t="b">
        <v>0</v>
      </c>
      <c r="K128" s="85" t="b">
        <v>0</v>
      </c>
      <c r="L128" s="85" t="b">
        <v>0</v>
      </c>
    </row>
    <row r="129" spans="1:12" ht="15">
      <c r="A129" s="86" t="s">
        <v>711</v>
      </c>
      <c r="B129" s="85" t="s">
        <v>593</v>
      </c>
      <c r="C129" s="85">
        <v>7</v>
      </c>
      <c r="D129" s="121">
        <v>0.009153211190540989</v>
      </c>
      <c r="E129" s="121">
        <v>1.6334684555795864</v>
      </c>
      <c r="F129" s="85" t="s">
        <v>540</v>
      </c>
      <c r="G129" s="85" t="b">
        <v>0</v>
      </c>
      <c r="H129" s="85" t="b">
        <v>0</v>
      </c>
      <c r="I129" s="85" t="b">
        <v>0</v>
      </c>
      <c r="J129" s="85" t="b">
        <v>0</v>
      </c>
      <c r="K129" s="85" t="b">
        <v>0</v>
      </c>
      <c r="L129" s="85" t="b">
        <v>0</v>
      </c>
    </row>
    <row r="130" spans="1:12" ht="15">
      <c r="A130" s="86" t="s">
        <v>592</v>
      </c>
      <c r="B130" s="85" t="s">
        <v>706</v>
      </c>
      <c r="C130" s="85">
        <v>7</v>
      </c>
      <c r="D130" s="121">
        <v>0.009153211190540989</v>
      </c>
      <c r="E130" s="121">
        <v>1.2502517037282552</v>
      </c>
      <c r="F130" s="85" t="s">
        <v>540</v>
      </c>
      <c r="G130" s="85" t="b">
        <v>0</v>
      </c>
      <c r="H130" s="85" t="b">
        <v>0</v>
      </c>
      <c r="I130" s="85" t="b">
        <v>0</v>
      </c>
      <c r="J130" s="85" t="b">
        <v>0</v>
      </c>
      <c r="K130" s="85" t="b">
        <v>0</v>
      </c>
      <c r="L130" s="85" t="b">
        <v>0</v>
      </c>
    </row>
    <row r="131" spans="1:12" ht="15">
      <c r="A131" s="86" t="s">
        <v>707</v>
      </c>
      <c r="B131" s="85" t="s">
        <v>714</v>
      </c>
      <c r="C131" s="85">
        <v>5</v>
      </c>
      <c r="D131" s="121">
        <v>0.007859237972251142</v>
      </c>
      <c r="E131" s="121">
        <v>1.7883704155653297</v>
      </c>
      <c r="F131" s="85" t="s">
        <v>540</v>
      </c>
      <c r="G131" s="85" t="b">
        <v>0</v>
      </c>
      <c r="H131" s="85" t="b">
        <v>0</v>
      </c>
      <c r="I131" s="85" t="b">
        <v>0</v>
      </c>
      <c r="J131" s="85" t="b">
        <v>0</v>
      </c>
      <c r="K131" s="85" t="b">
        <v>0</v>
      </c>
      <c r="L131" s="85" t="b">
        <v>0</v>
      </c>
    </row>
    <row r="132" spans="1:12" ht="15">
      <c r="A132" s="86" t="s">
        <v>719</v>
      </c>
      <c r="B132" s="85" t="s">
        <v>600</v>
      </c>
      <c r="C132" s="85">
        <v>4</v>
      </c>
      <c r="D132" s="121">
        <v>0.006988366963754304</v>
      </c>
      <c r="E132" s="121">
        <v>1.8095597146352678</v>
      </c>
      <c r="F132" s="85" t="s">
        <v>540</v>
      </c>
      <c r="G132" s="85" t="b">
        <v>0</v>
      </c>
      <c r="H132" s="85" t="b">
        <v>0</v>
      </c>
      <c r="I132" s="85" t="b">
        <v>0</v>
      </c>
      <c r="J132" s="85" t="b">
        <v>0</v>
      </c>
      <c r="K132" s="85" t="b">
        <v>0</v>
      </c>
      <c r="L132" s="85" t="b">
        <v>0</v>
      </c>
    </row>
    <row r="133" spans="1:12" ht="15">
      <c r="A133" s="86" t="s">
        <v>756</v>
      </c>
      <c r="B133" s="85" t="s">
        <v>742</v>
      </c>
      <c r="C133" s="85">
        <v>4</v>
      </c>
      <c r="D133" s="121">
        <v>0.006988366963754304</v>
      </c>
      <c r="E133" s="121">
        <v>2.110589710299249</v>
      </c>
      <c r="F133" s="85" t="s">
        <v>540</v>
      </c>
      <c r="G133" s="85" t="b">
        <v>0</v>
      </c>
      <c r="H133" s="85" t="b">
        <v>0</v>
      </c>
      <c r="I133" s="85" t="b">
        <v>0</v>
      </c>
      <c r="J133" s="85" t="b">
        <v>0</v>
      </c>
      <c r="K133" s="85" t="b">
        <v>0</v>
      </c>
      <c r="L133" s="85" t="b">
        <v>0</v>
      </c>
    </row>
    <row r="134" spans="1:12" ht="15">
      <c r="A134" s="86" t="s">
        <v>757</v>
      </c>
      <c r="B134" s="85" t="s">
        <v>724</v>
      </c>
      <c r="C134" s="85">
        <v>4</v>
      </c>
      <c r="D134" s="121">
        <v>0.006988366963754304</v>
      </c>
      <c r="E134" s="121">
        <v>2.110589710299249</v>
      </c>
      <c r="F134" s="85" t="s">
        <v>540</v>
      </c>
      <c r="G134" s="85" t="b">
        <v>0</v>
      </c>
      <c r="H134" s="85" t="b">
        <v>0</v>
      </c>
      <c r="I134" s="85" t="b">
        <v>0</v>
      </c>
      <c r="J134" s="85" t="b">
        <v>0</v>
      </c>
      <c r="K134" s="85" t="b">
        <v>0</v>
      </c>
      <c r="L134" s="85" t="b">
        <v>0</v>
      </c>
    </row>
    <row r="135" spans="1:12" ht="15">
      <c r="A135" s="86" t="s">
        <v>754</v>
      </c>
      <c r="B135" s="85" t="s">
        <v>718</v>
      </c>
      <c r="C135" s="85">
        <v>4</v>
      </c>
      <c r="D135" s="121">
        <v>0.006988366963754304</v>
      </c>
      <c r="E135" s="121">
        <v>2.110589710299249</v>
      </c>
      <c r="F135" s="85" t="s">
        <v>540</v>
      </c>
      <c r="G135" s="85" t="b">
        <v>0</v>
      </c>
      <c r="H135" s="85" t="b">
        <v>0</v>
      </c>
      <c r="I135" s="85" t="b">
        <v>0</v>
      </c>
      <c r="J135" s="85" t="b">
        <v>0</v>
      </c>
      <c r="K135" s="85" t="b">
        <v>0</v>
      </c>
      <c r="L135" s="85" t="b">
        <v>0</v>
      </c>
    </row>
    <row r="136" spans="1:12" ht="15">
      <c r="A136" s="86" t="s">
        <v>727</v>
      </c>
      <c r="B136" s="85" t="s">
        <v>592</v>
      </c>
      <c r="C136" s="85">
        <v>4</v>
      </c>
      <c r="D136" s="121">
        <v>0.006988366963754304</v>
      </c>
      <c r="E136" s="121">
        <v>1.2502517037282552</v>
      </c>
      <c r="F136" s="85" t="s">
        <v>540</v>
      </c>
      <c r="G136" s="85" t="b">
        <v>0</v>
      </c>
      <c r="H136" s="85" t="b">
        <v>0</v>
      </c>
      <c r="I136" s="85" t="b">
        <v>0</v>
      </c>
      <c r="J136" s="85" t="b">
        <v>0</v>
      </c>
      <c r="K136" s="85" t="b">
        <v>0</v>
      </c>
      <c r="L136" s="85" t="b">
        <v>0</v>
      </c>
    </row>
    <row r="137" spans="1:12" ht="15">
      <c r="A137" s="86" t="s">
        <v>739</v>
      </c>
      <c r="B137" s="85" t="s">
        <v>753</v>
      </c>
      <c r="C137" s="85">
        <v>4</v>
      </c>
      <c r="D137" s="121">
        <v>0.006988366963754304</v>
      </c>
      <c r="E137" s="121">
        <v>2.110589710299249</v>
      </c>
      <c r="F137" s="85" t="s">
        <v>540</v>
      </c>
      <c r="G137" s="85" t="b">
        <v>0</v>
      </c>
      <c r="H137" s="85" t="b">
        <v>0</v>
      </c>
      <c r="I137" s="85" t="b">
        <v>0</v>
      </c>
      <c r="J137" s="85" t="b">
        <v>0</v>
      </c>
      <c r="K137" s="85" t="b">
        <v>0</v>
      </c>
      <c r="L137" s="85" t="b">
        <v>0</v>
      </c>
    </row>
    <row r="138" spans="1:12" ht="15">
      <c r="A138" s="86" t="s">
        <v>740</v>
      </c>
      <c r="B138" s="85" t="s">
        <v>751</v>
      </c>
      <c r="C138" s="85">
        <v>4</v>
      </c>
      <c r="D138" s="121">
        <v>0.006988366963754304</v>
      </c>
      <c r="E138" s="121">
        <v>2.110589710299249</v>
      </c>
      <c r="F138" s="85" t="s">
        <v>540</v>
      </c>
      <c r="G138" s="85" t="b">
        <v>0</v>
      </c>
      <c r="H138" s="85" t="b">
        <v>0</v>
      </c>
      <c r="I138" s="85" t="b">
        <v>0</v>
      </c>
      <c r="J138" s="85" t="b">
        <v>0</v>
      </c>
      <c r="K138" s="85" t="b">
        <v>0</v>
      </c>
      <c r="L138" s="85" t="b">
        <v>0</v>
      </c>
    </row>
    <row r="139" spans="1:12" ht="15">
      <c r="A139" s="86" t="s">
        <v>732</v>
      </c>
      <c r="B139" s="85" t="s">
        <v>744</v>
      </c>
      <c r="C139" s="85">
        <v>4</v>
      </c>
      <c r="D139" s="121">
        <v>0.006988366963754304</v>
      </c>
      <c r="E139" s="121">
        <v>2.110589710299249</v>
      </c>
      <c r="F139" s="85" t="s">
        <v>540</v>
      </c>
      <c r="G139" s="85" t="b">
        <v>0</v>
      </c>
      <c r="H139" s="85" t="b">
        <v>0</v>
      </c>
      <c r="I139" s="85" t="b">
        <v>0</v>
      </c>
      <c r="J139" s="85" t="b">
        <v>0</v>
      </c>
      <c r="K139" s="85" t="b">
        <v>0</v>
      </c>
      <c r="L139" s="85" t="b">
        <v>0</v>
      </c>
    </row>
    <row r="140" spans="1:12" ht="15">
      <c r="A140" s="86" t="s">
        <v>746</v>
      </c>
      <c r="B140" s="85" t="s">
        <v>707</v>
      </c>
      <c r="C140" s="85">
        <v>4</v>
      </c>
      <c r="D140" s="121">
        <v>0.006988366963754304</v>
      </c>
      <c r="E140" s="121">
        <v>1.8675516616129544</v>
      </c>
      <c r="F140" s="85" t="s">
        <v>540</v>
      </c>
      <c r="G140" s="85" t="b">
        <v>0</v>
      </c>
      <c r="H140" s="85" t="b">
        <v>0</v>
      </c>
      <c r="I140" s="85" t="b">
        <v>0</v>
      </c>
      <c r="J140" s="85" t="b">
        <v>0</v>
      </c>
      <c r="K140" s="85" t="b">
        <v>0</v>
      </c>
      <c r="L140" s="85" t="b">
        <v>0</v>
      </c>
    </row>
    <row r="141" spans="1:12" ht="15">
      <c r="A141" s="86" t="s">
        <v>738</v>
      </c>
      <c r="B141" s="85" t="s">
        <v>756</v>
      </c>
      <c r="C141" s="85">
        <v>4</v>
      </c>
      <c r="D141" s="121">
        <v>0.006988366963754304</v>
      </c>
      <c r="E141" s="121">
        <v>2.110589710299249</v>
      </c>
      <c r="F141" s="85" t="s">
        <v>540</v>
      </c>
      <c r="G141" s="85" t="b">
        <v>0</v>
      </c>
      <c r="H141" s="85" t="b">
        <v>0</v>
      </c>
      <c r="I141" s="85" t="b">
        <v>0</v>
      </c>
      <c r="J141" s="85" t="b">
        <v>0</v>
      </c>
      <c r="K141" s="85" t="b">
        <v>0</v>
      </c>
      <c r="L141" s="85" t="b">
        <v>0</v>
      </c>
    </row>
    <row r="142" spans="1:12" ht="15">
      <c r="A142" s="86" t="s">
        <v>755</v>
      </c>
      <c r="B142" s="85" t="s">
        <v>733</v>
      </c>
      <c r="C142" s="85">
        <v>4</v>
      </c>
      <c r="D142" s="121">
        <v>0.006988366963754304</v>
      </c>
      <c r="E142" s="121">
        <v>2.110589710299249</v>
      </c>
      <c r="F142" s="85" t="s">
        <v>540</v>
      </c>
      <c r="G142" s="85" t="b">
        <v>0</v>
      </c>
      <c r="H142" s="85" t="b">
        <v>0</v>
      </c>
      <c r="I142" s="85" t="b">
        <v>0</v>
      </c>
      <c r="J142" s="85" t="b">
        <v>0</v>
      </c>
      <c r="K142" s="85" t="b">
        <v>0</v>
      </c>
      <c r="L142" s="85" t="b">
        <v>0</v>
      </c>
    </row>
    <row r="143" spans="1:12" ht="15">
      <c r="A143" s="86" t="s">
        <v>731</v>
      </c>
      <c r="B143" s="85" t="s">
        <v>737</v>
      </c>
      <c r="C143" s="85">
        <v>4</v>
      </c>
      <c r="D143" s="121">
        <v>0.006988366963754304</v>
      </c>
      <c r="E143" s="121">
        <v>2.110589710299249</v>
      </c>
      <c r="F143" s="85" t="s">
        <v>540</v>
      </c>
      <c r="G143" s="85" t="b">
        <v>0</v>
      </c>
      <c r="H143" s="85" t="b">
        <v>0</v>
      </c>
      <c r="I143" s="85" t="b">
        <v>0</v>
      </c>
      <c r="J143" s="85" t="b">
        <v>0</v>
      </c>
      <c r="K143" s="85" t="b">
        <v>0</v>
      </c>
      <c r="L143" s="85" t="b">
        <v>0</v>
      </c>
    </row>
    <row r="144" spans="1:12" ht="15">
      <c r="A144" s="86" t="s">
        <v>716</v>
      </c>
      <c r="B144" s="85" t="s">
        <v>750</v>
      </c>
      <c r="C144" s="85">
        <v>4</v>
      </c>
      <c r="D144" s="121">
        <v>0.006988366963754304</v>
      </c>
      <c r="E144" s="121">
        <v>2.0136796972911926</v>
      </c>
      <c r="F144" s="85" t="s">
        <v>540</v>
      </c>
      <c r="G144" s="85" t="b">
        <v>0</v>
      </c>
      <c r="H144" s="85" t="b">
        <v>0</v>
      </c>
      <c r="I144" s="85" t="b">
        <v>0</v>
      </c>
      <c r="J144" s="85" t="b">
        <v>0</v>
      </c>
      <c r="K144" s="85" t="b">
        <v>0</v>
      </c>
      <c r="L144" s="85" t="b">
        <v>0</v>
      </c>
    </row>
    <row r="145" spans="1:12" ht="15">
      <c r="A145" s="86" t="s">
        <v>751</v>
      </c>
      <c r="B145" s="85" t="s">
        <v>752</v>
      </c>
      <c r="C145" s="85">
        <v>4</v>
      </c>
      <c r="D145" s="121">
        <v>0.006988366963754304</v>
      </c>
      <c r="E145" s="121">
        <v>2.110589710299249</v>
      </c>
      <c r="F145" s="85" t="s">
        <v>540</v>
      </c>
      <c r="G145" s="85" t="b">
        <v>0</v>
      </c>
      <c r="H145" s="85" t="b">
        <v>0</v>
      </c>
      <c r="I145" s="85" t="b">
        <v>0</v>
      </c>
      <c r="J145" s="85" t="b">
        <v>0</v>
      </c>
      <c r="K145" s="85" t="b">
        <v>0</v>
      </c>
      <c r="L145" s="85" t="b">
        <v>0</v>
      </c>
    </row>
    <row r="146" spans="1:12" ht="15">
      <c r="A146" s="86" t="s">
        <v>723</v>
      </c>
      <c r="B146" s="85" t="s">
        <v>720</v>
      </c>
      <c r="C146" s="85">
        <v>4</v>
      </c>
      <c r="D146" s="121">
        <v>0.006988366963754304</v>
      </c>
      <c r="E146" s="121">
        <v>2.110589710299249</v>
      </c>
      <c r="F146" s="85" t="s">
        <v>540</v>
      </c>
      <c r="G146" s="85" t="b">
        <v>0</v>
      </c>
      <c r="H146" s="85" t="b">
        <v>0</v>
      </c>
      <c r="I146" s="85" t="b">
        <v>0</v>
      </c>
      <c r="J146" s="85" t="b">
        <v>0</v>
      </c>
      <c r="K146" s="85" t="b">
        <v>0</v>
      </c>
      <c r="L146" s="85" t="b">
        <v>0</v>
      </c>
    </row>
    <row r="147" spans="1:12" ht="15">
      <c r="A147" s="86" t="s">
        <v>743</v>
      </c>
      <c r="B147" s="85" t="s">
        <v>725</v>
      </c>
      <c r="C147" s="85">
        <v>4</v>
      </c>
      <c r="D147" s="121">
        <v>0.006988366963754304</v>
      </c>
      <c r="E147" s="121">
        <v>2.110589710299249</v>
      </c>
      <c r="F147" s="85" t="s">
        <v>540</v>
      </c>
      <c r="G147" s="85" t="b">
        <v>0</v>
      </c>
      <c r="H147" s="85" t="b">
        <v>0</v>
      </c>
      <c r="I147" s="85" t="b">
        <v>0</v>
      </c>
      <c r="J147" s="85" t="b">
        <v>0</v>
      </c>
      <c r="K147" s="85" t="b">
        <v>0</v>
      </c>
      <c r="L147" s="85" t="b">
        <v>0</v>
      </c>
    </row>
    <row r="148" spans="1:12" ht="15">
      <c r="A148" s="86" t="s">
        <v>733</v>
      </c>
      <c r="B148" s="85" t="s">
        <v>726</v>
      </c>
      <c r="C148" s="85">
        <v>4</v>
      </c>
      <c r="D148" s="121">
        <v>0.006988366963754304</v>
      </c>
      <c r="E148" s="121">
        <v>2.110589710299249</v>
      </c>
      <c r="F148" s="85" t="s">
        <v>540</v>
      </c>
      <c r="G148" s="85" t="b">
        <v>0</v>
      </c>
      <c r="H148" s="85" t="b">
        <v>0</v>
      </c>
      <c r="I148" s="85" t="b">
        <v>0</v>
      </c>
      <c r="J148" s="85" t="b">
        <v>0</v>
      </c>
      <c r="K148" s="85" t="b">
        <v>0</v>
      </c>
      <c r="L148" s="85" t="b">
        <v>0</v>
      </c>
    </row>
    <row r="149" spans="1:12" ht="15">
      <c r="A149" s="86" t="s">
        <v>598</v>
      </c>
      <c r="B149" s="85" t="s">
        <v>740</v>
      </c>
      <c r="C149" s="85">
        <v>4</v>
      </c>
      <c r="D149" s="121">
        <v>0.006988366963754304</v>
      </c>
      <c r="E149" s="121">
        <v>1.8095597146352678</v>
      </c>
      <c r="F149" s="85" t="s">
        <v>540</v>
      </c>
      <c r="G149" s="85" t="b">
        <v>0</v>
      </c>
      <c r="H149" s="85" t="b">
        <v>0</v>
      </c>
      <c r="I149" s="85" t="b">
        <v>0</v>
      </c>
      <c r="J149" s="85" t="b">
        <v>0</v>
      </c>
      <c r="K149" s="85" t="b">
        <v>0</v>
      </c>
      <c r="L149" s="85" t="b">
        <v>0</v>
      </c>
    </row>
    <row r="150" spans="1:12" ht="15">
      <c r="A150" s="86" t="s">
        <v>725</v>
      </c>
      <c r="B150" s="85" t="s">
        <v>728</v>
      </c>
      <c r="C150" s="85">
        <v>4</v>
      </c>
      <c r="D150" s="121">
        <v>0.006988366963754304</v>
      </c>
      <c r="E150" s="121">
        <v>2.110589710299249</v>
      </c>
      <c r="F150" s="85" t="s">
        <v>540</v>
      </c>
      <c r="G150" s="85" t="b">
        <v>0</v>
      </c>
      <c r="H150" s="85" t="b">
        <v>0</v>
      </c>
      <c r="I150" s="85" t="b">
        <v>0</v>
      </c>
      <c r="J150" s="85" t="b">
        <v>0</v>
      </c>
      <c r="K150" s="85" t="b">
        <v>0</v>
      </c>
      <c r="L150" s="85" t="b">
        <v>0</v>
      </c>
    </row>
    <row r="151" spans="1:12" ht="15">
      <c r="A151" s="86" t="s">
        <v>749</v>
      </c>
      <c r="B151" s="85" t="s">
        <v>743</v>
      </c>
      <c r="C151" s="85">
        <v>4</v>
      </c>
      <c r="D151" s="121">
        <v>0.006988366963754304</v>
      </c>
      <c r="E151" s="121">
        <v>2.110589710299249</v>
      </c>
      <c r="F151" s="85" t="s">
        <v>540</v>
      </c>
      <c r="G151" s="85" t="b">
        <v>0</v>
      </c>
      <c r="H151" s="85" t="b">
        <v>0</v>
      </c>
      <c r="I151" s="85" t="b">
        <v>0</v>
      </c>
      <c r="J151" s="85" t="b">
        <v>0</v>
      </c>
      <c r="K151" s="85" t="b">
        <v>0</v>
      </c>
      <c r="L151" s="85" t="b">
        <v>0</v>
      </c>
    </row>
    <row r="152" spans="1:12" ht="15">
      <c r="A152" s="86" t="s">
        <v>735</v>
      </c>
      <c r="B152" s="85" t="s">
        <v>738</v>
      </c>
      <c r="C152" s="85">
        <v>4</v>
      </c>
      <c r="D152" s="121">
        <v>0.006988366963754304</v>
      </c>
      <c r="E152" s="121">
        <v>2.110589710299249</v>
      </c>
      <c r="F152" s="85" t="s">
        <v>540</v>
      </c>
      <c r="G152" s="85" t="b">
        <v>0</v>
      </c>
      <c r="H152" s="85" t="b">
        <v>0</v>
      </c>
      <c r="I152" s="85" t="b">
        <v>0</v>
      </c>
      <c r="J152" s="85" t="b">
        <v>0</v>
      </c>
      <c r="K152" s="85" t="b">
        <v>0</v>
      </c>
      <c r="L152" s="85" t="b">
        <v>0</v>
      </c>
    </row>
    <row r="153" spans="1:12" ht="15">
      <c r="A153" s="86" t="s">
        <v>737</v>
      </c>
      <c r="B153" s="85" t="s">
        <v>749</v>
      </c>
      <c r="C153" s="85">
        <v>4</v>
      </c>
      <c r="D153" s="121">
        <v>0.006988366963754304</v>
      </c>
      <c r="E153" s="121">
        <v>2.110589710299249</v>
      </c>
      <c r="F153" s="85" t="s">
        <v>540</v>
      </c>
      <c r="G153" s="85" t="b">
        <v>0</v>
      </c>
      <c r="H153" s="85" t="b">
        <v>0</v>
      </c>
      <c r="I153" s="85" t="b">
        <v>0</v>
      </c>
      <c r="J153" s="85" t="b">
        <v>0</v>
      </c>
      <c r="K153" s="85" t="b">
        <v>0</v>
      </c>
      <c r="L153" s="85" t="b">
        <v>0</v>
      </c>
    </row>
    <row r="154" spans="1:12" ht="15">
      <c r="A154" s="86" t="s">
        <v>726</v>
      </c>
      <c r="B154" s="85" t="s">
        <v>736</v>
      </c>
      <c r="C154" s="85">
        <v>4</v>
      </c>
      <c r="D154" s="121">
        <v>0.006988366963754304</v>
      </c>
      <c r="E154" s="121">
        <v>2.110589710299249</v>
      </c>
      <c r="F154" s="85" t="s">
        <v>540</v>
      </c>
      <c r="G154" s="85" t="b">
        <v>0</v>
      </c>
      <c r="H154" s="85" t="b">
        <v>0</v>
      </c>
      <c r="I154" s="85" t="b">
        <v>0</v>
      </c>
      <c r="J154" s="85" t="b">
        <v>0</v>
      </c>
      <c r="K154" s="85" t="b">
        <v>0</v>
      </c>
      <c r="L154" s="85" t="b">
        <v>0</v>
      </c>
    </row>
    <row r="155" spans="1:12" ht="15">
      <c r="A155" s="86" t="s">
        <v>760</v>
      </c>
      <c r="B155" s="85" t="s">
        <v>748</v>
      </c>
      <c r="C155" s="85">
        <v>4</v>
      </c>
      <c r="D155" s="121">
        <v>0.006988366963754304</v>
      </c>
      <c r="E155" s="121">
        <v>2.110589710299249</v>
      </c>
      <c r="F155" s="85" t="s">
        <v>540</v>
      </c>
      <c r="G155" s="85" t="b">
        <v>0</v>
      </c>
      <c r="H155" s="85" t="b">
        <v>0</v>
      </c>
      <c r="I155" s="85" t="b">
        <v>0</v>
      </c>
      <c r="J155" s="85" t="b">
        <v>0</v>
      </c>
      <c r="K155" s="85" t="b">
        <v>0</v>
      </c>
      <c r="L155" s="85" t="b">
        <v>0</v>
      </c>
    </row>
    <row r="156" spans="1:12" ht="15">
      <c r="A156" s="86" t="s">
        <v>742</v>
      </c>
      <c r="B156" s="85" t="s">
        <v>741</v>
      </c>
      <c r="C156" s="85">
        <v>4</v>
      </c>
      <c r="D156" s="121">
        <v>0.006988366963754304</v>
      </c>
      <c r="E156" s="121">
        <v>2.110589710299249</v>
      </c>
      <c r="F156" s="85" t="s">
        <v>540</v>
      </c>
      <c r="G156" s="85" t="b">
        <v>0</v>
      </c>
      <c r="H156" s="85" t="b">
        <v>0</v>
      </c>
      <c r="I156" s="85" t="b">
        <v>0</v>
      </c>
      <c r="J156" s="85" t="b">
        <v>0</v>
      </c>
      <c r="K156" s="85" t="b">
        <v>0</v>
      </c>
      <c r="L156" s="85" t="b">
        <v>0</v>
      </c>
    </row>
    <row r="157" spans="1:12" ht="15">
      <c r="A157" s="86" t="s">
        <v>748</v>
      </c>
      <c r="B157" s="85" t="s">
        <v>745</v>
      </c>
      <c r="C157" s="85">
        <v>4</v>
      </c>
      <c r="D157" s="121">
        <v>0.006988366963754304</v>
      </c>
      <c r="E157" s="121">
        <v>2.110589710299249</v>
      </c>
      <c r="F157" s="85" t="s">
        <v>540</v>
      </c>
      <c r="G157" s="85" t="b">
        <v>0</v>
      </c>
      <c r="H157" s="85" t="b">
        <v>0</v>
      </c>
      <c r="I157" s="85" t="b">
        <v>0</v>
      </c>
      <c r="J157" s="85" t="b">
        <v>0</v>
      </c>
      <c r="K157" s="85" t="b">
        <v>0</v>
      </c>
      <c r="L157" s="85" t="b">
        <v>0</v>
      </c>
    </row>
    <row r="158" spans="1:12" ht="15">
      <c r="A158" s="86" t="s">
        <v>720</v>
      </c>
      <c r="B158" s="85" t="s">
        <v>600</v>
      </c>
      <c r="C158" s="85">
        <v>4</v>
      </c>
      <c r="D158" s="121">
        <v>0.006988366963754304</v>
      </c>
      <c r="E158" s="121">
        <v>1.8095597146352678</v>
      </c>
      <c r="F158" s="85" t="s">
        <v>540</v>
      </c>
      <c r="G158" s="85" t="b">
        <v>0</v>
      </c>
      <c r="H158" s="85" t="b">
        <v>0</v>
      </c>
      <c r="I158" s="85" t="b">
        <v>0</v>
      </c>
      <c r="J158" s="85" t="b">
        <v>0</v>
      </c>
      <c r="K158" s="85" t="b">
        <v>0</v>
      </c>
      <c r="L158" s="85" t="b">
        <v>0</v>
      </c>
    </row>
    <row r="159" spans="1:12" ht="15">
      <c r="A159" s="86" t="s">
        <v>745</v>
      </c>
      <c r="B159" s="85" t="s">
        <v>599</v>
      </c>
      <c r="C159" s="85">
        <v>4</v>
      </c>
      <c r="D159" s="121">
        <v>0.006988366963754304</v>
      </c>
      <c r="E159" s="121">
        <v>1.8095597146352678</v>
      </c>
      <c r="F159" s="85" t="s">
        <v>540</v>
      </c>
      <c r="G159" s="85" t="b">
        <v>0</v>
      </c>
      <c r="H159" s="85" t="b">
        <v>0</v>
      </c>
      <c r="I159" s="85" t="b">
        <v>0</v>
      </c>
      <c r="J159" s="85" t="b">
        <v>0</v>
      </c>
      <c r="K159" s="85" t="b">
        <v>0</v>
      </c>
      <c r="L159" s="85" t="b">
        <v>0</v>
      </c>
    </row>
    <row r="160" spans="1:12" ht="15">
      <c r="A160" s="86" t="s">
        <v>758</v>
      </c>
      <c r="B160" s="85" t="s">
        <v>719</v>
      </c>
      <c r="C160" s="85">
        <v>4</v>
      </c>
      <c r="D160" s="121">
        <v>0.006988366963754304</v>
      </c>
      <c r="E160" s="121">
        <v>2.110589710299249</v>
      </c>
      <c r="F160" s="85" t="s">
        <v>540</v>
      </c>
      <c r="G160" s="85" t="b">
        <v>0</v>
      </c>
      <c r="H160" s="85" t="b">
        <v>0</v>
      </c>
      <c r="I160" s="85" t="b">
        <v>0</v>
      </c>
      <c r="J160" s="85" t="b">
        <v>0</v>
      </c>
      <c r="K160" s="85" t="b">
        <v>0</v>
      </c>
      <c r="L160" s="85" t="b">
        <v>0</v>
      </c>
    </row>
    <row r="161" spans="1:12" ht="15">
      <c r="A161" s="86" t="s">
        <v>718</v>
      </c>
      <c r="B161" s="85" t="s">
        <v>716</v>
      </c>
      <c r="C161" s="85">
        <v>4</v>
      </c>
      <c r="D161" s="121">
        <v>0.006988366963754304</v>
      </c>
      <c r="E161" s="121">
        <v>2.0136796972911926</v>
      </c>
      <c r="F161" s="85" t="s">
        <v>540</v>
      </c>
      <c r="G161" s="85" t="b">
        <v>0</v>
      </c>
      <c r="H161" s="85" t="b">
        <v>0</v>
      </c>
      <c r="I161" s="85" t="b">
        <v>0</v>
      </c>
      <c r="J161" s="85" t="b">
        <v>0</v>
      </c>
      <c r="K161" s="85" t="b">
        <v>0</v>
      </c>
      <c r="L161" s="85" t="b">
        <v>0</v>
      </c>
    </row>
    <row r="162" spans="1:12" ht="15">
      <c r="A162" s="86" t="s">
        <v>600</v>
      </c>
      <c r="B162" s="85" t="s">
        <v>729</v>
      </c>
      <c r="C162" s="85">
        <v>4</v>
      </c>
      <c r="D162" s="121">
        <v>0.006988366963754304</v>
      </c>
      <c r="E162" s="121">
        <v>1.8095597146352678</v>
      </c>
      <c r="F162" s="85" t="s">
        <v>540</v>
      </c>
      <c r="G162" s="85" t="b">
        <v>0</v>
      </c>
      <c r="H162" s="85" t="b">
        <v>0</v>
      </c>
      <c r="I162" s="85" t="b">
        <v>0</v>
      </c>
      <c r="J162" s="85" t="b">
        <v>0</v>
      </c>
      <c r="K162" s="85" t="b">
        <v>0</v>
      </c>
      <c r="L162" s="85" t="b">
        <v>0</v>
      </c>
    </row>
    <row r="163" spans="1:12" ht="15">
      <c r="A163" s="86" t="s">
        <v>714</v>
      </c>
      <c r="B163" s="85" t="s">
        <v>754</v>
      </c>
      <c r="C163" s="85">
        <v>4</v>
      </c>
      <c r="D163" s="121">
        <v>0.006988366963754304</v>
      </c>
      <c r="E163" s="121">
        <v>1.9344984512435677</v>
      </c>
      <c r="F163" s="85" t="s">
        <v>540</v>
      </c>
      <c r="G163" s="85" t="b">
        <v>0</v>
      </c>
      <c r="H163" s="85" t="b">
        <v>0</v>
      </c>
      <c r="I163" s="85" t="b">
        <v>0</v>
      </c>
      <c r="J163" s="85" t="b">
        <v>0</v>
      </c>
      <c r="K163" s="85" t="b">
        <v>0</v>
      </c>
      <c r="L163" s="85" t="b">
        <v>0</v>
      </c>
    </row>
    <row r="164" spans="1:12" ht="15">
      <c r="A164" s="86" t="s">
        <v>736</v>
      </c>
      <c r="B164" s="85" t="s">
        <v>717</v>
      </c>
      <c r="C164" s="85">
        <v>4</v>
      </c>
      <c r="D164" s="121">
        <v>0.006988366963754304</v>
      </c>
      <c r="E164" s="121">
        <v>2.110589710299249</v>
      </c>
      <c r="F164" s="85" t="s">
        <v>540</v>
      </c>
      <c r="G164" s="85" t="b">
        <v>0</v>
      </c>
      <c r="H164" s="85" t="b">
        <v>0</v>
      </c>
      <c r="I164" s="85" t="b">
        <v>0</v>
      </c>
      <c r="J164" s="85" t="b">
        <v>0</v>
      </c>
      <c r="K164" s="85" t="b">
        <v>0</v>
      </c>
      <c r="L164" s="85" t="b">
        <v>0</v>
      </c>
    </row>
    <row r="165" spans="1:12" ht="15">
      <c r="A165" s="86" t="s">
        <v>753</v>
      </c>
      <c r="B165" s="85" t="s">
        <v>732</v>
      </c>
      <c r="C165" s="85">
        <v>4</v>
      </c>
      <c r="D165" s="121">
        <v>0.006988366963754304</v>
      </c>
      <c r="E165" s="121">
        <v>2.110589710299249</v>
      </c>
      <c r="F165" s="85" t="s">
        <v>540</v>
      </c>
      <c r="G165" s="85" t="b">
        <v>0</v>
      </c>
      <c r="H165" s="85" t="b">
        <v>0</v>
      </c>
      <c r="I165" s="85" t="b">
        <v>0</v>
      </c>
      <c r="J165" s="85" t="b">
        <v>0</v>
      </c>
      <c r="K165" s="85" t="b">
        <v>0</v>
      </c>
      <c r="L165" s="85" t="b">
        <v>0</v>
      </c>
    </row>
    <row r="166" spans="1:12" ht="15">
      <c r="A166" s="86" t="s">
        <v>750</v>
      </c>
      <c r="B166" s="85" t="s">
        <v>599</v>
      </c>
      <c r="C166" s="85">
        <v>4</v>
      </c>
      <c r="D166" s="121">
        <v>0.006988366963754304</v>
      </c>
      <c r="E166" s="121">
        <v>1.8095597146352678</v>
      </c>
      <c r="F166" s="85" t="s">
        <v>540</v>
      </c>
      <c r="G166" s="85" t="b">
        <v>0</v>
      </c>
      <c r="H166" s="85" t="b">
        <v>0</v>
      </c>
      <c r="I166" s="85" t="b">
        <v>0</v>
      </c>
      <c r="J166" s="85" t="b">
        <v>0</v>
      </c>
      <c r="K166" s="85" t="b">
        <v>0</v>
      </c>
      <c r="L166" s="85" t="b">
        <v>0</v>
      </c>
    </row>
    <row r="167" spans="1:12" ht="15">
      <c r="A167" s="86" t="s">
        <v>592</v>
      </c>
      <c r="B167" s="85" t="s">
        <v>759</v>
      </c>
      <c r="C167" s="85">
        <v>4</v>
      </c>
      <c r="D167" s="121">
        <v>0.006988366963754304</v>
      </c>
      <c r="E167" s="121">
        <v>1.2502517037282552</v>
      </c>
      <c r="F167" s="85" t="s">
        <v>540</v>
      </c>
      <c r="G167" s="85" t="b">
        <v>0</v>
      </c>
      <c r="H167" s="85" t="b">
        <v>0</v>
      </c>
      <c r="I167" s="85" t="b">
        <v>0</v>
      </c>
      <c r="J167" s="85" t="b">
        <v>0</v>
      </c>
      <c r="K167" s="85" t="b">
        <v>0</v>
      </c>
      <c r="L167" s="85" t="b">
        <v>0</v>
      </c>
    </row>
    <row r="168" spans="1:12" ht="15">
      <c r="A168" s="86" t="s">
        <v>598</v>
      </c>
      <c r="B168" s="85" t="s">
        <v>734</v>
      </c>
      <c r="C168" s="85">
        <v>4</v>
      </c>
      <c r="D168" s="121">
        <v>0.006988366963754304</v>
      </c>
      <c r="E168" s="121">
        <v>1.8095597146352678</v>
      </c>
      <c r="F168" s="85" t="s">
        <v>540</v>
      </c>
      <c r="G168" s="85" t="b">
        <v>0</v>
      </c>
      <c r="H168" s="85" t="b">
        <v>0</v>
      </c>
      <c r="I168" s="85" t="b">
        <v>0</v>
      </c>
      <c r="J168" s="85" t="b">
        <v>0</v>
      </c>
      <c r="K168" s="85" t="b">
        <v>0</v>
      </c>
      <c r="L168" s="85" t="b">
        <v>0</v>
      </c>
    </row>
    <row r="169" spans="1:12" ht="15">
      <c r="A169" s="86" t="s">
        <v>715</v>
      </c>
      <c r="B169" s="85" t="s">
        <v>735</v>
      </c>
      <c r="C169" s="85">
        <v>4</v>
      </c>
      <c r="D169" s="121">
        <v>0.006988366963754304</v>
      </c>
      <c r="E169" s="121">
        <v>2.0136796972911926</v>
      </c>
      <c r="F169" s="85" t="s">
        <v>540</v>
      </c>
      <c r="G169" s="85" t="b">
        <v>0</v>
      </c>
      <c r="H169" s="85" t="b">
        <v>0</v>
      </c>
      <c r="I169" s="85" t="b">
        <v>0</v>
      </c>
      <c r="J169" s="85" t="b">
        <v>0</v>
      </c>
      <c r="K169" s="85" t="b">
        <v>0</v>
      </c>
      <c r="L169" s="85" t="b">
        <v>0</v>
      </c>
    </row>
    <row r="170" spans="1:12" ht="15">
      <c r="A170" s="86" t="s">
        <v>717</v>
      </c>
      <c r="B170" s="85" t="s">
        <v>591</v>
      </c>
      <c r="C170" s="85">
        <v>4</v>
      </c>
      <c r="D170" s="121">
        <v>0.006988366963754304</v>
      </c>
      <c r="E170" s="121">
        <v>1.1941357617493238</v>
      </c>
      <c r="F170" s="85" t="s">
        <v>540</v>
      </c>
      <c r="G170" s="85" t="b">
        <v>0</v>
      </c>
      <c r="H170" s="85" t="b">
        <v>0</v>
      </c>
      <c r="I170" s="85" t="b">
        <v>0</v>
      </c>
      <c r="J170" s="85" t="b">
        <v>0</v>
      </c>
      <c r="K170" s="85" t="b">
        <v>0</v>
      </c>
      <c r="L170" s="85" t="b">
        <v>0</v>
      </c>
    </row>
    <row r="171" spans="1:12" ht="15">
      <c r="A171" s="86" t="s">
        <v>730</v>
      </c>
      <c r="B171" s="85" t="s">
        <v>758</v>
      </c>
      <c r="C171" s="85">
        <v>4</v>
      </c>
      <c r="D171" s="121">
        <v>0.006988366963754304</v>
      </c>
      <c r="E171" s="121">
        <v>2.110589710299249</v>
      </c>
      <c r="F171" s="85" t="s">
        <v>540</v>
      </c>
      <c r="G171" s="85" t="b">
        <v>0</v>
      </c>
      <c r="H171" s="85" t="b">
        <v>0</v>
      </c>
      <c r="I171" s="85" t="b">
        <v>0</v>
      </c>
      <c r="J171" s="85" t="b">
        <v>0</v>
      </c>
      <c r="K171" s="85" t="b">
        <v>0</v>
      </c>
      <c r="L171" s="85" t="b">
        <v>0</v>
      </c>
    </row>
    <row r="172" spans="1:12" ht="15">
      <c r="A172" s="86" t="s">
        <v>734</v>
      </c>
      <c r="B172" s="85" t="s">
        <v>746</v>
      </c>
      <c r="C172" s="85">
        <v>4</v>
      </c>
      <c r="D172" s="121">
        <v>0.006988366963754304</v>
      </c>
      <c r="E172" s="121">
        <v>2.110589710299249</v>
      </c>
      <c r="F172" s="85" t="s">
        <v>540</v>
      </c>
      <c r="G172" s="85" t="b">
        <v>0</v>
      </c>
      <c r="H172" s="85" t="b">
        <v>0</v>
      </c>
      <c r="I172" s="85" t="b">
        <v>0</v>
      </c>
      <c r="J172" s="85" t="b">
        <v>0</v>
      </c>
      <c r="K172" s="85" t="b">
        <v>0</v>
      </c>
      <c r="L172" s="85" t="b">
        <v>0</v>
      </c>
    </row>
    <row r="173" spans="1:12" ht="15">
      <c r="A173" s="86" t="s">
        <v>752</v>
      </c>
      <c r="B173" s="85" t="s">
        <v>757</v>
      </c>
      <c r="C173" s="85">
        <v>4</v>
      </c>
      <c r="D173" s="121">
        <v>0.006988366963754304</v>
      </c>
      <c r="E173" s="121">
        <v>2.110589710299249</v>
      </c>
      <c r="F173" s="85" t="s">
        <v>540</v>
      </c>
      <c r="G173" s="85" t="b">
        <v>0</v>
      </c>
      <c r="H173" s="85" t="b">
        <v>0</v>
      </c>
      <c r="I173" s="85" t="b">
        <v>0</v>
      </c>
      <c r="J173" s="85" t="b">
        <v>0</v>
      </c>
      <c r="K173" s="85" t="b">
        <v>0</v>
      </c>
      <c r="L173" s="85" t="b">
        <v>0</v>
      </c>
    </row>
    <row r="174" spans="1:12" ht="15">
      <c r="A174" s="86" t="s">
        <v>724</v>
      </c>
      <c r="B174" s="85" t="s">
        <v>739</v>
      </c>
      <c r="C174" s="85">
        <v>4</v>
      </c>
      <c r="D174" s="121">
        <v>0.006988366963754304</v>
      </c>
      <c r="E174" s="121">
        <v>2.110589710299249</v>
      </c>
      <c r="F174" s="85" t="s">
        <v>540</v>
      </c>
      <c r="G174" s="85" t="b">
        <v>0</v>
      </c>
      <c r="H174" s="85" t="b">
        <v>0</v>
      </c>
      <c r="I174" s="85" t="b">
        <v>0</v>
      </c>
      <c r="J174" s="85" t="b">
        <v>0</v>
      </c>
      <c r="K174" s="85" t="b">
        <v>0</v>
      </c>
      <c r="L174" s="85" t="b">
        <v>0</v>
      </c>
    </row>
    <row r="175" spans="1:12" ht="15">
      <c r="A175" s="86" t="s">
        <v>729</v>
      </c>
      <c r="B175" s="85" t="s">
        <v>731</v>
      </c>
      <c r="C175" s="85">
        <v>4</v>
      </c>
      <c r="D175" s="121">
        <v>0.006988366963754304</v>
      </c>
      <c r="E175" s="121">
        <v>2.110589710299249</v>
      </c>
      <c r="F175" s="85" t="s">
        <v>540</v>
      </c>
      <c r="G175" s="85" t="b">
        <v>0</v>
      </c>
      <c r="H175" s="85" t="b">
        <v>0</v>
      </c>
      <c r="I175" s="85" t="b">
        <v>0</v>
      </c>
      <c r="J175" s="85" t="b">
        <v>0</v>
      </c>
      <c r="K175" s="85" t="b">
        <v>0</v>
      </c>
      <c r="L175" s="85" t="b">
        <v>0</v>
      </c>
    </row>
    <row r="176" spans="1:12" ht="15">
      <c r="A176" s="86" t="s">
        <v>747</v>
      </c>
      <c r="B176" s="85" t="s">
        <v>755</v>
      </c>
      <c r="C176" s="85">
        <v>4</v>
      </c>
      <c r="D176" s="121">
        <v>0.006988366963754304</v>
      </c>
      <c r="E176" s="121">
        <v>2.110589710299249</v>
      </c>
      <c r="F176" s="85" t="s">
        <v>540</v>
      </c>
      <c r="G176" s="85" t="b">
        <v>0</v>
      </c>
      <c r="H176" s="85" t="b">
        <v>0</v>
      </c>
      <c r="I176" s="85" t="b">
        <v>0</v>
      </c>
      <c r="J176" s="85" t="b">
        <v>0</v>
      </c>
      <c r="K176" s="85" t="b">
        <v>0</v>
      </c>
      <c r="L176" s="85" t="b">
        <v>0</v>
      </c>
    </row>
    <row r="177" spans="1:12" ht="15">
      <c r="A177" s="86" t="s">
        <v>741</v>
      </c>
      <c r="B177" s="85" t="s">
        <v>723</v>
      </c>
      <c r="C177" s="85">
        <v>4</v>
      </c>
      <c r="D177" s="121">
        <v>0.006988366963754304</v>
      </c>
      <c r="E177" s="121">
        <v>2.110589710299249</v>
      </c>
      <c r="F177" s="85" t="s">
        <v>540</v>
      </c>
      <c r="G177" s="85" t="b">
        <v>0</v>
      </c>
      <c r="H177" s="85" t="b">
        <v>0</v>
      </c>
      <c r="I177" s="85" t="b">
        <v>0</v>
      </c>
      <c r="J177" s="85" t="b">
        <v>0</v>
      </c>
      <c r="K177" s="85" t="b">
        <v>0</v>
      </c>
      <c r="L177" s="85" t="b">
        <v>0</v>
      </c>
    </row>
    <row r="178" spans="1:12" ht="15">
      <c r="A178" s="86" t="s">
        <v>728</v>
      </c>
      <c r="B178" s="85" t="s">
        <v>747</v>
      </c>
      <c r="C178" s="85">
        <v>4</v>
      </c>
      <c r="D178" s="121">
        <v>0.006988366963754304</v>
      </c>
      <c r="E178" s="121">
        <v>2.110589710299249</v>
      </c>
      <c r="F178" s="85" t="s">
        <v>540</v>
      </c>
      <c r="G178" s="85" t="b">
        <v>0</v>
      </c>
      <c r="H178" s="85" t="b">
        <v>0</v>
      </c>
      <c r="I178" s="85" t="b">
        <v>0</v>
      </c>
      <c r="J178" s="85" t="b">
        <v>0</v>
      </c>
      <c r="K178" s="85" t="b">
        <v>0</v>
      </c>
      <c r="L178" s="85" t="b">
        <v>0</v>
      </c>
    </row>
    <row r="179" spans="1:12" ht="15">
      <c r="A179" s="86" t="s">
        <v>744</v>
      </c>
      <c r="B179" s="85" t="s">
        <v>591</v>
      </c>
      <c r="C179" s="85">
        <v>4</v>
      </c>
      <c r="D179" s="121">
        <v>0.006988366963754304</v>
      </c>
      <c r="E179" s="121">
        <v>1.1941357617493238</v>
      </c>
      <c r="F179" s="85" t="s">
        <v>540</v>
      </c>
      <c r="G179" s="85" t="b">
        <v>0</v>
      </c>
      <c r="H179" s="85" t="b">
        <v>0</v>
      </c>
      <c r="I179" s="85" t="b">
        <v>0</v>
      </c>
      <c r="J179" s="85" t="b">
        <v>0</v>
      </c>
      <c r="K179" s="85" t="b">
        <v>0</v>
      </c>
      <c r="L179" s="85" t="b">
        <v>0</v>
      </c>
    </row>
    <row r="180" spans="1:12" ht="15">
      <c r="A180" s="86" t="s">
        <v>773</v>
      </c>
      <c r="B180" s="85" t="s">
        <v>789</v>
      </c>
      <c r="C180" s="85">
        <v>2</v>
      </c>
      <c r="D180" s="121">
        <v>0.004582899560227898</v>
      </c>
      <c r="E180" s="121">
        <v>2.41161970596323</v>
      </c>
      <c r="F180" s="85" t="s">
        <v>540</v>
      </c>
      <c r="G180" s="85" t="b">
        <v>0</v>
      </c>
      <c r="H180" s="85" t="b">
        <v>0</v>
      </c>
      <c r="I180" s="85" t="b">
        <v>0</v>
      </c>
      <c r="J180" s="85" t="b">
        <v>0</v>
      </c>
      <c r="K180" s="85" t="b">
        <v>0</v>
      </c>
      <c r="L180" s="85" t="b">
        <v>0</v>
      </c>
    </row>
    <row r="181" spans="1:12" ht="15">
      <c r="A181" s="86" t="s">
        <v>597</v>
      </c>
      <c r="B181" s="85" t="s">
        <v>730</v>
      </c>
      <c r="C181" s="85">
        <v>2</v>
      </c>
      <c r="D181" s="121">
        <v>0.004582899560227898</v>
      </c>
      <c r="E181" s="121">
        <v>1.5085297189712865</v>
      </c>
      <c r="F181" s="85" t="s">
        <v>540</v>
      </c>
      <c r="G181" s="85" t="b">
        <v>0</v>
      </c>
      <c r="H181" s="85" t="b">
        <v>0</v>
      </c>
      <c r="I181" s="85" t="b">
        <v>0</v>
      </c>
      <c r="J181" s="85" t="b">
        <v>0</v>
      </c>
      <c r="K181" s="85" t="b">
        <v>0</v>
      </c>
      <c r="L181" s="85" t="b">
        <v>0</v>
      </c>
    </row>
    <row r="182" spans="1:12" ht="15">
      <c r="A182" s="86" t="s">
        <v>791</v>
      </c>
      <c r="B182" s="85" t="s">
        <v>786</v>
      </c>
      <c r="C182" s="85">
        <v>2</v>
      </c>
      <c r="D182" s="121">
        <v>0.004582899560227898</v>
      </c>
      <c r="E182" s="121">
        <v>2.41161970596323</v>
      </c>
      <c r="F182" s="85" t="s">
        <v>540</v>
      </c>
      <c r="G182" s="85" t="b">
        <v>0</v>
      </c>
      <c r="H182" s="85" t="b">
        <v>0</v>
      </c>
      <c r="I182" s="85" t="b">
        <v>0</v>
      </c>
      <c r="J182" s="85" t="b">
        <v>0</v>
      </c>
      <c r="K182" s="85" t="b">
        <v>0</v>
      </c>
      <c r="L182" s="85" t="b">
        <v>0</v>
      </c>
    </row>
    <row r="183" spans="1:12" ht="15">
      <c r="A183" s="86" t="s">
        <v>603</v>
      </c>
      <c r="B183" s="85" t="s">
        <v>608</v>
      </c>
      <c r="C183" s="85">
        <v>2</v>
      </c>
      <c r="D183" s="121">
        <v>0.004582899560227898</v>
      </c>
      <c r="E183" s="121">
        <v>2.059437187851868</v>
      </c>
      <c r="F183" s="85" t="s">
        <v>540</v>
      </c>
      <c r="G183" s="85" t="b">
        <v>0</v>
      </c>
      <c r="H183" s="85" t="b">
        <v>0</v>
      </c>
      <c r="I183" s="85" t="b">
        <v>0</v>
      </c>
      <c r="J183" s="85" t="b">
        <v>0</v>
      </c>
      <c r="K183" s="85" t="b">
        <v>0</v>
      </c>
      <c r="L183" s="85" t="b">
        <v>0</v>
      </c>
    </row>
    <row r="184" spans="1:12" ht="15">
      <c r="A184" s="86" t="s">
        <v>772</v>
      </c>
      <c r="B184" s="85" t="s">
        <v>594</v>
      </c>
      <c r="C184" s="85">
        <v>2</v>
      </c>
      <c r="D184" s="121">
        <v>0.004582899560227898</v>
      </c>
      <c r="E184" s="121">
        <v>2.2355284469075487</v>
      </c>
      <c r="F184" s="85" t="s">
        <v>540</v>
      </c>
      <c r="G184" s="85" t="b">
        <v>0</v>
      </c>
      <c r="H184" s="85" t="b">
        <v>0</v>
      </c>
      <c r="I184" s="85" t="b">
        <v>0</v>
      </c>
      <c r="J184" s="85" t="b">
        <v>0</v>
      </c>
      <c r="K184" s="85" t="b">
        <v>0</v>
      </c>
      <c r="L184" s="85" t="b">
        <v>0</v>
      </c>
    </row>
    <row r="185" spans="1:12" ht="15">
      <c r="A185" s="86" t="s">
        <v>605</v>
      </c>
      <c r="B185" s="85" t="s">
        <v>604</v>
      </c>
      <c r="C185" s="85">
        <v>2</v>
      </c>
      <c r="D185" s="121">
        <v>0.004582899560227898</v>
      </c>
      <c r="E185" s="121">
        <v>2.41161970596323</v>
      </c>
      <c r="F185" s="85" t="s">
        <v>540</v>
      </c>
      <c r="G185" s="85" t="b">
        <v>0</v>
      </c>
      <c r="H185" s="85" t="b">
        <v>0</v>
      </c>
      <c r="I185" s="85" t="b">
        <v>0</v>
      </c>
      <c r="J185" s="85" t="b">
        <v>0</v>
      </c>
      <c r="K185" s="85" t="b">
        <v>0</v>
      </c>
      <c r="L185" s="85" t="b">
        <v>0</v>
      </c>
    </row>
    <row r="186" spans="1:12" ht="15">
      <c r="A186" s="86" t="s">
        <v>783</v>
      </c>
      <c r="B186" s="85" t="s">
        <v>721</v>
      </c>
      <c r="C186" s="85">
        <v>2</v>
      </c>
      <c r="D186" s="121">
        <v>0.004582899560227898</v>
      </c>
      <c r="E186" s="121">
        <v>2.2355284469075487</v>
      </c>
      <c r="F186" s="85" t="s">
        <v>540</v>
      </c>
      <c r="G186" s="85" t="b">
        <v>0</v>
      </c>
      <c r="H186" s="85" t="b">
        <v>0</v>
      </c>
      <c r="I186" s="85" t="b">
        <v>0</v>
      </c>
      <c r="J186" s="85" t="b">
        <v>0</v>
      </c>
      <c r="K186" s="85" t="b">
        <v>0</v>
      </c>
      <c r="L186" s="85" t="b">
        <v>0</v>
      </c>
    </row>
    <row r="187" spans="1:12" ht="15">
      <c r="A187" s="86" t="s">
        <v>759</v>
      </c>
      <c r="B187" s="85" t="s">
        <v>591</v>
      </c>
      <c r="C187" s="85">
        <v>2</v>
      </c>
      <c r="D187" s="121">
        <v>0.004582899560227898</v>
      </c>
      <c r="E187" s="121">
        <v>0.8931057660853426</v>
      </c>
      <c r="F187" s="85" t="s">
        <v>540</v>
      </c>
      <c r="G187" s="85" t="b">
        <v>0</v>
      </c>
      <c r="H187" s="85" t="b">
        <v>0</v>
      </c>
      <c r="I187" s="85" t="b">
        <v>0</v>
      </c>
      <c r="J187" s="85" t="b">
        <v>0</v>
      </c>
      <c r="K187" s="85" t="b">
        <v>0</v>
      </c>
      <c r="L187" s="85" t="b">
        <v>0</v>
      </c>
    </row>
    <row r="188" spans="1:12" ht="15">
      <c r="A188" s="86" t="s">
        <v>762</v>
      </c>
      <c r="B188" s="85" t="s">
        <v>773</v>
      </c>
      <c r="C188" s="85">
        <v>2</v>
      </c>
      <c r="D188" s="121">
        <v>0.004582899560227898</v>
      </c>
      <c r="E188" s="121">
        <v>2.41161970596323</v>
      </c>
      <c r="F188" s="85" t="s">
        <v>540</v>
      </c>
      <c r="G188" s="85" t="b">
        <v>0</v>
      </c>
      <c r="H188" s="85" t="b">
        <v>0</v>
      </c>
      <c r="I188" s="85" t="b">
        <v>0</v>
      </c>
      <c r="J188" s="85" t="b">
        <v>0</v>
      </c>
      <c r="K188" s="85" t="b">
        <v>0</v>
      </c>
      <c r="L188" s="85" t="b">
        <v>0</v>
      </c>
    </row>
    <row r="189" spans="1:12" ht="15">
      <c r="A189" s="86" t="s">
        <v>595</v>
      </c>
      <c r="B189" s="85" t="s">
        <v>722</v>
      </c>
      <c r="C189" s="85">
        <v>2</v>
      </c>
      <c r="D189" s="121">
        <v>0.004582899560227898</v>
      </c>
      <c r="E189" s="121">
        <v>1.8095597146352678</v>
      </c>
      <c r="F189" s="85" t="s">
        <v>540</v>
      </c>
      <c r="G189" s="85" t="b">
        <v>0</v>
      </c>
      <c r="H189" s="85" t="b">
        <v>0</v>
      </c>
      <c r="I189" s="85" t="b">
        <v>0</v>
      </c>
      <c r="J189" s="85" t="b">
        <v>0</v>
      </c>
      <c r="K189" s="85" t="b">
        <v>0</v>
      </c>
      <c r="L189" s="85" t="b">
        <v>0</v>
      </c>
    </row>
    <row r="190" spans="1:12" ht="15">
      <c r="A190" s="86" t="s">
        <v>591</v>
      </c>
      <c r="B190" s="85" t="s">
        <v>730</v>
      </c>
      <c r="C190" s="85">
        <v>2</v>
      </c>
      <c r="D190" s="121">
        <v>0.004582899560227898</v>
      </c>
      <c r="E190" s="121">
        <v>1.2074997233073055</v>
      </c>
      <c r="F190" s="85" t="s">
        <v>540</v>
      </c>
      <c r="G190" s="85" t="b">
        <v>0</v>
      </c>
      <c r="H190" s="85" t="b">
        <v>0</v>
      </c>
      <c r="I190" s="85" t="b">
        <v>0</v>
      </c>
      <c r="J190" s="85" t="b">
        <v>0</v>
      </c>
      <c r="K190" s="85" t="b">
        <v>0</v>
      </c>
      <c r="L190" s="85" t="b">
        <v>0</v>
      </c>
    </row>
    <row r="191" spans="1:12" ht="15">
      <c r="A191" s="86" t="s">
        <v>789</v>
      </c>
      <c r="B191" s="85" t="s">
        <v>771</v>
      </c>
      <c r="C191" s="85">
        <v>2</v>
      </c>
      <c r="D191" s="121">
        <v>0.004582899560227898</v>
      </c>
      <c r="E191" s="121">
        <v>2.41161970596323</v>
      </c>
      <c r="F191" s="85" t="s">
        <v>540</v>
      </c>
      <c r="G191" s="85" t="b">
        <v>0</v>
      </c>
      <c r="H191" s="85" t="b">
        <v>0</v>
      </c>
      <c r="I191" s="85" t="b">
        <v>0</v>
      </c>
      <c r="J191" s="85" t="b">
        <v>0</v>
      </c>
      <c r="K191" s="85" t="b">
        <v>0</v>
      </c>
      <c r="L191" s="85" t="b">
        <v>0</v>
      </c>
    </row>
    <row r="192" spans="1:12" ht="15">
      <c r="A192" s="86" t="s">
        <v>784</v>
      </c>
      <c r="B192" s="85" t="s">
        <v>597</v>
      </c>
      <c r="C192" s="85">
        <v>2</v>
      </c>
      <c r="D192" s="121">
        <v>0.004582899560227898</v>
      </c>
      <c r="E192" s="121">
        <v>1.8675516616129544</v>
      </c>
      <c r="F192" s="85" t="s">
        <v>540</v>
      </c>
      <c r="G192" s="85" t="b">
        <v>0</v>
      </c>
      <c r="H192" s="85" t="b">
        <v>0</v>
      </c>
      <c r="I192" s="85" t="b">
        <v>0</v>
      </c>
      <c r="J192" s="85" t="b">
        <v>0</v>
      </c>
      <c r="K192" s="85" t="b">
        <v>0</v>
      </c>
      <c r="L192" s="85" t="b">
        <v>0</v>
      </c>
    </row>
    <row r="193" spans="1:12" ht="15">
      <c r="A193" s="86" t="s">
        <v>793</v>
      </c>
      <c r="B193" s="85" t="s">
        <v>770</v>
      </c>
      <c r="C193" s="85">
        <v>2</v>
      </c>
      <c r="D193" s="121">
        <v>0.004582899560227898</v>
      </c>
      <c r="E193" s="121">
        <v>2.41161970596323</v>
      </c>
      <c r="F193" s="85" t="s">
        <v>540</v>
      </c>
      <c r="G193" s="85" t="b">
        <v>0</v>
      </c>
      <c r="H193" s="85" t="b">
        <v>0</v>
      </c>
      <c r="I193" s="85" t="b">
        <v>0</v>
      </c>
      <c r="J193" s="85" t="b">
        <v>0</v>
      </c>
      <c r="K193" s="85" t="b">
        <v>0</v>
      </c>
      <c r="L193" s="85" t="b">
        <v>0</v>
      </c>
    </row>
    <row r="194" spans="1:12" ht="15">
      <c r="A194" s="86" t="s">
        <v>759</v>
      </c>
      <c r="B194" s="85" t="s">
        <v>782</v>
      </c>
      <c r="C194" s="85">
        <v>2</v>
      </c>
      <c r="D194" s="121">
        <v>0.004582899560227898</v>
      </c>
      <c r="E194" s="121">
        <v>2.110589710299249</v>
      </c>
      <c r="F194" s="85" t="s">
        <v>540</v>
      </c>
      <c r="G194" s="85" t="b">
        <v>0</v>
      </c>
      <c r="H194" s="85" t="b">
        <v>0</v>
      </c>
      <c r="I194" s="85" t="b">
        <v>0</v>
      </c>
      <c r="J194" s="85" t="b">
        <v>0</v>
      </c>
      <c r="K194" s="85" t="b">
        <v>0</v>
      </c>
      <c r="L194" s="85" t="b">
        <v>0</v>
      </c>
    </row>
    <row r="195" spans="1:12" ht="15">
      <c r="A195" s="86" t="s">
        <v>785</v>
      </c>
      <c r="B195" s="85" t="s">
        <v>761</v>
      </c>
      <c r="C195" s="85">
        <v>2</v>
      </c>
      <c r="D195" s="121">
        <v>0.004582899560227898</v>
      </c>
      <c r="E195" s="121">
        <v>2.41161970596323</v>
      </c>
      <c r="F195" s="85" t="s">
        <v>540</v>
      </c>
      <c r="G195" s="85" t="b">
        <v>0</v>
      </c>
      <c r="H195" s="85" t="b">
        <v>0</v>
      </c>
      <c r="I195" s="85" t="b">
        <v>0</v>
      </c>
      <c r="J195" s="85" t="b">
        <v>0</v>
      </c>
      <c r="K195" s="85" t="b">
        <v>0</v>
      </c>
      <c r="L195" s="85" t="b">
        <v>0</v>
      </c>
    </row>
    <row r="196" spans="1:12" ht="15">
      <c r="A196" s="86" t="s">
        <v>607</v>
      </c>
      <c r="B196" s="85" t="s">
        <v>605</v>
      </c>
      <c r="C196" s="85">
        <v>2</v>
      </c>
      <c r="D196" s="121">
        <v>0.004582899560227898</v>
      </c>
      <c r="E196" s="121">
        <v>2.41161970596323</v>
      </c>
      <c r="F196" s="85" t="s">
        <v>540</v>
      </c>
      <c r="G196" s="85" t="b">
        <v>0</v>
      </c>
      <c r="H196" s="85" t="b">
        <v>0</v>
      </c>
      <c r="I196" s="85" t="b">
        <v>0</v>
      </c>
      <c r="J196" s="85" t="b">
        <v>0</v>
      </c>
      <c r="K196" s="85" t="b">
        <v>0</v>
      </c>
      <c r="L196" s="85" t="b">
        <v>0</v>
      </c>
    </row>
    <row r="197" spans="1:12" ht="15">
      <c r="A197" s="86" t="s">
        <v>609</v>
      </c>
      <c r="B197" s="85" t="s">
        <v>591</v>
      </c>
      <c r="C197" s="85">
        <v>2</v>
      </c>
      <c r="D197" s="121">
        <v>0.004582899560227898</v>
      </c>
      <c r="E197" s="121">
        <v>1.1941357617493238</v>
      </c>
      <c r="F197" s="85" t="s">
        <v>540</v>
      </c>
      <c r="G197" s="85" t="b">
        <v>0</v>
      </c>
      <c r="H197" s="85" t="b">
        <v>0</v>
      </c>
      <c r="I197" s="85" t="b">
        <v>0</v>
      </c>
      <c r="J197" s="85" t="b">
        <v>0</v>
      </c>
      <c r="K197" s="85" t="b">
        <v>0</v>
      </c>
      <c r="L197" s="85" t="b">
        <v>0</v>
      </c>
    </row>
    <row r="198" spans="1:12" ht="15">
      <c r="A198" s="86" t="s">
        <v>765</v>
      </c>
      <c r="B198" s="85" t="s">
        <v>784</v>
      </c>
      <c r="C198" s="85">
        <v>2</v>
      </c>
      <c r="D198" s="121">
        <v>0.004582899560227898</v>
      </c>
      <c r="E198" s="121">
        <v>2.41161970596323</v>
      </c>
      <c r="F198" s="85" t="s">
        <v>540</v>
      </c>
      <c r="G198" s="85" t="b">
        <v>0</v>
      </c>
      <c r="H198" s="85" t="b">
        <v>0</v>
      </c>
      <c r="I198" s="85" t="b">
        <v>0</v>
      </c>
      <c r="J198" s="85" t="b">
        <v>0</v>
      </c>
      <c r="K198" s="85" t="b">
        <v>0</v>
      </c>
      <c r="L198" s="85" t="b">
        <v>0</v>
      </c>
    </row>
    <row r="199" spans="1:12" ht="15">
      <c r="A199" s="86" t="s">
        <v>707</v>
      </c>
      <c r="B199" s="85" t="s">
        <v>778</v>
      </c>
      <c r="C199" s="85">
        <v>2</v>
      </c>
      <c r="D199" s="121">
        <v>0.004582899560227898</v>
      </c>
      <c r="E199" s="121">
        <v>1.8675516616129544</v>
      </c>
      <c r="F199" s="85" t="s">
        <v>540</v>
      </c>
      <c r="G199" s="85" t="b">
        <v>0</v>
      </c>
      <c r="H199" s="85" t="b">
        <v>0</v>
      </c>
      <c r="I199" s="85" t="b">
        <v>0</v>
      </c>
      <c r="J199" s="85" t="b">
        <v>0</v>
      </c>
      <c r="K199" s="85" t="b">
        <v>0</v>
      </c>
      <c r="L199" s="85" t="b">
        <v>0</v>
      </c>
    </row>
    <row r="200" spans="1:12" ht="15">
      <c r="A200" s="86" t="s">
        <v>600</v>
      </c>
      <c r="B200" s="85" t="s">
        <v>591</v>
      </c>
      <c r="C200" s="85">
        <v>2</v>
      </c>
      <c r="D200" s="121">
        <v>0.004582899560227898</v>
      </c>
      <c r="E200" s="121">
        <v>0.5920757704213614</v>
      </c>
      <c r="F200" s="85" t="s">
        <v>540</v>
      </c>
      <c r="G200" s="85" t="b">
        <v>0</v>
      </c>
      <c r="H200" s="85" t="b">
        <v>0</v>
      </c>
      <c r="I200" s="85" t="b">
        <v>0</v>
      </c>
      <c r="J200" s="85" t="b">
        <v>0</v>
      </c>
      <c r="K200" s="85" t="b">
        <v>0</v>
      </c>
      <c r="L200" s="85" t="b">
        <v>0</v>
      </c>
    </row>
    <row r="201" spans="1:12" ht="15">
      <c r="A201" s="86" t="s">
        <v>608</v>
      </c>
      <c r="B201" s="85" t="s">
        <v>607</v>
      </c>
      <c r="C201" s="85">
        <v>2</v>
      </c>
      <c r="D201" s="121">
        <v>0.004582899560227898</v>
      </c>
      <c r="E201" s="121">
        <v>2.2355284469075487</v>
      </c>
      <c r="F201" s="85" t="s">
        <v>540</v>
      </c>
      <c r="G201" s="85" t="b">
        <v>0</v>
      </c>
      <c r="H201" s="85" t="b">
        <v>0</v>
      </c>
      <c r="I201" s="85" t="b">
        <v>0</v>
      </c>
      <c r="J201" s="85" t="b">
        <v>0</v>
      </c>
      <c r="K201" s="85" t="b">
        <v>0</v>
      </c>
      <c r="L201" s="85" t="b">
        <v>0</v>
      </c>
    </row>
    <row r="202" spans="1:12" ht="15">
      <c r="A202" s="86" t="s">
        <v>604</v>
      </c>
      <c r="B202" s="85" t="s">
        <v>609</v>
      </c>
      <c r="C202" s="85">
        <v>2</v>
      </c>
      <c r="D202" s="121">
        <v>0.004582899560227898</v>
      </c>
      <c r="E202" s="121">
        <v>2.2355284469075487</v>
      </c>
      <c r="F202" s="85" t="s">
        <v>540</v>
      </c>
      <c r="G202" s="85" t="b">
        <v>0</v>
      </c>
      <c r="H202" s="85" t="b">
        <v>0</v>
      </c>
      <c r="I202" s="85" t="b">
        <v>0</v>
      </c>
      <c r="J202" s="85" t="b">
        <v>0</v>
      </c>
      <c r="K202" s="85" t="b">
        <v>0</v>
      </c>
      <c r="L202" s="85" t="b">
        <v>0</v>
      </c>
    </row>
    <row r="203" spans="1:12" ht="15">
      <c r="A203" s="86" t="s">
        <v>766</v>
      </c>
      <c r="B203" s="85" t="s">
        <v>791</v>
      </c>
      <c r="C203" s="85">
        <v>2</v>
      </c>
      <c r="D203" s="121">
        <v>0.004582899560227898</v>
      </c>
      <c r="E203" s="121">
        <v>2.41161970596323</v>
      </c>
      <c r="F203" s="85" t="s">
        <v>540</v>
      </c>
      <c r="G203" s="85" t="b">
        <v>0</v>
      </c>
      <c r="H203" s="85" t="b">
        <v>0</v>
      </c>
      <c r="I203" s="85" t="b">
        <v>0</v>
      </c>
      <c r="J203" s="85" t="b">
        <v>0</v>
      </c>
      <c r="K203" s="85" t="b">
        <v>0</v>
      </c>
      <c r="L203" s="85" t="b">
        <v>0</v>
      </c>
    </row>
    <row r="204" spans="1:12" ht="15">
      <c r="A204" s="86" t="s">
        <v>782</v>
      </c>
      <c r="B204" s="85" t="s">
        <v>779</v>
      </c>
      <c r="C204" s="85">
        <v>2</v>
      </c>
      <c r="D204" s="121">
        <v>0.004582899560227898</v>
      </c>
      <c r="E204" s="121">
        <v>2.41161970596323</v>
      </c>
      <c r="F204" s="85" t="s">
        <v>540</v>
      </c>
      <c r="G204" s="85" t="b">
        <v>0</v>
      </c>
      <c r="H204" s="85" t="b">
        <v>0</v>
      </c>
      <c r="I204" s="85" t="b">
        <v>0</v>
      </c>
      <c r="J204" s="85" t="b">
        <v>0</v>
      </c>
      <c r="K204" s="85" t="b">
        <v>0</v>
      </c>
      <c r="L204" s="85" t="b">
        <v>0</v>
      </c>
    </row>
    <row r="205" spans="1:12" ht="15">
      <c r="A205" s="86" t="s">
        <v>780</v>
      </c>
      <c r="B205" s="85" t="s">
        <v>775</v>
      </c>
      <c r="C205" s="85">
        <v>2</v>
      </c>
      <c r="D205" s="121">
        <v>0.004582899560227898</v>
      </c>
      <c r="E205" s="121">
        <v>2.41161970596323</v>
      </c>
      <c r="F205" s="85" t="s">
        <v>540</v>
      </c>
      <c r="G205" s="85" t="b">
        <v>0</v>
      </c>
      <c r="H205" s="85" t="b">
        <v>0</v>
      </c>
      <c r="I205" s="85" t="b">
        <v>0</v>
      </c>
      <c r="J205" s="85" t="b">
        <v>0</v>
      </c>
      <c r="K205" s="85" t="b">
        <v>0</v>
      </c>
      <c r="L205" s="85" t="b">
        <v>0</v>
      </c>
    </row>
    <row r="206" spans="1:12" ht="15">
      <c r="A206" s="86" t="s">
        <v>767</v>
      </c>
      <c r="B206" s="85" t="s">
        <v>776</v>
      </c>
      <c r="C206" s="85">
        <v>2</v>
      </c>
      <c r="D206" s="121">
        <v>0.004582899560227898</v>
      </c>
      <c r="E206" s="121">
        <v>2.41161970596323</v>
      </c>
      <c r="F206" s="85" t="s">
        <v>540</v>
      </c>
      <c r="G206" s="85" t="b">
        <v>0</v>
      </c>
      <c r="H206" s="85" t="b">
        <v>0</v>
      </c>
      <c r="I206" s="85" t="b">
        <v>0</v>
      </c>
      <c r="J206" s="85" t="b">
        <v>0</v>
      </c>
      <c r="K206" s="85" t="b">
        <v>0</v>
      </c>
      <c r="L206" s="85" t="b">
        <v>0</v>
      </c>
    </row>
    <row r="207" spans="1:12" ht="15">
      <c r="A207" s="86" t="s">
        <v>722</v>
      </c>
      <c r="B207" s="85" t="s">
        <v>788</v>
      </c>
      <c r="C207" s="85">
        <v>2</v>
      </c>
      <c r="D207" s="121">
        <v>0.004582899560227898</v>
      </c>
      <c r="E207" s="121">
        <v>2.41161970596323</v>
      </c>
      <c r="F207" s="85" t="s">
        <v>540</v>
      </c>
      <c r="G207" s="85" t="b">
        <v>0</v>
      </c>
      <c r="H207" s="85" t="b">
        <v>0</v>
      </c>
      <c r="I207" s="85" t="b">
        <v>0</v>
      </c>
      <c r="J207" s="85" t="b">
        <v>0</v>
      </c>
      <c r="K207" s="85" t="b">
        <v>0</v>
      </c>
      <c r="L207" s="85" t="b">
        <v>0</v>
      </c>
    </row>
    <row r="208" spans="1:12" ht="15">
      <c r="A208" s="86" t="s">
        <v>763</v>
      </c>
      <c r="B208" s="85" t="s">
        <v>769</v>
      </c>
      <c r="C208" s="85">
        <v>2</v>
      </c>
      <c r="D208" s="121">
        <v>0.004582899560227898</v>
      </c>
      <c r="E208" s="121">
        <v>2.41161970596323</v>
      </c>
      <c r="F208" s="85" t="s">
        <v>540</v>
      </c>
      <c r="G208" s="85" t="b">
        <v>0</v>
      </c>
      <c r="H208" s="85" t="b">
        <v>0</v>
      </c>
      <c r="I208" s="85" t="b">
        <v>0</v>
      </c>
      <c r="J208" s="85" t="b">
        <v>0</v>
      </c>
      <c r="K208" s="85" t="b">
        <v>0</v>
      </c>
      <c r="L208" s="85" t="b">
        <v>0</v>
      </c>
    </row>
    <row r="209" spans="1:12" ht="15">
      <c r="A209" s="86" t="s">
        <v>786</v>
      </c>
      <c r="B209" s="85" t="s">
        <v>772</v>
      </c>
      <c r="C209" s="85">
        <v>2</v>
      </c>
      <c r="D209" s="121">
        <v>0.004582899560227898</v>
      </c>
      <c r="E209" s="121">
        <v>2.41161970596323</v>
      </c>
      <c r="F209" s="85" t="s">
        <v>540</v>
      </c>
      <c r="G209" s="85" t="b">
        <v>0</v>
      </c>
      <c r="H209" s="85" t="b">
        <v>0</v>
      </c>
      <c r="I209" s="85" t="b">
        <v>0</v>
      </c>
      <c r="J209" s="85" t="b">
        <v>0</v>
      </c>
      <c r="K209" s="85" t="b">
        <v>0</v>
      </c>
      <c r="L209" s="85" t="b">
        <v>0</v>
      </c>
    </row>
    <row r="210" spans="1:12" ht="15">
      <c r="A210" s="86" t="s">
        <v>771</v>
      </c>
      <c r="B210" s="85" t="s">
        <v>763</v>
      </c>
      <c r="C210" s="85">
        <v>2</v>
      </c>
      <c r="D210" s="121">
        <v>0.004582899560227898</v>
      </c>
      <c r="E210" s="121">
        <v>2.41161970596323</v>
      </c>
      <c r="F210" s="85" t="s">
        <v>540</v>
      </c>
      <c r="G210" s="85" t="b">
        <v>0</v>
      </c>
      <c r="H210" s="85" t="b">
        <v>0</v>
      </c>
      <c r="I210" s="85" t="b">
        <v>0</v>
      </c>
      <c r="J210" s="85" t="b">
        <v>0</v>
      </c>
      <c r="K210" s="85" t="b">
        <v>0</v>
      </c>
      <c r="L210" s="85" t="b">
        <v>0</v>
      </c>
    </row>
    <row r="211" spans="1:12" ht="15">
      <c r="A211" s="86" t="s">
        <v>594</v>
      </c>
      <c r="B211" s="85" t="s">
        <v>727</v>
      </c>
      <c r="C211" s="85">
        <v>2</v>
      </c>
      <c r="D211" s="121">
        <v>0.004582899560227898</v>
      </c>
      <c r="E211" s="121">
        <v>1.41161970596323</v>
      </c>
      <c r="F211" s="85" t="s">
        <v>540</v>
      </c>
      <c r="G211" s="85" t="b">
        <v>0</v>
      </c>
      <c r="H211" s="85" t="b">
        <v>0</v>
      </c>
      <c r="I211" s="85" t="b">
        <v>0</v>
      </c>
      <c r="J211" s="85" t="b">
        <v>0</v>
      </c>
      <c r="K211" s="85" t="b">
        <v>0</v>
      </c>
      <c r="L211" s="85" t="b">
        <v>0</v>
      </c>
    </row>
    <row r="212" spans="1:12" ht="15">
      <c r="A212" s="86" t="s">
        <v>775</v>
      </c>
      <c r="B212" s="85" t="s">
        <v>764</v>
      </c>
      <c r="C212" s="85">
        <v>2</v>
      </c>
      <c r="D212" s="121">
        <v>0.004582899560227898</v>
      </c>
      <c r="E212" s="121">
        <v>2.41161970596323</v>
      </c>
      <c r="F212" s="85" t="s">
        <v>540</v>
      </c>
      <c r="G212" s="85" t="b">
        <v>0</v>
      </c>
      <c r="H212" s="85" t="b">
        <v>0</v>
      </c>
      <c r="I212" s="85" t="b">
        <v>0</v>
      </c>
      <c r="J212" s="85" t="b">
        <v>0</v>
      </c>
      <c r="K212" s="85" t="b">
        <v>0</v>
      </c>
      <c r="L212" s="85" t="b">
        <v>0</v>
      </c>
    </row>
    <row r="213" spans="1:12" ht="15">
      <c r="A213" s="86" t="s">
        <v>764</v>
      </c>
      <c r="B213" s="85" t="s">
        <v>767</v>
      </c>
      <c r="C213" s="85">
        <v>2</v>
      </c>
      <c r="D213" s="121">
        <v>0.004582899560227898</v>
      </c>
      <c r="E213" s="121">
        <v>2.41161970596323</v>
      </c>
      <c r="F213" s="85" t="s">
        <v>540</v>
      </c>
      <c r="G213" s="85" t="b">
        <v>0</v>
      </c>
      <c r="H213" s="85" t="b">
        <v>0</v>
      </c>
      <c r="I213" s="85" t="b">
        <v>0</v>
      </c>
      <c r="J213" s="85" t="b">
        <v>0</v>
      </c>
      <c r="K213" s="85" t="b">
        <v>0</v>
      </c>
      <c r="L213" s="85" t="b">
        <v>0</v>
      </c>
    </row>
    <row r="214" spans="1:12" ht="15">
      <c r="A214" s="86" t="s">
        <v>788</v>
      </c>
      <c r="B214" s="85" t="s">
        <v>774</v>
      </c>
      <c r="C214" s="85">
        <v>2</v>
      </c>
      <c r="D214" s="121">
        <v>0.004582899560227898</v>
      </c>
      <c r="E214" s="121">
        <v>2.41161970596323</v>
      </c>
      <c r="F214" s="85" t="s">
        <v>540</v>
      </c>
      <c r="G214" s="85" t="b">
        <v>0</v>
      </c>
      <c r="H214" s="85" t="b">
        <v>0</v>
      </c>
      <c r="I214" s="85" t="b">
        <v>0</v>
      </c>
      <c r="J214" s="85" t="b">
        <v>0</v>
      </c>
      <c r="K214" s="85" t="b">
        <v>0</v>
      </c>
      <c r="L214" s="85" t="b">
        <v>0</v>
      </c>
    </row>
    <row r="215" spans="1:12" ht="15">
      <c r="A215" s="86" t="s">
        <v>776</v>
      </c>
      <c r="B215" s="85" t="s">
        <v>597</v>
      </c>
      <c r="C215" s="85">
        <v>2</v>
      </c>
      <c r="D215" s="121">
        <v>0.004582899560227898</v>
      </c>
      <c r="E215" s="121">
        <v>1.8675516616129544</v>
      </c>
      <c r="F215" s="85" t="s">
        <v>540</v>
      </c>
      <c r="G215" s="85" t="b">
        <v>0</v>
      </c>
      <c r="H215" s="85" t="b">
        <v>0</v>
      </c>
      <c r="I215" s="85" t="b">
        <v>0</v>
      </c>
      <c r="J215" s="85" t="b">
        <v>0</v>
      </c>
      <c r="K215" s="85" t="b">
        <v>0</v>
      </c>
      <c r="L215" s="85" t="b">
        <v>0</v>
      </c>
    </row>
    <row r="216" spans="1:12" ht="15">
      <c r="A216" s="86" t="s">
        <v>591</v>
      </c>
      <c r="B216" s="85" t="s">
        <v>783</v>
      </c>
      <c r="C216" s="85">
        <v>2</v>
      </c>
      <c r="D216" s="121">
        <v>0.004582899560227898</v>
      </c>
      <c r="E216" s="121">
        <v>1.5085297189712865</v>
      </c>
      <c r="F216" s="85" t="s">
        <v>540</v>
      </c>
      <c r="G216" s="85" t="b">
        <v>0</v>
      </c>
      <c r="H216" s="85" t="b">
        <v>0</v>
      </c>
      <c r="I216" s="85" t="b">
        <v>0</v>
      </c>
      <c r="J216" s="85" t="b">
        <v>0</v>
      </c>
      <c r="K216" s="85" t="b">
        <v>0</v>
      </c>
      <c r="L216" s="85" t="b">
        <v>0</v>
      </c>
    </row>
    <row r="217" spans="1:12" ht="15">
      <c r="A217" s="86" t="s">
        <v>774</v>
      </c>
      <c r="B217" s="85" t="s">
        <v>785</v>
      </c>
      <c r="C217" s="85">
        <v>2</v>
      </c>
      <c r="D217" s="121">
        <v>0.004582899560227898</v>
      </c>
      <c r="E217" s="121">
        <v>2.41161970596323</v>
      </c>
      <c r="F217" s="85" t="s">
        <v>540</v>
      </c>
      <c r="G217" s="85" t="b">
        <v>0</v>
      </c>
      <c r="H217" s="85" t="b">
        <v>0</v>
      </c>
      <c r="I217" s="85" t="b">
        <v>0</v>
      </c>
      <c r="J217" s="85" t="b">
        <v>0</v>
      </c>
      <c r="K217" s="85" t="b">
        <v>0</v>
      </c>
      <c r="L217" s="85" t="b">
        <v>0</v>
      </c>
    </row>
    <row r="218" spans="1:12" ht="15">
      <c r="A218" s="86" t="s">
        <v>606</v>
      </c>
      <c r="B218" s="85" t="s">
        <v>603</v>
      </c>
      <c r="C218" s="85">
        <v>2</v>
      </c>
      <c r="D218" s="121">
        <v>0.004582899560227898</v>
      </c>
      <c r="E218" s="121">
        <v>2.2355284469075487</v>
      </c>
      <c r="F218" s="85" t="s">
        <v>540</v>
      </c>
      <c r="G218" s="85" t="b">
        <v>0</v>
      </c>
      <c r="H218" s="85" t="b">
        <v>0</v>
      </c>
      <c r="I218" s="85" t="b">
        <v>0</v>
      </c>
      <c r="J218" s="85" t="b">
        <v>0</v>
      </c>
      <c r="K218" s="85" t="b">
        <v>0</v>
      </c>
      <c r="L218" s="85" t="b">
        <v>0</v>
      </c>
    </row>
    <row r="219" spans="1:12" ht="15">
      <c r="A219" s="86" t="s">
        <v>593</v>
      </c>
      <c r="B219" s="85" t="s">
        <v>727</v>
      </c>
      <c r="C219" s="85">
        <v>2</v>
      </c>
      <c r="D219" s="121">
        <v>0.004582899560227898</v>
      </c>
      <c r="E219" s="121">
        <v>1.265491670284992</v>
      </c>
      <c r="F219" s="85" t="s">
        <v>540</v>
      </c>
      <c r="G219" s="85" t="b">
        <v>0</v>
      </c>
      <c r="H219" s="85" t="b">
        <v>0</v>
      </c>
      <c r="I219" s="85" t="b">
        <v>0</v>
      </c>
      <c r="J219" s="85" t="b">
        <v>0</v>
      </c>
      <c r="K219" s="85" t="b">
        <v>0</v>
      </c>
      <c r="L219" s="85" t="b">
        <v>0</v>
      </c>
    </row>
    <row r="220" spans="1:12" ht="15">
      <c r="A220" s="86" t="s">
        <v>597</v>
      </c>
      <c r="B220" s="85" t="s">
        <v>777</v>
      </c>
      <c r="C220" s="85">
        <v>2</v>
      </c>
      <c r="D220" s="121">
        <v>0.005671615638578644</v>
      </c>
      <c r="E220" s="121">
        <v>1.8095597146352678</v>
      </c>
      <c r="F220" s="85" t="s">
        <v>540</v>
      </c>
      <c r="G220" s="85" t="b">
        <v>0</v>
      </c>
      <c r="H220" s="85" t="b">
        <v>0</v>
      </c>
      <c r="I220" s="85" t="b">
        <v>0</v>
      </c>
      <c r="J220" s="85" t="b">
        <v>0</v>
      </c>
      <c r="K220" s="85" t="b">
        <v>0</v>
      </c>
      <c r="L220" s="85" t="b">
        <v>0</v>
      </c>
    </row>
    <row r="221" spans="1:12" ht="15">
      <c r="A221" s="86" t="s">
        <v>597</v>
      </c>
      <c r="B221" s="85" t="s">
        <v>793</v>
      </c>
      <c r="C221" s="85">
        <v>2</v>
      </c>
      <c r="D221" s="121">
        <v>0.004582899560227898</v>
      </c>
      <c r="E221" s="121">
        <v>1.8095597146352678</v>
      </c>
      <c r="F221" s="85" t="s">
        <v>540</v>
      </c>
      <c r="G221" s="85" t="b">
        <v>0</v>
      </c>
      <c r="H221" s="85" t="b">
        <v>0</v>
      </c>
      <c r="I221" s="85" t="b">
        <v>0</v>
      </c>
      <c r="J221" s="85" t="b">
        <v>0</v>
      </c>
      <c r="K221" s="85" t="b">
        <v>0</v>
      </c>
      <c r="L221" s="85" t="b">
        <v>0</v>
      </c>
    </row>
    <row r="222" spans="1:12" ht="15">
      <c r="A222" s="86" t="s">
        <v>600</v>
      </c>
      <c r="B222" s="85" t="s">
        <v>722</v>
      </c>
      <c r="C222" s="85">
        <v>2</v>
      </c>
      <c r="D222" s="121">
        <v>0.004582899560227898</v>
      </c>
      <c r="E222" s="121">
        <v>1.5085297189712865</v>
      </c>
      <c r="F222" s="85" t="s">
        <v>540</v>
      </c>
      <c r="G222" s="85" t="b">
        <v>0</v>
      </c>
      <c r="H222" s="85" t="b">
        <v>0</v>
      </c>
      <c r="I222" s="85" t="b">
        <v>0</v>
      </c>
      <c r="J222" s="85" t="b">
        <v>0</v>
      </c>
      <c r="K222" s="85" t="b">
        <v>0</v>
      </c>
      <c r="L222" s="85" t="b">
        <v>0</v>
      </c>
    </row>
    <row r="223" spans="1:12" ht="15">
      <c r="A223" s="86" t="s">
        <v>790</v>
      </c>
      <c r="B223" s="85" t="s">
        <v>781</v>
      </c>
      <c r="C223" s="85">
        <v>2</v>
      </c>
      <c r="D223" s="121">
        <v>0.005671615638578644</v>
      </c>
      <c r="E223" s="121">
        <v>2.41161970596323</v>
      </c>
      <c r="F223" s="85" t="s">
        <v>540</v>
      </c>
      <c r="G223" s="85" t="b">
        <v>0</v>
      </c>
      <c r="H223" s="85" t="b">
        <v>0</v>
      </c>
      <c r="I223" s="85" t="b">
        <v>0</v>
      </c>
      <c r="J223" s="85" t="b">
        <v>0</v>
      </c>
      <c r="K223" s="85" t="b">
        <v>0</v>
      </c>
      <c r="L223" s="85" t="b">
        <v>0</v>
      </c>
    </row>
    <row r="224" spans="1:12" ht="15">
      <c r="A224" s="86" t="s">
        <v>779</v>
      </c>
      <c r="B224" s="85" t="s">
        <v>762</v>
      </c>
      <c r="C224" s="85">
        <v>2</v>
      </c>
      <c r="D224" s="121">
        <v>0.004582899560227898</v>
      </c>
      <c r="E224" s="121">
        <v>2.41161970596323</v>
      </c>
      <c r="F224" s="85" t="s">
        <v>540</v>
      </c>
      <c r="G224" s="85" t="b">
        <v>0</v>
      </c>
      <c r="H224" s="85" t="b">
        <v>0</v>
      </c>
      <c r="I224" s="85" t="b">
        <v>0</v>
      </c>
      <c r="J224" s="85" t="b">
        <v>0</v>
      </c>
      <c r="K224" s="85" t="b">
        <v>0</v>
      </c>
      <c r="L224" s="85" t="b">
        <v>0</v>
      </c>
    </row>
    <row r="225" spans="1:12" ht="15">
      <c r="A225" s="86" t="s">
        <v>770</v>
      </c>
      <c r="B225" s="85" t="s">
        <v>593</v>
      </c>
      <c r="C225" s="85">
        <v>2</v>
      </c>
      <c r="D225" s="121">
        <v>0.004582899560227898</v>
      </c>
      <c r="E225" s="121">
        <v>1.6334684555795864</v>
      </c>
      <c r="F225" s="85" t="s">
        <v>540</v>
      </c>
      <c r="G225" s="85" t="b">
        <v>0</v>
      </c>
      <c r="H225" s="85" t="b">
        <v>0</v>
      </c>
      <c r="I225" s="85" t="b">
        <v>0</v>
      </c>
      <c r="J225" s="85" t="b">
        <v>0</v>
      </c>
      <c r="K225" s="85" t="b">
        <v>0</v>
      </c>
      <c r="L225" s="85" t="b">
        <v>0</v>
      </c>
    </row>
    <row r="226" spans="1:12" ht="15">
      <c r="A226" s="86" t="s">
        <v>769</v>
      </c>
      <c r="B226" s="85" t="s">
        <v>707</v>
      </c>
      <c r="C226" s="85">
        <v>2</v>
      </c>
      <c r="D226" s="121">
        <v>0.004582899560227898</v>
      </c>
      <c r="E226" s="121">
        <v>1.8675516616129544</v>
      </c>
      <c r="F226" s="85" t="s">
        <v>540</v>
      </c>
      <c r="G226" s="85" t="b">
        <v>0</v>
      </c>
      <c r="H226" s="85" t="b">
        <v>0</v>
      </c>
      <c r="I226" s="85" t="b">
        <v>0</v>
      </c>
      <c r="J226" s="85" t="b">
        <v>0</v>
      </c>
      <c r="K226" s="85" t="b">
        <v>0</v>
      </c>
      <c r="L226" s="85" t="b">
        <v>0</v>
      </c>
    </row>
    <row r="227" spans="1:12" ht="15">
      <c r="A227" s="86" t="s">
        <v>721</v>
      </c>
      <c r="B227" s="85" t="s">
        <v>766</v>
      </c>
      <c r="C227" s="85">
        <v>2</v>
      </c>
      <c r="D227" s="121">
        <v>0.004582899560227898</v>
      </c>
      <c r="E227" s="121">
        <v>2.110589710299249</v>
      </c>
      <c r="F227" s="85" t="s">
        <v>540</v>
      </c>
      <c r="G227" s="85" t="b">
        <v>0</v>
      </c>
      <c r="H227" s="85" t="b">
        <v>0</v>
      </c>
      <c r="I227" s="85" t="b">
        <v>0</v>
      </c>
      <c r="J227" s="85" t="b">
        <v>0</v>
      </c>
      <c r="K227" s="85" t="b">
        <v>0</v>
      </c>
      <c r="L227" s="85" t="b">
        <v>0</v>
      </c>
    </row>
    <row r="228" spans="1:12" ht="15">
      <c r="A228" s="86" t="s">
        <v>606</v>
      </c>
      <c r="B228" s="85" t="s">
        <v>603</v>
      </c>
      <c r="C228" s="85">
        <v>4</v>
      </c>
      <c r="D228" s="121">
        <v>0</v>
      </c>
      <c r="E228" s="121">
        <v>0.9294189257142927</v>
      </c>
      <c r="F228" s="85" t="s">
        <v>541</v>
      </c>
      <c r="G228" s="85" t="b">
        <v>0</v>
      </c>
      <c r="H228" s="85" t="b">
        <v>0</v>
      </c>
      <c r="I228" s="85" t="b">
        <v>0</v>
      </c>
      <c r="J228" s="85" t="b">
        <v>0</v>
      </c>
      <c r="K228" s="85" t="b">
        <v>0</v>
      </c>
      <c r="L228" s="85" t="b">
        <v>0</v>
      </c>
    </row>
    <row r="229" spans="1:12" ht="15">
      <c r="A229" s="86" t="s">
        <v>609</v>
      </c>
      <c r="B229" s="85" t="s">
        <v>591</v>
      </c>
      <c r="C229" s="85">
        <v>4</v>
      </c>
      <c r="D229" s="121">
        <v>0</v>
      </c>
      <c r="E229" s="121">
        <v>0.9294189257142927</v>
      </c>
      <c r="F229" s="85" t="s">
        <v>541</v>
      </c>
      <c r="G229" s="85" t="b">
        <v>0</v>
      </c>
      <c r="H229" s="85" t="b">
        <v>0</v>
      </c>
      <c r="I229" s="85" t="b">
        <v>0</v>
      </c>
      <c r="J229" s="85" t="b">
        <v>0</v>
      </c>
      <c r="K229" s="85" t="b">
        <v>0</v>
      </c>
      <c r="L229" s="85" t="b">
        <v>0</v>
      </c>
    </row>
    <row r="230" spans="1:12" ht="15">
      <c r="A230" s="86" t="s">
        <v>608</v>
      </c>
      <c r="B230" s="85" t="s">
        <v>607</v>
      </c>
      <c r="C230" s="85">
        <v>4</v>
      </c>
      <c r="D230" s="121">
        <v>0</v>
      </c>
      <c r="E230" s="121">
        <v>0.9294189257142927</v>
      </c>
      <c r="F230" s="85" t="s">
        <v>541</v>
      </c>
      <c r="G230" s="85" t="b">
        <v>0</v>
      </c>
      <c r="H230" s="85" t="b">
        <v>0</v>
      </c>
      <c r="I230" s="85" t="b">
        <v>0</v>
      </c>
      <c r="J230" s="85" t="b">
        <v>0</v>
      </c>
      <c r="K230" s="85" t="b">
        <v>0</v>
      </c>
      <c r="L230" s="85" t="b">
        <v>0</v>
      </c>
    </row>
    <row r="231" spans="1:12" ht="15">
      <c r="A231" s="86" t="s">
        <v>605</v>
      </c>
      <c r="B231" s="85" t="s">
        <v>604</v>
      </c>
      <c r="C231" s="85">
        <v>4</v>
      </c>
      <c r="D231" s="121">
        <v>0</v>
      </c>
      <c r="E231" s="121">
        <v>0.9294189257142927</v>
      </c>
      <c r="F231" s="85" t="s">
        <v>541</v>
      </c>
      <c r="G231" s="85" t="b">
        <v>0</v>
      </c>
      <c r="H231" s="85" t="b">
        <v>0</v>
      </c>
      <c r="I231" s="85" t="b">
        <v>0</v>
      </c>
      <c r="J231" s="85" t="b">
        <v>0</v>
      </c>
      <c r="K231" s="85" t="b">
        <v>0</v>
      </c>
      <c r="L231" s="85" t="b">
        <v>0</v>
      </c>
    </row>
    <row r="232" spans="1:12" ht="15">
      <c r="A232" s="86" t="s">
        <v>607</v>
      </c>
      <c r="B232" s="85" t="s">
        <v>605</v>
      </c>
      <c r="C232" s="85">
        <v>4</v>
      </c>
      <c r="D232" s="121">
        <v>0</v>
      </c>
      <c r="E232" s="121">
        <v>0.9294189257142927</v>
      </c>
      <c r="F232" s="85" t="s">
        <v>541</v>
      </c>
      <c r="G232" s="85" t="b">
        <v>0</v>
      </c>
      <c r="H232" s="85" t="b">
        <v>0</v>
      </c>
      <c r="I232" s="85" t="b">
        <v>0</v>
      </c>
      <c r="J232" s="85" t="b">
        <v>0</v>
      </c>
      <c r="K232" s="85" t="b">
        <v>0</v>
      </c>
      <c r="L232" s="85" t="b">
        <v>0</v>
      </c>
    </row>
    <row r="233" spans="1:12" ht="15">
      <c r="A233" s="86" t="s">
        <v>604</v>
      </c>
      <c r="B233" s="85" t="s">
        <v>609</v>
      </c>
      <c r="C233" s="85">
        <v>4</v>
      </c>
      <c r="D233" s="121">
        <v>0</v>
      </c>
      <c r="E233" s="121">
        <v>0.9294189257142927</v>
      </c>
      <c r="F233" s="85" t="s">
        <v>541</v>
      </c>
      <c r="G233" s="85" t="b">
        <v>0</v>
      </c>
      <c r="H233" s="85" t="b">
        <v>0</v>
      </c>
      <c r="I233" s="85" t="b">
        <v>0</v>
      </c>
      <c r="J233" s="85" t="b">
        <v>0</v>
      </c>
      <c r="K233" s="85" t="b">
        <v>0</v>
      </c>
      <c r="L233" s="85" t="b">
        <v>0</v>
      </c>
    </row>
    <row r="234" spans="1:12" ht="15">
      <c r="A234" s="86" t="s">
        <v>603</v>
      </c>
      <c r="B234" s="85" t="s">
        <v>608</v>
      </c>
      <c r="C234" s="85">
        <v>4</v>
      </c>
      <c r="D234" s="121">
        <v>0</v>
      </c>
      <c r="E234" s="121">
        <v>0.9294189257142927</v>
      </c>
      <c r="F234" s="85" t="s">
        <v>541</v>
      </c>
      <c r="G234" s="85" t="b">
        <v>0</v>
      </c>
      <c r="H234" s="85" t="b">
        <v>0</v>
      </c>
      <c r="I234" s="85" t="b">
        <v>0</v>
      </c>
      <c r="J234" s="85" t="b">
        <v>0</v>
      </c>
      <c r="K234" s="85" t="b">
        <v>0</v>
      </c>
      <c r="L234" s="85" t="b">
        <v>0</v>
      </c>
    </row>
    <row r="235" spans="1:12" ht="15">
      <c r="A235" s="86" t="s">
        <v>257</v>
      </c>
      <c r="B235" s="85" t="s">
        <v>606</v>
      </c>
      <c r="C235" s="85">
        <v>3</v>
      </c>
      <c r="D235" s="121">
        <v>0.00986358446907631</v>
      </c>
      <c r="E235" s="121">
        <v>1.0543576623225925</v>
      </c>
      <c r="F235" s="85" t="s">
        <v>541</v>
      </c>
      <c r="G235" s="85" t="b">
        <v>0</v>
      </c>
      <c r="H235" s="85" t="b">
        <v>0</v>
      </c>
      <c r="I235" s="85" t="b">
        <v>0</v>
      </c>
      <c r="J235" s="85" t="b">
        <v>0</v>
      </c>
      <c r="K235" s="85" t="b">
        <v>0</v>
      </c>
      <c r="L235" s="85" t="b">
        <v>0</v>
      </c>
    </row>
    <row r="236" spans="1:12" ht="15">
      <c r="A236" s="86" t="s">
        <v>256</v>
      </c>
      <c r="B236" s="85" t="s">
        <v>257</v>
      </c>
      <c r="C236" s="85">
        <v>3</v>
      </c>
      <c r="D236" s="121">
        <v>0.00986358446907631</v>
      </c>
      <c r="E236" s="121">
        <v>1.0543576623225925</v>
      </c>
      <c r="F236" s="85" t="s">
        <v>541</v>
      </c>
      <c r="G236" s="85" t="b">
        <v>0</v>
      </c>
      <c r="H236" s="85" t="b">
        <v>0</v>
      </c>
      <c r="I236" s="85" t="b">
        <v>0</v>
      </c>
      <c r="J236" s="85" t="b">
        <v>0</v>
      </c>
      <c r="K236" s="85" t="b">
        <v>0</v>
      </c>
      <c r="L236"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EC83F-081E-4804-ADB4-32AF918F71B2}">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823</v>
      </c>
      <c r="B2" s="124" t="s">
        <v>824</v>
      </c>
      <c r="C2" s="64" t="s">
        <v>825</v>
      </c>
    </row>
    <row r="3" spans="1:3" ht="15">
      <c r="A3" s="123" t="s">
        <v>540</v>
      </c>
      <c r="B3" s="123" t="s">
        <v>540</v>
      </c>
      <c r="C3" s="32">
        <v>46</v>
      </c>
    </row>
    <row r="4" spans="1:3" ht="15">
      <c r="A4" s="123" t="s">
        <v>540</v>
      </c>
      <c r="B4" s="123" t="s">
        <v>541</v>
      </c>
      <c r="C4" s="32">
        <v>2</v>
      </c>
    </row>
    <row r="5" spans="1:3" ht="15">
      <c r="A5" s="123" t="s">
        <v>541</v>
      </c>
      <c r="B5" s="123" t="s">
        <v>540</v>
      </c>
      <c r="C5" s="32">
        <v>4</v>
      </c>
    </row>
    <row r="6" spans="1:3" ht="15">
      <c r="A6" s="123" t="s">
        <v>541</v>
      </c>
      <c r="B6" s="123" t="s">
        <v>541</v>
      </c>
      <c r="C6" s="32">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2F09C-A1E9-4491-BC55-D6E655511E72}">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845</v>
      </c>
      <c r="B1" s="7" t="s">
        <v>17</v>
      </c>
    </row>
    <row r="2" spans="1:2" ht="15">
      <c r="A2" s="79" t="s">
        <v>846</v>
      </c>
      <c r="B2" s="79" t="s">
        <v>852</v>
      </c>
    </row>
    <row r="3" spans="1:2" ht="15">
      <c r="A3" s="80" t="s">
        <v>847</v>
      </c>
      <c r="B3" s="79" t="s">
        <v>853</v>
      </c>
    </row>
    <row r="4" spans="1:2" ht="15">
      <c r="A4" s="80" t="s">
        <v>848</v>
      </c>
      <c r="B4" s="79" t="s">
        <v>854</v>
      </c>
    </row>
    <row r="5" spans="1:2" ht="15">
      <c r="A5" s="80" t="s">
        <v>849</v>
      </c>
      <c r="B5" s="79" t="s">
        <v>855</v>
      </c>
    </row>
    <row r="6" spans="1:2" ht="15">
      <c r="A6" s="80" t="s">
        <v>850</v>
      </c>
      <c r="B6" s="79" t="s">
        <v>856</v>
      </c>
    </row>
    <row r="7" spans="1:2" ht="15">
      <c r="A7" s="80" t="s">
        <v>851</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3D21-FE46-4057-A8F4-66E3E401A4EA}">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t="s">
        <v>539</v>
      </c>
      <c r="BD2" s="7" t="s">
        <v>545</v>
      </c>
      <c r="BE2" s="7" t="s">
        <v>546</v>
      </c>
      <c r="BF2" s="64" t="s">
        <v>812</v>
      </c>
      <c r="BG2" s="64" t="s">
        <v>813</v>
      </c>
      <c r="BH2" s="64" t="s">
        <v>814</v>
      </c>
      <c r="BI2" s="64" t="s">
        <v>815</v>
      </c>
      <c r="BJ2" s="64" t="s">
        <v>816</v>
      </c>
      <c r="BK2" s="64" t="s">
        <v>817</v>
      </c>
      <c r="BL2" s="64" t="s">
        <v>818</v>
      </c>
      <c r="BM2" s="64" t="s">
        <v>819</v>
      </c>
      <c r="BN2" s="64" t="s">
        <v>820</v>
      </c>
    </row>
    <row r="3" spans="1:66" ht="15" customHeight="1">
      <c r="A3" s="78" t="s">
        <v>258</v>
      </c>
      <c r="B3" s="78" t="s">
        <v>257</v>
      </c>
      <c r="C3" s="49"/>
      <c r="D3" s="50"/>
      <c r="E3" s="62"/>
      <c r="F3" s="51"/>
      <c r="G3" s="49"/>
      <c r="H3" s="53"/>
      <c r="I3" s="52"/>
      <c r="J3" s="52"/>
      <c r="K3" s="32" t="s">
        <v>65</v>
      </c>
      <c r="L3" s="58">
        <v>3</v>
      </c>
      <c r="M3" s="58"/>
      <c r="N3" s="59"/>
      <c r="O3" s="79" t="s">
        <v>271</v>
      </c>
      <c r="P3" s="81">
        <v>44866.76563657408</v>
      </c>
      <c r="Q3" s="79" t="s">
        <v>280</v>
      </c>
      <c r="R3" s="83" t="str">
        <f>HYPERLINK("https://www.amazon.es/C%C3%93MO-ENCONTRAR-LOS-HASHTAGS-POTENTES-ebook/dp/B08D9W3Q3V/")</f>
        <v>https://www.amazon.es/C%C3%93MO-ENCONTRAR-LOS-HASHTAGS-POTENTES-ebook/dp/B08D9W3Q3V/</v>
      </c>
      <c r="S3" s="79" t="s">
        <v>305</v>
      </c>
      <c r="T3" s="85" t="s">
        <v>314</v>
      </c>
      <c r="U3" s="83" t="str">
        <f>HYPERLINK("https://pbs.twimg.com/media/Fge_vDJWYAEypkN.jpg")</f>
        <v>https://pbs.twimg.com/media/Fge_vDJWYAEypkN.jpg</v>
      </c>
      <c r="V3" s="83" t="str">
        <f>HYPERLINK("https://pbs.twimg.com/media/Fge_vDJWYAEypkN.jpg")</f>
        <v>https://pbs.twimg.com/media/Fge_vDJWYAEypkN.jpg</v>
      </c>
      <c r="W3" s="81">
        <v>44866.76563657408</v>
      </c>
      <c r="X3" s="87">
        <v>44866</v>
      </c>
      <c r="Y3" s="85" t="s">
        <v>367</v>
      </c>
      <c r="Z3" s="83" t="str">
        <f>HYPERLINK("https://twitter.com/daya1angel/status/1587510412748136449")</f>
        <v>https://twitter.com/daya1angel/status/1587510412748136449</v>
      </c>
      <c r="AA3" s="79"/>
      <c r="AB3" s="79"/>
      <c r="AC3" s="85" t="s">
        <v>408</v>
      </c>
      <c r="AD3" s="79"/>
      <c r="AE3" s="79" t="b">
        <v>0</v>
      </c>
      <c r="AF3" s="79">
        <v>0</v>
      </c>
      <c r="AG3" s="85" t="s">
        <v>409</v>
      </c>
      <c r="AH3" s="79" t="b">
        <v>0</v>
      </c>
      <c r="AI3" s="79" t="s">
        <v>410</v>
      </c>
      <c r="AJ3" s="79"/>
      <c r="AK3" s="85" t="s">
        <v>409</v>
      </c>
      <c r="AL3" s="79" t="b">
        <v>0</v>
      </c>
      <c r="AM3" s="79">
        <v>1</v>
      </c>
      <c r="AN3" s="85" t="s">
        <v>380</v>
      </c>
      <c r="AO3" s="85" t="s">
        <v>414</v>
      </c>
      <c r="AP3" s="79" t="b">
        <v>0</v>
      </c>
      <c r="AQ3" s="85" t="s">
        <v>380</v>
      </c>
      <c r="AR3" s="79" t="s">
        <v>211</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7">
        <v>1</v>
      </c>
      <c r="BG3" s="48">
        <v>4.761904761904762</v>
      </c>
      <c r="BH3" s="47">
        <v>0</v>
      </c>
      <c r="BI3" s="48">
        <v>0</v>
      </c>
      <c r="BJ3" s="47">
        <v>0</v>
      </c>
      <c r="BK3" s="48">
        <v>0</v>
      </c>
      <c r="BL3" s="47">
        <v>14</v>
      </c>
      <c r="BM3" s="48">
        <v>66.66666666666667</v>
      </c>
      <c r="BN3" s="47">
        <v>21</v>
      </c>
    </row>
    <row r="4" spans="1:66" ht="15" customHeight="1">
      <c r="A4" s="78" t="s">
        <v>249</v>
      </c>
      <c r="B4" s="78" t="s">
        <v>257</v>
      </c>
      <c r="C4" s="49"/>
      <c r="D4" s="50"/>
      <c r="E4" s="62"/>
      <c r="F4" s="51"/>
      <c r="G4" s="49"/>
      <c r="H4" s="53"/>
      <c r="I4" s="52"/>
      <c r="J4" s="52"/>
      <c r="K4" s="32" t="s">
        <v>65</v>
      </c>
      <c r="L4" s="77">
        <v>4</v>
      </c>
      <c r="M4" s="77"/>
      <c r="N4" s="59"/>
      <c r="O4" s="80" t="s">
        <v>270</v>
      </c>
      <c r="P4" s="82">
        <v>44867.64511574074</v>
      </c>
      <c r="Q4" s="80" t="s">
        <v>273</v>
      </c>
      <c r="R4" s="84" t="str">
        <f>HYPERLINK("https://vivianfrancos.com/sencalkapimi-cuando-es-el-hashtag-de-una-novela-el-que-genera-todas-las-pasiones/")</f>
        <v>https://vivianfrancos.com/sencalkapimi-cuando-es-el-hashtag-de-una-novela-el-que-genera-todas-las-pasiones/</v>
      </c>
      <c r="S4" s="80" t="s">
        <v>303</v>
      </c>
      <c r="T4" s="86" t="s">
        <v>309</v>
      </c>
      <c r="U4" s="80"/>
      <c r="V4" s="84" t="str">
        <f>HYPERLINK("https://pbs.twimg.com/profile_images/1579631275056447489/eB63-C3y_normal.jpg")</f>
        <v>https://pbs.twimg.com/profile_images/1579631275056447489/eB63-C3y_normal.jpg</v>
      </c>
      <c r="W4" s="82">
        <v>44867.64511574074</v>
      </c>
      <c r="X4" s="88">
        <v>44867</v>
      </c>
      <c r="Y4" s="86" t="s">
        <v>330</v>
      </c>
      <c r="Z4" s="84" t="str">
        <f>HYPERLINK("https://twitter.com/edserhanker190/status/1587829123556077570")</f>
        <v>https://twitter.com/edserhanker190/status/1587829123556077570</v>
      </c>
      <c r="AA4" s="80"/>
      <c r="AB4" s="80"/>
      <c r="AC4" s="86" t="s">
        <v>368</v>
      </c>
      <c r="AD4" s="80"/>
      <c r="AE4" s="80" t="b">
        <v>0</v>
      </c>
      <c r="AF4" s="80">
        <v>0</v>
      </c>
      <c r="AG4" s="86" t="s">
        <v>409</v>
      </c>
      <c r="AH4" s="80" t="b">
        <v>0</v>
      </c>
      <c r="AI4" s="80" t="s">
        <v>410</v>
      </c>
      <c r="AJ4" s="80"/>
      <c r="AK4" s="86" t="s">
        <v>409</v>
      </c>
      <c r="AL4" s="80" t="b">
        <v>0</v>
      </c>
      <c r="AM4" s="80">
        <v>3</v>
      </c>
      <c r="AN4" s="86" t="s">
        <v>375</v>
      </c>
      <c r="AO4" s="86" t="s">
        <v>414</v>
      </c>
      <c r="AP4" s="80" t="b">
        <v>0</v>
      </c>
      <c r="AQ4" s="86" t="s">
        <v>375</v>
      </c>
      <c r="AR4" s="80" t="s">
        <v>211</v>
      </c>
      <c r="AS4" s="80">
        <v>0</v>
      </c>
      <c r="AT4" s="80">
        <v>0</v>
      </c>
      <c r="AU4" s="80"/>
      <c r="AV4" s="80"/>
      <c r="AW4" s="80"/>
      <c r="AX4" s="80"/>
      <c r="AY4" s="80"/>
      <c r="AZ4" s="80"/>
      <c r="BA4" s="80"/>
      <c r="BB4" s="80"/>
      <c r="BC4">
        <v>1</v>
      </c>
      <c r="BD4" s="79" t="str">
        <f>REPLACE(INDEX(GroupVertices[Group],MATCH(Edges25[[#This Row],[Vertex 1]],GroupVertices[Vertex],0)),1,1,"")</f>
        <v>2</v>
      </c>
      <c r="BE4" s="79" t="str">
        <f>REPLACE(INDEX(GroupVertices[Group],MATCH(Edges25[[#This Row],[Vertex 2]],GroupVertices[Vertex],0)),1,1,"")</f>
        <v>1</v>
      </c>
      <c r="BF4" s="47"/>
      <c r="BG4" s="48"/>
      <c r="BH4" s="47"/>
      <c r="BI4" s="48"/>
      <c r="BJ4" s="47"/>
      <c r="BK4" s="48"/>
      <c r="BL4" s="47"/>
      <c r="BM4" s="48"/>
      <c r="BN4" s="47"/>
    </row>
    <row r="5" spans="1:66" ht="15">
      <c r="A5" s="78" t="s">
        <v>250</v>
      </c>
      <c r="B5" s="78" t="s">
        <v>257</v>
      </c>
      <c r="C5" s="49"/>
      <c r="D5" s="50"/>
      <c r="E5" s="62"/>
      <c r="F5" s="51"/>
      <c r="G5" s="49"/>
      <c r="H5" s="53"/>
      <c r="I5" s="52"/>
      <c r="J5" s="52"/>
      <c r="K5" s="32" t="s">
        <v>65</v>
      </c>
      <c r="L5" s="77">
        <v>7</v>
      </c>
      <c r="M5" s="77"/>
      <c r="N5" s="59"/>
      <c r="O5" s="80" t="s">
        <v>271</v>
      </c>
      <c r="P5" s="82">
        <v>44867.86304398148</v>
      </c>
      <c r="Q5" s="80" t="s">
        <v>274</v>
      </c>
      <c r="R5" s="84" t="str">
        <f>HYPERLINK("https://eventbrite.com/e/2023-winter-school-social-networks-nodexl-pro-a-few-clicks-to-insights-tickets-393167403287")</f>
        <v>https://eventbrite.com/e/2023-winter-school-social-networks-nodexl-pro-a-few-clicks-to-insights-tickets-393167403287</v>
      </c>
      <c r="S5" s="80" t="s">
        <v>304</v>
      </c>
      <c r="T5" s="86" t="s">
        <v>310</v>
      </c>
      <c r="U5" s="80"/>
      <c r="V5" s="84" t="str">
        <f>HYPERLINK("https://pbs.twimg.com/profile_images/1058449535112867841/JP-rVYlW_normal.jpg")</f>
        <v>https://pbs.twimg.com/profile_images/1058449535112867841/JP-rVYlW_normal.jpg</v>
      </c>
      <c r="W5" s="82">
        <v>44867.86304398148</v>
      </c>
      <c r="X5" s="88">
        <v>44867</v>
      </c>
      <c r="Y5" s="86" t="s">
        <v>331</v>
      </c>
      <c r="Z5" s="84" t="str">
        <f>HYPERLINK("https://twitter.com/connectedaction/status/1587908099372773376")</f>
        <v>https://twitter.com/connectedaction/status/1587908099372773376</v>
      </c>
      <c r="AA5" s="80"/>
      <c r="AB5" s="80"/>
      <c r="AC5" s="86" t="s">
        <v>369</v>
      </c>
      <c r="AD5" s="80"/>
      <c r="AE5" s="80" t="b">
        <v>0</v>
      </c>
      <c r="AF5" s="80">
        <v>0</v>
      </c>
      <c r="AG5" s="86" t="s">
        <v>409</v>
      </c>
      <c r="AH5" s="80" t="b">
        <v>0</v>
      </c>
      <c r="AI5" s="80" t="s">
        <v>411</v>
      </c>
      <c r="AJ5" s="80"/>
      <c r="AK5" s="86" t="s">
        <v>409</v>
      </c>
      <c r="AL5" s="80" t="b">
        <v>0</v>
      </c>
      <c r="AM5" s="80">
        <v>2</v>
      </c>
      <c r="AN5" s="86" t="s">
        <v>384</v>
      </c>
      <c r="AO5" s="86" t="s">
        <v>415</v>
      </c>
      <c r="AP5" s="80" t="b">
        <v>0</v>
      </c>
      <c r="AQ5" s="86" t="s">
        <v>384</v>
      </c>
      <c r="AR5" s="80" t="s">
        <v>211</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7">
        <v>0</v>
      </c>
      <c r="BG5" s="48">
        <v>0</v>
      </c>
      <c r="BH5" s="47">
        <v>0</v>
      </c>
      <c r="BI5" s="48">
        <v>0</v>
      </c>
      <c r="BJ5" s="47">
        <v>0</v>
      </c>
      <c r="BK5" s="48">
        <v>0</v>
      </c>
      <c r="BL5" s="47">
        <v>25</v>
      </c>
      <c r="BM5" s="48">
        <v>71.42857142857143</v>
      </c>
      <c r="BN5" s="47">
        <v>35</v>
      </c>
    </row>
    <row r="6" spans="1:66" ht="15">
      <c r="A6" s="78" t="s">
        <v>251</v>
      </c>
      <c r="B6" s="78" t="s">
        <v>257</v>
      </c>
      <c r="C6" s="49"/>
      <c r="D6" s="50"/>
      <c r="E6" s="62"/>
      <c r="F6" s="51"/>
      <c r="G6" s="49"/>
      <c r="H6" s="53"/>
      <c r="I6" s="52"/>
      <c r="J6" s="52"/>
      <c r="K6" s="32" t="s">
        <v>65</v>
      </c>
      <c r="L6" s="77">
        <v>8</v>
      </c>
      <c r="M6" s="77"/>
      <c r="N6" s="59"/>
      <c r="O6" s="80" t="s">
        <v>271</v>
      </c>
      <c r="P6" s="82">
        <v>44871.922164351854</v>
      </c>
      <c r="Q6" s="80" t="s">
        <v>275</v>
      </c>
      <c r="R6" s="84" t="str">
        <f>HYPERLINK("https://www.amazon.es/C%C3%93MO-ENCONTRAR-LOS-HASHTAGS-POTENTES-ebook/dp/B08D9W3Q3V/")</f>
        <v>https://www.amazon.es/C%C3%93MO-ENCONTRAR-LOS-HASHTAGS-POTENTES-ebook/dp/B08D9W3Q3V/</v>
      </c>
      <c r="S6" s="80" t="s">
        <v>305</v>
      </c>
      <c r="T6" s="86" t="s">
        <v>311</v>
      </c>
      <c r="U6" s="84" t="str">
        <f>HYPERLINK("https://pbs.twimg.com/media/Fg6axwrXkAI7yGY.jpg")</f>
        <v>https://pbs.twimg.com/media/Fg6axwrXkAI7yGY.jpg</v>
      </c>
      <c r="V6" s="84" t="str">
        <f>HYPERLINK("https://pbs.twimg.com/media/Fg6axwrXkAI7yGY.jpg")</f>
        <v>https://pbs.twimg.com/media/Fg6axwrXkAI7yGY.jpg</v>
      </c>
      <c r="W6" s="82">
        <v>44871.922164351854</v>
      </c>
      <c r="X6" s="88">
        <v>44871</v>
      </c>
      <c r="Y6" s="86" t="s">
        <v>332</v>
      </c>
      <c r="Z6" s="84" t="str">
        <f>HYPERLINK("https://twitter.com/paoloigna1/status/1589379076179234816")</f>
        <v>https://twitter.com/paoloigna1/status/1589379076179234816</v>
      </c>
      <c r="AA6" s="80"/>
      <c r="AB6" s="80"/>
      <c r="AC6" s="86" t="s">
        <v>370</v>
      </c>
      <c r="AD6" s="80"/>
      <c r="AE6" s="80" t="b">
        <v>0</v>
      </c>
      <c r="AF6" s="80">
        <v>0</v>
      </c>
      <c r="AG6" s="86" t="s">
        <v>409</v>
      </c>
      <c r="AH6" s="80" t="b">
        <v>0</v>
      </c>
      <c r="AI6" s="80" t="s">
        <v>410</v>
      </c>
      <c r="AJ6" s="80"/>
      <c r="AK6" s="86" t="s">
        <v>409</v>
      </c>
      <c r="AL6" s="80" t="b">
        <v>0</v>
      </c>
      <c r="AM6" s="80">
        <v>1</v>
      </c>
      <c r="AN6" s="86" t="s">
        <v>395</v>
      </c>
      <c r="AO6" s="86" t="s">
        <v>416</v>
      </c>
      <c r="AP6" s="80" t="b">
        <v>0</v>
      </c>
      <c r="AQ6" s="86" t="s">
        <v>395</v>
      </c>
      <c r="AR6" s="80" t="s">
        <v>211</v>
      </c>
      <c r="AS6" s="80">
        <v>0</v>
      </c>
      <c r="AT6" s="80">
        <v>0</v>
      </c>
      <c r="AU6" s="80"/>
      <c r="AV6" s="80"/>
      <c r="AW6" s="80"/>
      <c r="AX6" s="80"/>
      <c r="AY6" s="80"/>
      <c r="AZ6" s="80"/>
      <c r="BA6" s="80"/>
      <c r="BB6" s="80"/>
      <c r="BC6">
        <v>2</v>
      </c>
      <c r="BD6" s="79" t="str">
        <f>REPLACE(INDEX(GroupVertices[Group],MATCH(Edges25[[#This Row],[Vertex 1]],GroupVertices[Vertex],0)),1,1,"")</f>
        <v>1</v>
      </c>
      <c r="BE6" s="79" t="str">
        <f>REPLACE(INDEX(GroupVertices[Group],MATCH(Edges25[[#This Row],[Vertex 2]],GroupVertices[Vertex],0)),1,1,"")</f>
        <v>1</v>
      </c>
      <c r="BF6" s="47">
        <v>0</v>
      </c>
      <c r="BG6" s="48">
        <v>0</v>
      </c>
      <c r="BH6" s="47">
        <v>0</v>
      </c>
      <c r="BI6" s="48">
        <v>0</v>
      </c>
      <c r="BJ6" s="47">
        <v>0</v>
      </c>
      <c r="BK6" s="48">
        <v>0</v>
      </c>
      <c r="BL6" s="47">
        <v>18</v>
      </c>
      <c r="BM6" s="48">
        <v>69.23076923076923</v>
      </c>
      <c r="BN6" s="47">
        <v>26</v>
      </c>
    </row>
    <row r="7" spans="1:66" ht="15">
      <c r="A7" s="78" t="s">
        <v>251</v>
      </c>
      <c r="B7" s="78" t="s">
        <v>257</v>
      </c>
      <c r="C7" s="49"/>
      <c r="D7" s="50"/>
      <c r="E7" s="62"/>
      <c r="F7" s="51"/>
      <c r="G7" s="49"/>
      <c r="H7" s="53"/>
      <c r="I7" s="52"/>
      <c r="J7" s="52"/>
      <c r="K7" s="32" t="s">
        <v>65</v>
      </c>
      <c r="L7" s="77">
        <v>9</v>
      </c>
      <c r="M7" s="77"/>
      <c r="N7" s="59"/>
      <c r="O7" s="80" t="s">
        <v>271</v>
      </c>
      <c r="P7" s="82">
        <v>44873.44777777778</v>
      </c>
      <c r="Q7" s="80" t="s">
        <v>276</v>
      </c>
      <c r="R7" s="84" t="str">
        <f>HYPERLINK("https://twitter.com/elonmusk/status/1589791846737522688")</f>
        <v>https://twitter.com/elonmusk/status/1589791846737522688</v>
      </c>
      <c r="S7" s="80" t="s">
        <v>306</v>
      </c>
      <c r="T7" s="86" t="s">
        <v>312</v>
      </c>
      <c r="U7" s="80"/>
      <c r="V7" s="84" t="str">
        <f>HYPERLINK("https://pbs.twimg.com/profile_images/1060178682403266561/Kuf9_hvx_normal.jpg")</f>
        <v>https://pbs.twimg.com/profile_images/1060178682403266561/Kuf9_hvx_normal.jpg</v>
      </c>
      <c r="W7" s="82">
        <v>44873.44777777778</v>
      </c>
      <c r="X7" s="88">
        <v>44873</v>
      </c>
      <c r="Y7" s="86" t="s">
        <v>333</v>
      </c>
      <c r="Z7" s="84" t="str">
        <f>HYPERLINK("https://twitter.com/paoloigna1/status/1589931937346760705")</f>
        <v>https://twitter.com/paoloigna1/status/1589931937346760705</v>
      </c>
      <c r="AA7" s="80"/>
      <c r="AB7" s="80"/>
      <c r="AC7" s="86" t="s">
        <v>371</v>
      </c>
      <c r="AD7" s="80"/>
      <c r="AE7" s="80" t="b">
        <v>0</v>
      </c>
      <c r="AF7" s="80">
        <v>0</v>
      </c>
      <c r="AG7" s="86" t="s">
        <v>409</v>
      </c>
      <c r="AH7" s="80" t="b">
        <v>1</v>
      </c>
      <c r="AI7" s="80" t="s">
        <v>410</v>
      </c>
      <c r="AJ7" s="80"/>
      <c r="AK7" s="86" t="s">
        <v>413</v>
      </c>
      <c r="AL7" s="80" t="b">
        <v>0</v>
      </c>
      <c r="AM7" s="80">
        <v>3</v>
      </c>
      <c r="AN7" s="86" t="s">
        <v>398</v>
      </c>
      <c r="AO7" s="86" t="s">
        <v>416</v>
      </c>
      <c r="AP7" s="80" t="b">
        <v>0</v>
      </c>
      <c r="AQ7" s="86" t="s">
        <v>398</v>
      </c>
      <c r="AR7" s="80" t="s">
        <v>211</v>
      </c>
      <c r="AS7" s="80">
        <v>0</v>
      </c>
      <c r="AT7" s="80">
        <v>0</v>
      </c>
      <c r="AU7" s="80"/>
      <c r="AV7" s="80"/>
      <c r="AW7" s="80"/>
      <c r="AX7" s="80"/>
      <c r="AY7" s="80"/>
      <c r="AZ7" s="80"/>
      <c r="BA7" s="80"/>
      <c r="BB7" s="80"/>
      <c r="BC7">
        <v>2</v>
      </c>
      <c r="BD7" s="79" t="str">
        <f>REPLACE(INDEX(GroupVertices[Group],MATCH(Edges25[[#This Row],[Vertex 1]],GroupVertices[Vertex],0)),1,1,"")</f>
        <v>1</v>
      </c>
      <c r="BE7" s="79" t="str">
        <f>REPLACE(INDEX(GroupVertices[Group],MATCH(Edges25[[#This Row],[Vertex 2]],GroupVertices[Vertex],0)),1,1,"")</f>
        <v>1</v>
      </c>
      <c r="BF7" s="47">
        <v>0</v>
      </c>
      <c r="BG7" s="48">
        <v>0</v>
      </c>
      <c r="BH7" s="47">
        <v>0</v>
      </c>
      <c r="BI7" s="48">
        <v>0</v>
      </c>
      <c r="BJ7" s="47">
        <v>0</v>
      </c>
      <c r="BK7" s="48">
        <v>0</v>
      </c>
      <c r="BL7" s="47">
        <v>23</v>
      </c>
      <c r="BM7" s="48">
        <v>62.16216216216216</v>
      </c>
      <c r="BN7" s="47">
        <v>37</v>
      </c>
    </row>
    <row r="8" spans="1:66" ht="15">
      <c r="A8" s="78" t="s">
        <v>252</v>
      </c>
      <c r="B8" s="78" t="s">
        <v>257</v>
      </c>
      <c r="C8" s="49"/>
      <c r="D8" s="50"/>
      <c r="E8" s="62"/>
      <c r="F8" s="51"/>
      <c r="G8" s="49"/>
      <c r="H8" s="53"/>
      <c r="I8" s="52"/>
      <c r="J8" s="52"/>
      <c r="K8" s="32" t="s">
        <v>65</v>
      </c>
      <c r="L8" s="77">
        <v>10</v>
      </c>
      <c r="M8" s="77"/>
      <c r="N8" s="59"/>
      <c r="O8" s="80" t="s">
        <v>271</v>
      </c>
      <c r="P8" s="82">
        <v>44873.548125</v>
      </c>
      <c r="Q8" s="80" t="s">
        <v>276</v>
      </c>
      <c r="R8" s="84" t="str">
        <f>HYPERLINK("https://twitter.com/elonmusk/status/1589791846737522688")</f>
        <v>https://twitter.com/elonmusk/status/1589791846737522688</v>
      </c>
      <c r="S8" s="80" t="s">
        <v>306</v>
      </c>
      <c r="T8" s="86" t="s">
        <v>312</v>
      </c>
      <c r="U8" s="80"/>
      <c r="V8" s="84" t="str">
        <f>HYPERLINK("https://pbs.twimg.com/profile_images/1575211829978071041/Dv1L40sv_normal.jpg")</f>
        <v>https://pbs.twimg.com/profile_images/1575211829978071041/Dv1L40sv_normal.jpg</v>
      </c>
      <c r="W8" s="82">
        <v>44873.548125</v>
      </c>
      <c r="X8" s="88">
        <v>44873</v>
      </c>
      <c r="Y8" s="86" t="s">
        <v>334</v>
      </c>
      <c r="Z8" s="84" t="str">
        <f>HYPERLINK("https://twitter.com/iosu_blanco/status/1589968302042144769")</f>
        <v>https://twitter.com/iosu_blanco/status/1589968302042144769</v>
      </c>
      <c r="AA8" s="80"/>
      <c r="AB8" s="80"/>
      <c r="AC8" s="86" t="s">
        <v>372</v>
      </c>
      <c r="AD8" s="80"/>
      <c r="AE8" s="80" t="b">
        <v>0</v>
      </c>
      <c r="AF8" s="80">
        <v>0</v>
      </c>
      <c r="AG8" s="86" t="s">
        <v>409</v>
      </c>
      <c r="AH8" s="80" t="b">
        <v>1</v>
      </c>
      <c r="AI8" s="80" t="s">
        <v>410</v>
      </c>
      <c r="AJ8" s="80"/>
      <c r="AK8" s="86" t="s">
        <v>413</v>
      </c>
      <c r="AL8" s="80" t="b">
        <v>0</v>
      </c>
      <c r="AM8" s="80">
        <v>3</v>
      </c>
      <c r="AN8" s="86" t="s">
        <v>398</v>
      </c>
      <c r="AO8" s="86" t="s">
        <v>414</v>
      </c>
      <c r="AP8" s="80" t="b">
        <v>0</v>
      </c>
      <c r="AQ8" s="86" t="s">
        <v>398</v>
      </c>
      <c r="AR8" s="80" t="s">
        <v>211</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7">
        <v>0</v>
      </c>
      <c r="BG8" s="48">
        <v>0</v>
      </c>
      <c r="BH8" s="47">
        <v>0</v>
      </c>
      <c r="BI8" s="48">
        <v>0</v>
      </c>
      <c r="BJ8" s="47">
        <v>0</v>
      </c>
      <c r="BK8" s="48">
        <v>0</v>
      </c>
      <c r="BL8" s="47">
        <v>23</v>
      </c>
      <c r="BM8" s="48">
        <v>62.16216216216216</v>
      </c>
      <c r="BN8" s="47">
        <v>37</v>
      </c>
    </row>
    <row r="9" spans="1:66" ht="15">
      <c r="A9" s="78" t="s">
        <v>253</v>
      </c>
      <c r="B9" s="78" t="s">
        <v>257</v>
      </c>
      <c r="C9" s="49"/>
      <c r="D9" s="50"/>
      <c r="E9" s="62"/>
      <c r="F9" s="51"/>
      <c r="G9" s="49"/>
      <c r="H9" s="53"/>
      <c r="I9" s="52"/>
      <c r="J9" s="52"/>
      <c r="K9" s="32" t="s">
        <v>65</v>
      </c>
      <c r="L9" s="77">
        <v>11</v>
      </c>
      <c r="M9" s="77"/>
      <c r="N9" s="59"/>
      <c r="O9" s="80" t="s">
        <v>271</v>
      </c>
      <c r="P9" s="82">
        <v>44873.61951388889</v>
      </c>
      <c r="Q9" s="80" t="s">
        <v>277</v>
      </c>
      <c r="R9" s="84" t="str">
        <f>HYPERLINK("https://eventbrite.com/e/2023-winter-school-social-networks-nodexl-pro-a-few-clicks-to-insights-tickets-393167403287")</f>
        <v>https://eventbrite.com/e/2023-winter-school-social-networks-nodexl-pro-a-few-clicks-to-insights-tickets-393167403287</v>
      </c>
      <c r="S9" s="80" t="s">
        <v>304</v>
      </c>
      <c r="T9" s="86" t="s">
        <v>310</v>
      </c>
      <c r="U9" s="80"/>
      <c r="V9" s="84" t="str">
        <f>HYPERLINK("https://pbs.twimg.com/profile_images/864997760621174784/AUqwmm07_normal.jpg")</f>
        <v>https://pbs.twimg.com/profile_images/864997760621174784/AUqwmm07_normal.jpg</v>
      </c>
      <c r="W9" s="82">
        <v>44873.61951388889</v>
      </c>
      <c r="X9" s="88">
        <v>44873</v>
      </c>
      <c r="Y9" s="86" t="s">
        <v>335</v>
      </c>
      <c r="Z9" s="84" t="str">
        <f>HYPERLINK("https://twitter.com/nodexl_mktng/status/1589994176174694400")</f>
        <v>https://twitter.com/nodexl_mktng/status/1589994176174694400</v>
      </c>
      <c r="AA9" s="80"/>
      <c r="AB9" s="80"/>
      <c r="AC9" s="86" t="s">
        <v>373</v>
      </c>
      <c r="AD9" s="80"/>
      <c r="AE9" s="80" t="b">
        <v>0</v>
      </c>
      <c r="AF9" s="80">
        <v>0</v>
      </c>
      <c r="AG9" s="86" t="s">
        <v>409</v>
      </c>
      <c r="AH9" s="80" t="b">
        <v>0</v>
      </c>
      <c r="AI9" s="80" t="s">
        <v>411</v>
      </c>
      <c r="AJ9" s="80"/>
      <c r="AK9" s="86" t="s">
        <v>409</v>
      </c>
      <c r="AL9" s="80" t="b">
        <v>0</v>
      </c>
      <c r="AM9" s="80">
        <v>1</v>
      </c>
      <c r="AN9" s="86" t="s">
        <v>399</v>
      </c>
      <c r="AO9" s="86" t="s">
        <v>415</v>
      </c>
      <c r="AP9" s="80" t="b">
        <v>0</v>
      </c>
      <c r="AQ9" s="86" t="s">
        <v>399</v>
      </c>
      <c r="AR9" s="80" t="s">
        <v>211</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7">
        <v>0</v>
      </c>
      <c r="BG9" s="48">
        <v>0</v>
      </c>
      <c r="BH9" s="47">
        <v>0</v>
      </c>
      <c r="BI9" s="48">
        <v>0</v>
      </c>
      <c r="BJ9" s="47">
        <v>0</v>
      </c>
      <c r="BK9" s="48">
        <v>0</v>
      </c>
      <c r="BL9" s="47">
        <v>25</v>
      </c>
      <c r="BM9" s="48">
        <v>71.42857142857143</v>
      </c>
      <c r="BN9" s="47">
        <v>35</v>
      </c>
    </row>
    <row r="10" spans="1:66" ht="15">
      <c r="A10" s="78" t="s">
        <v>254</v>
      </c>
      <c r="B10" s="78" t="s">
        <v>257</v>
      </c>
      <c r="C10" s="49"/>
      <c r="D10" s="50"/>
      <c r="E10" s="62"/>
      <c r="F10" s="51"/>
      <c r="G10" s="49"/>
      <c r="H10" s="53"/>
      <c r="I10" s="52"/>
      <c r="J10" s="52"/>
      <c r="K10" s="32" t="s">
        <v>65</v>
      </c>
      <c r="L10" s="77">
        <v>12</v>
      </c>
      <c r="M10" s="77"/>
      <c r="N10" s="59"/>
      <c r="O10" s="80" t="s">
        <v>271</v>
      </c>
      <c r="P10" s="82">
        <v>44873.878854166665</v>
      </c>
      <c r="Q10" s="80" t="s">
        <v>276</v>
      </c>
      <c r="R10" s="84" t="str">
        <f>HYPERLINK("https://twitter.com/elonmusk/status/1589791846737522688")</f>
        <v>https://twitter.com/elonmusk/status/1589791846737522688</v>
      </c>
      <c r="S10" s="80" t="s">
        <v>306</v>
      </c>
      <c r="T10" s="86" t="s">
        <v>312</v>
      </c>
      <c r="U10" s="80"/>
      <c r="V10" s="84" t="str">
        <f>HYPERLINK("https://pbs.twimg.com/profile_images/1573610605356978176/aPKVs--g_normal.jpg")</f>
        <v>https://pbs.twimg.com/profile_images/1573610605356978176/aPKVs--g_normal.jpg</v>
      </c>
      <c r="W10" s="82">
        <v>44873.878854166665</v>
      </c>
      <c r="X10" s="88">
        <v>44873</v>
      </c>
      <c r="Y10" s="86" t="s">
        <v>336</v>
      </c>
      <c r="Z10" s="84" t="str">
        <f>HYPERLINK("https://twitter.com/emiliobarredam/status/1590088155944091648")</f>
        <v>https://twitter.com/emiliobarredam/status/1590088155944091648</v>
      </c>
      <c r="AA10" s="80"/>
      <c r="AB10" s="80"/>
      <c r="AC10" s="86" t="s">
        <v>374</v>
      </c>
      <c r="AD10" s="80"/>
      <c r="AE10" s="80" t="b">
        <v>0</v>
      </c>
      <c r="AF10" s="80">
        <v>0</v>
      </c>
      <c r="AG10" s="86" t="s">
        <v>409</v>
      </c>
      <c r="AH10" s="80" t="b">
        <v>1</v>
      </c>
      <c r="AI10" s="80" t="s">
        <v>410</v>
      </c>
      <c r="AJ10" s="80"/>
      <c r="AK10" s="86" t="s">
        <v>413</v>
      </c>
      <c r="AL10" s="80" t="b">
        <v>0</v>
      </c>
      <c r="AM10" s="80">
        <v>3</v>
      </c>
      <c r="AN10" s="86" t="s">
        <v>398</v>
      </c>
      <c r="AO10" s="86" t="s">
        <v>414</v>
      </c>
      <c r="AP10" s="80" t="b">
        <v>0</v>
      </c>
      <c r="AQ10" s="86" t="s">
        <v>398</v>
      </c>
      <c r="AR10" s="80" t="s">
        <v>211</v>
      </c>
      <c r="AS10" s="80">
        <v>0</v>
      </c>
      <c r="AT10" s="80">
        <v>0</v>
      </c>
      <c r="AU10" s="80"/>
      <c r="AV10" s="80"/>
      <c r="AW10" s="80"/>
      <c r="AX10" s="80"/>
      <c r="AY10" s="80"/>
      <c r="AZ10" s="80"/>
      <c r="BA10" s="80"/>
      <c r="BB10" s="80"/>
      <c r="BC10">
        <v>1</v>
      </c>
      <c r="BD10" s="79" t="str">
        <f>REPLACE(INDEX(GroupVertices[Group],MATCH(Edges25[[#This Row],[Vertex 1]],GroupVertices[Vertex],0)),1,1,"")</f>
        <v>1</v>
      </c>
      <c r="BE10" s="79" t="str">
        <f>REPLACE(INDEX(GroupVertices[Group],MATCH(Edges25[[#This Row],[Vertex 2]],GroupVertices[Vertex],0)),1,1,"")</f>
        <v>1</v>
      </c>
      <c r="BF10" s="47">
        <v>0</v>
      </c>
      <c r="BG10" s="48">
        <v>0</v>
      </c>
      <c r="BH10" s="47">
        <v>0</v>
      </c>
      <c r="BI10" s="48">
        <v>0</v>
      </c>
      <c r="BJ10" s="47">
        <v>0</v>
      </c>
      <c r="BK10" s="48">
        <v>0</v>
      </c>
      <c r="BL10" s="47">
        <v>23</v>
      </c>
      <c r="BM10" s="48">
        <v>62.16216216216216</v>
      </c>
      <c r="BN10" s="47">
        <v>37</v>
      </c>
    </row>
    <row r="11" spans="1:66" ht="15">
      <c r="A11" s="78" t="s">
        <v>255</v>
      </c>
      <c r="B11" s="78" t="s">
        <v>256</v>
      </c>
      <c r="C11" s="49"/>
      <c r="D11" s="50"/>
      <c r="E11" s="62"/>
      <c r="F11" s="51"/>
      <c r="G11" s="49"/>
      <c r="H11" s="53"/>
      <c r="I11" s="52"/>
      <c r="J11" s="52"/>
      <c r="K11" s="32" t="s">
        <v>66</v>
      </c>
      <c r="L11" s="77">
        <v>13</v>
      </c>
      <c r="M11" s="77"/>
      <c r="N11" s="59"/>
      <c r="O11" s="80" t="s">
        <v>272</v>
      </c>
      <c r="P11" s="82">
        <v>44867.49618055556</v>
      </c>
      <c r="Q11" s="80" t="s">
        <v>273</v>
      </c>
      <c r="R11" s="84" t="str">
        <f>HYPERLINK("https://vivianfrancos.com/sencalkapimi-cuando-es-el-hashtag-de-una-novela-el-que-genera-todas-las-pasiones/")</f>
        <v>https://vivianfrancos.com/sencalkapimi-cuando-es-el-hashtag-de-una-novela-el-que-genera-todas-las-pasiones/</v>
      </c>
      <c r="S11" s="80" t="s">
        <v>303</v>
      </c>
      <c r="T11" s="86" t="s">
        <v>309</v>
      </c>
      <c r="U11" s="80"/>
      <c r="V11" s="84" t="str">
        <f>HYPERLINK("https://pbs.twimg.com/profile_images/708058715669307392/e7v2PkQQ_normal.jpg")</f>
        <v>https://pbs.twimg.com/profile_images/708058715669307392/e7v2PkQQ_normal.jpg</v>
      </c>
      <c r="W11" s="82">
        <v>44867.49618055556</v>
      </c>
      <c r="X11" s="88">
        <v>44867</v>
      </c>
      <c r="Y11" s="86" t="s">
        <v>337</v>
      </c>
      <c r="Z11" s="84" t="str">
        <f>HYPERLINK("https://twitter.com/ordencamacho/status/1587775152909127686")</f>
        <v>https://twitter.com/ordencamacho/status/1587775152909127686</v>
      </c>
      <c r="AA11" s="80"/>
      <c r="AB11" s="80"/>
      <c r="AC11" s="86" t="s">
        <v>375</v>
      </c>
      <c r="AD11" s="80"/>
      <c r="AE11" s="80" t="b">
        <v>0</v>
      </c>
      <c r="AF11" s="80">
        <v>2</v>
      </c>
      <c r="AG11" s="86" t="s">
        <v>409</v>
      </c>
      <c r="AH11" s="80" t="b">
        <v>0</v>
      </c>
      <c r="AI11" s="80" t="s">
        <v>410</v>
      </c>
      <c r="AJ11" s="80"/>
      <c r="AK11" s="86" t="s">
        <v>409</v>
      </c>
      <c r="AL11" s="80" t="b">
        <v>0</v>
      </c>
      <c r="AM11" s="80">
        <v>3</v>
      </c>
      <c r="AN11" s="86" t="s">
        <v>409</v>
      </c>
      <c r="AO11" s="86" t="s">
        <v>417</v>
      </c>
      <c r="AP11" s="80" t="b">
        <v>0</v>
      </c>
      <c r="AQ11" s="86" t="s">
        <v>375</v>
      </c>
      <c r="AR11" s="80" t="s">
        <v>211</v>
      </c>
      <c r="AS11" s="80">
        <v>0</v>
      </c>
      <c r="AT11" s="80">
        <v>0</v>
      </c>
      <c r="AU11" s="80"/>
      <c r="AV11" s="80"/>
      <c r="AW11" s="80"/>
      <c r="AX11" s="80"/>
      <c r="AY11" s="80"/>
      <c r="AZ11" s="80"/>
      <c r="BA11" s="80"/>
      <c r="BB11" s="80"/>
      <c r="BC11">
        <v>1</v>
      </c>
      <c r="BD11" s="79" t="str">
        <f>REPLACE(INDEX(GroupVertices[Group],MATCH(Edges25[[#This Row],[Vertex 1]],GroupVertices[Vertex],0)),1,1,"")</f>
        <v>2</v>
      </c>
      <c r="BE11" s="79" t="str">
        <f>REPLACE(INDEX(GroupVertices[Group],MATCH(Edges25[[#This Row],[Vertex 2]],GroupVertices[Vertex],0)),1,1,"")</f>
        <v>2</v>
      </c>
      <c r="BF11" s="47"/>
      <c r="BG11" s="48"/>
      <c r="BH11" s="47"/>
      <c r="BI11" s="48"/>
      <c r="BJ11" s="47"/>
      <c r="BK11" s="48"/>
      <c r="BL11" s="47"/>
      <c r="BM11" s="48"/>
      <c r="BN11" s="47"/>
    </row>
    <row r="12" spans="1:66" ht="15">
      <c r="A12" s="78" t="s">
        <v>256</v>
      </c>
      <c r="B12" s="78" t="s">
        <v>257</v>
      </c>
      <c r="C12" s="49"/>
      <c r="D12" s="50"/>
      <c r="E12" s="62"/>
      <c r="F12" s="51"/>
      <c r="G12" s="49"/>
      <c r="H12" s="53"/>
      <c r="I12" s="52"/>
      <c r="J12" s="52"/>
      <c r="K12" s="32" t="s">
        <v>66</v>
      </c>
      <c r="L12" s="77">
        <v>14</v>
      </c>
      <c r="M12" s="77"/>
      <c r="N12" s="59"/>
      <c r="O12" s="80" t="s">
        <v>271</v>
      </c>
      <c r="P12" s="82">
        <v>44867.46501157407</v>
      </c>
      <c r="Q12" s="80" t="s">
        <v>278</v>
      </c>
      <c r="R12" s="84" t="str">
        <f>HYPERLINK("https://vivianfrancos.com/sencalkapimi-cuando-es-el-hashtag-de-una-novela-el-que-genera-todas-las-pasiones/")</f>
        <v>https://vivianfrancos.com/sencalkapimi-cuando-es-el-hashtag-de-una-novela-el-que-genera-todas-las-pasiones/</v>
      </c>
      <c r="S12" s="80" t="s">
        <v>303</v>
      </c>
      <c r="T12" s="86" t="s">
        <v>309</v>
      </c>
      <c r="U12" s="80"/>
      <c r="V12" s="84" t="str">
        <f>HYPERLINK("https://pbs.twimg.com/profile_images/1501490089041567749/5cItZGxg_normal.jpg")</f>
        <v>https://pbs.twimg.com/profile_images/1501490089041567749/5cItZGxg_normal.jpg</v>
      </c>
      <c r="W12" s="82">
        <v>44867.46501157407</v>
      </c>
      <c r="X12" s="88">
        <v>44867</v>
      </c>
      <c r="Y12" s="86" t="s">
        <v>338</v>
      </c>
      <c r="Z12" s="84" t="str">
        <f>HYPERLINK("https://twitter.com/assuntaigor18/status/1587763855412924418")</f>
        <v>https://twitter.com/assuntaigor18/status/1587763855412924418</v>
      </c>
      <c r="AA12" s="80"/>
      <c r="AB12" s="80"/>
      <c r="AC12" s="86" t="s">
        <v>376</v>
      </c>
      <c r="AD12" s="80"/>
      <c r="AE12" s="80" t="b">
        <v>0</v>
      </c>
      <c r="AF12" s="80">
        <v>0</v>
      </c>
      <c r="AG12" s="86" t="s">
        <v>409</v>
      </c>
      <c r="AH12" s="80" t="b">
        <v>0</v>
      </c>
      <c r="AI12" s="80" t="s">
        <v>410</v>
      </c>
      <c r="AJ12" s="80"/>
      <c r="AK12" s="86" t="s">
        <v>409</v>
      </c>
      <c r="AL12" s="80" t="b">
        <v>0</v>
      </c>
      <c r="AM12" s="80">
        <v>1</v>
      </c>
      <c r="AN12" s="86" t="s">
        <v>381</v>
      </c>
      <c r="AO12" s="86" t="s">
        <v>414</v>
      </c>
      <c r="AP12" s="80" t="b">
        <v>0</v>
      </c>
      <c r="AQ12" s="86" t="s">
        <v>381</v>
      </c>
      <c r="AR12" s="80" t="s">
        <v>211</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1</v>
      </c>
      <c r="BF12" s="47">
        <v>0</v>
      </c>
      <c r="BG12" s="48">
        <v>0</v>
      </c>
      <c r="BH12" s="47">
        <v>0</v>
      </c>
      <c r="BI12" s="48">
        <v>0</v>
      </c>
      <c r="BJ12" s="47">
        <v>0</v>
      </c>
      <c r="BK12" s="48">
        <v>0</v>
      </c>
      <c r="BL12" s="47">
        <v>8</v>
      </c>
      <c r="BM12" s="48">
        <v>53.333333333333336</v>
      </c>
      <c r="BN12" s="47">
        <v>15</v>
      </c>
    </row>
    <row r="13" spans="1:66" ht="15">
      <c r="A13" s="78" t="s">
        <v>256</v>
      </c>
      <c r="B13" s="78" t="s">
        <v>257</v>
      </c>
      <c r="C13" s="49"/>
      <c r="D13" s="50"/>
      <c r="E13" s="62"/>
      <c r="F13" s="51"/>
      <c r="G13" s="49"/>
      <c r="H13" s="53"/>
      <c r="I13" s="52"/>
      <c r="J13" s="52"/>
      <c r="K13" s="32" t="s">
        <v>66</v>
      </c>
      <c r="L13" s="77">
        <v>15</v>
      </c>
      <c r="M13" s="77"/>
      <c r="N13" s="59"/>
      <c r="O13" s="80" t="s">
        <v>270</v>
      </c>
      <c r="P13" s="82">
        <v>44867.67077546296</v>
      </c>
      <c r="Q13" s="80" t="s">
        <v>273</v>
      </c>
      <c r="R13" s="84" t="str">
        <f>HYPERLINK("https://vivianfrancos.com/sencalkapimi-cuando-es-el-hashtag-de-una-novela-el-que-genera-todas-las-pasiones/")</f>
        <v>https://vivianfrancos.com/sencalkapimi-cuando-es-el-hashtag-de-una-novela-el-que-genera-todas-las-pasiones/</v>
      </c>
      <c r="S13" s="80" t="s">
        <v>303</v>
      </c>
      <c r="T13" s="86" t="s">
        <v>309</v>
      </c>
      <c r="U13" s="80"/>
      <c r="V13" s="84" t="str">
        <f>HYPERLINK("https://pbs.twimg.com/profile_images/1501490089041567749/5cItZGxg_normal.jpg")</f>
        <v>https://pbs.twimg.com/profile_images/1501490089041567749/5cItZGxg_normal.jpg</v>
      </c>
      <c r="W13" s="82">
        <v>44867.67077546296</v>
      </c>
      <c r="X13" s="88">
        <v>44867</v>
      </c>
      <c r="Y13" s="86" t="s">
        <v>339</v>
      </c>
      <c r="Z13" s="84" t="str">
        <f>HYPERLINK("https://twitter.com/assuntaigor18/status/1587838425234808839")</f>
        <v>https://twitter.com/assuntaigor18/status/1587838425234808839</v>
      </c>
      <c r="AA13" s="80"/>
      <c r="AB13" s="80"/>
      <c r="AC13" s="86" t="s">
        <v>377</v>
      </c>
      <c r="AD13" s="80"/>
      <c r="AE13" s="80" t="b">
        <v>0</v>
      </c>
      <c r="AF13" s="80">
        <v>0</v>
      </c>
      <c r="AG13" s="86" t="s">
        <v>409</v>
      </c>
      <c r="AH13" s="80" t="b">
        <v>0</v>
      </c>
      <c r="AI13" s="80" t="s">
        <v>410</v>
      </c>
      <c r="AJ13" s="80"/>
      <c r="AK13" s="86" t="s">
        <v>409</v>
      </c>
      <c r="AL13" s="80" t="b">
        <v>0</v>
      </c>
      <c r="AM13" s="80">
        <v>3</v>
      </c>
      <c r="AN13" s="86" t="s">
        <v>375</v>
      </c>
      <c r="AO13" s="86" t="s">
        <v>414</v>
      </c>
      <c r="AP13" s="80" t="b">
        <v>0</v>
      </c>
      <c r="AQ13" s="86" t="s">
        <v>375</v>
      </c>
      <c r="AR13" s="80" t="s">
        <v>211</v>
      </c>
      <c r="AS13" s="80">
        <v>0</v>
      </c>
      <c r="AT13" s="80">
        <v>0</v>
      </c>
      <c r="AU13" s="80"/>
      <c r="AV13" s="80"/>
      <c r="AW13" s="80"/>
      <c r="AX13" s="80"/>
      <c r="AY13" s="80"/>
      <c r="AZ13" s="80"/>
      <c r="BA13" s="80"/>
      <c r="BB13" s="80"/>
      <c r="BC13">
        <v>1</v>
      </c>
      <c r="BD13" s="79" t="str">
        <f>REPLACE(INDEX(GroupVertices[Group],MATCH(Edges25[[#This Row],[Vertex 1]],GroupVertices[Vertex],0)),1,1,"")</f>
        <v>2</v>
      </c>
      <c r="BE13" s="79" t="str">
        <f>REPLACE(INDEX(GroupVertices[Group],MATCH(Edges25[[#This Row],[Vertex 2]],GroupVertices[Vertex],0)),1,1,"")</f>
        <v>1</v>
      </c>
      <c r="BF13" s="47"/>
      <c r="BG13" s="48"/>
      <c r="BH13" s="47"/>
      <c r="BI13" s="48"/>
      <c r="BJ13" s="47"/>
      <c r="BK13" s="48"/>
      <c r="BL13" s="47"/>
      <c r="BM13" s="48"/>
      <c r="BN13" s="47"/>
    </row>
    <row r="14" spans="1:66" ht="15">
      <c r="A14" s="78" t="s">
        <v>257</v>
      </c>
      <c r="B14" s="78" t="s">
        <v>256</v>
      </c>
      <c r="C14" s="49"/>
      <c r="D14" s="50"/>
      <c r="E14" s="62"/>
      <c r="F14" s="51"/>
      <c r="G14" s="49"/>
      <c r="H14" s="53"/>
      <c r="I14" s="52"/>
      <c r="J14" s="52"/>
      <c r="K14" s="32" t="s">
        <v>66</v>
      </c>
      <c r="L14" s="77">
        <v>17</v>
      </c>
      <c r="M14" s="77"/>
      <c r="N14" s="59"/>
      <c r="O14" s="80" t="s">
        <v>270</v>
      </c>
      <c r="P14" s="82">
        <v>44867.551712962966</v>
      </c>
      <c r="Q14" s="80" t="s">
        <v>273</v>
      </c>
      <c r="R14" s="84" t="str">
        <f>HYPERLINK("https://vivianfrancos.com/sencalkapimi-cuando-es-el-hashtag-de-una-novela-el-que-genera-todas-las-pasiones/")</f>
        <v>https://vivianfrancos.com/sencalkapimi-cuando-es-el-hashtag-de-una-novela-el-que-genera-todas-las-pasiones/</v>
      </c>
      <c r="S14" s="80" t="s">
        <v>303</v>
      </c>
      <c r="T14" s="86" t="s">
        <v>309</v>
      </c>
      <c r="U14" s="80"/>
      <c r="V14" s="84" t="str">
        <f>HYPERLINK("https://pbs.twimg.com/profile_images/1487756429276684289/Kqq9xAOb_normal.png")</f>
        <v>https://pbs.twimg.com/profile_images/1487756429276684289/Kqq9xAOb_normal.png</v>
      </c>
      <c r="W14" s="82">
        <v>44867.551712962966</v>
      </c>
      <c r="X14" s="88">
        <v>44867</v>
      </c>
      <c r="Y14" s="86" t="s">
        <v>340</v>
      </c>
      <c r="Z14" s="84" t="str">
        <f>HYPERLINK("https://twitter.com/hashtagmarketi7/status/1587795276181405699")</f>
        <v>https://twitter.com/hashtagmarketi7/status/1587795276181405699</v>
      </c>
      <c r="AA14" s="80"/>
      <c r="AB14" s="80"/>
      <c r="AC14" s="86" t="s">
        <v>378</v>
      </c>
      <c r="AD14" s="80"/>
      <c r="AE14" s="80" t="b">
        <v>0</v>
      </c>
      <c r="AF14" s="80">
        <v>0</v>
      </c>
      <c r="AG14" s="86" t="s">
        <v>409</v>
      </c>
      <c r="AH14" s="80" t="b">
        <v>0</v>
      </c>
      <c r="AI14" s="80" t="s">
        <v>410</v>
      </c>
      <c r="AJ14" s="80"/>
      <c r="AK14" s="86" t="s">
        <v>409</v>
      </c>
      <c r="AL14" s="80" t="b">
        <v>0</v>
      </c>
      <c r="AM14" s="80">
        <v>3</v>
      </c>
      <c r="AN14" s="86" t="s">
        <v>375</v>
      </c>
      <c r="AO14" s="86" t="s">
        <v>414</v>
      </c>
      <c r="AP14" s="80" t="b">
        <v>0</v>
      </c>
      <c r="AQ14" s="86" t="s">
        <v>375</v>
      </c>
      <c r="AR14" s="80" t="s">
        <v>211</v>
      </c>
      <c r="AS14" s="80">
        <v>0</v>
      </c>
      <c r="AT14" s="80">
        <v>0</v>
      </c>
      <c r="AU14" s="80"/>
      <c r="AV14" s="80"/>
      <c r="AW14" s="80"/>
      <c r="AX14" s="80"/>
      <c r="AY14" s="80"/>
      <c r="AZ14" s="80"/>
      <c r="BA14" s="80"/>
      <c r="BB14" s="80"/>
      <c r="BC14">
        <v>1</v>
      </c>
      <c r="BD14" s="79" t="str">
        <f>REPLACE(INDEX(GroupVertices[Group],MATCH(Edges25[[#This Row],[Vertex 1]],GroupVertices[Vertex],0)),1,1,"")</f>
        <v>1</v>
      </c>
      <c r="BE14" s="79" t="str">
        <f>REPLACE(INDEX(GroupVertices[Group],MATCH(Edges25[[#This Row],[Vertex 2]],GroupVertices[Vertex],0)),1,1,"")</f>
        <v>2</v>
      </c>
      <c r="BF14" s="47"/>
      <c r="BG14" s="48"/>
      <c r="BH14" s="47"/>
      <c r="BI14" s="48"/>
      <c r="BJ14" s="47"/>
      <c r="BK14" s="48"/>
      <c r="BL14" s="47"/>
      <c r="BM14" s="48"/>
      <c r="BN14" s="47"/>
    </row>
    <row r="15" spans="1:66" ht="15">
      <c r="A15" s="78" t="s">
        <v>257</v>
      </c>
      <c r="B15" s="78" t="s">
        <v>259</v>
      </c>
      <c r="C15" s="49"/>
      <c r="D15" s="50"/>
      <c r="E15" s="62"/>
      <c r="F15" s="51"/>
      <c r="G15" s="49"/>
      <c r="H15" s="53"/>
      <c r="I15" s="52"/>
      <c r="J15" s="52"/>
      <c r="K15" s="32" t="s">
        <v>65</v>
      </c>
      <c r="L15" s="77">
        <v>20</v>
      </c>
      <c r="M15" s="77"/>
      <c r="N15" s="59"/>
      <c r="O15" s="80" t="s">
        <v>272</v>
      </c>
      <c r="P15" s="82">
        <v>44875.596817129626</v>
      </c>
      <c r="Q15" s="80" t="s">
        <v>279</v>
      </c>
      <c r="R15" s="84" t="str">
        <f>HYPERLINK("https://nodexlgraphgallery.org/Pages/Graph.aspx?graphID=284368")</f>
        <v>https://nodexlgraphgallery.org/Pages/Graph.aspx?graphID=284368</v>
      </c>
      <c r="S15" s="80" t="s">
        <v>307</v>
      </c>
      <c r="T15" s="86" t="s">
        <v>313</v>
      </c>
      <c r="U15" s="80"/>
      <c r="V15" s="84" t="str">
        <f>HYPERLINK("https://pbs.twimg.com/profile_images/1487756429276684289/Kqq9xAOb_normal.png")</f>
        <v>https://pbs.twimg.com/profile_images/1487756429276684289/Kqq9xAOb_normal.png</v>
      </c>
      <c r="W15" s="82">
        <v>44875.596817129626</v>
      </c>
      <c r="X15" s="88">
        <v>44875</v>
      </c>
      <c r="Y15" s="86" t="s">
        <v>341</v>
      </c>
      <c r="Z15" s="84" t="str">
        <f>HYPERLINK("https://twitter.com/hashtagmarketi7/status/1590710726079172609")</f>
        <v>https://twitter.com/hashtagmarketi7/status/1590710726079172609</v>
      </c>
      <c r="AA15" s="80"/>
      <c r="AB15" s="80"/>
      <c r="AC15" s="86" t="s">
        <v>379</v>
      </c>
      <c r="AD15" s="80"/>
      <c r="AE15" s="80" t="b">
        <v>0</v>
      </c>
      <c r="AF15" s="80">
        <v>1</v>
      </c>
      <c r="AG15" s="86" t="s">
        <v>409</v>
      </c>
      <c r="AH15" s="80" t="b">
        <v>0</v>
      </c>
      <c r="AI15" s="80" t="s">
        <v>412</v>
      </c>
      <c r="AJ15" s="80"/>
      <c r="AK15" s="86" t="s">
        <v>409</v>
      </c>
      <c r="AL15" s="80" t="b">
        <v>0</v>
      </c>
      <c r="AM15" s="80">
        <v>0</v>
      </c>
      <c r="AN15" s="86" t="s">
        <v>409</v>
      </c>
      <c r="AO15" s="86" t="s">
        <v>416</v>
      </c>
      <c r="AP15" s="80" t="b">
        <v>0</v>
      </c>
      <c r="AQ15" s="86" t="s">
        <v>379</v>
      </c>
      <c r="AR15" s="80" t="s">
        <v>211</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7"/>
      <c r="BG15" s="48"/>
      <c r="BH15" s="47"/>
      <c r="BI15" s="48"/>
      <c r="BJ15" s="47"/>
      <c r="BK15" s="48"/>
      <c r="BL15" s="47"/>
      <c r="BM15" s="48"/>
      <c r="BN15" s="47"/>
    </row>
    <row r="16" spans="1:66" ht="15">
      <c r="A16" s="78" t="s">
        <v>257</v>
      </c>
      <c r="B16" s="78" t="s">
        <v>257</v>
      </c>
      <c r="C16" s="49"/>
      <c r="D16" s="50"/>
      <c r="E16" s="62"/>
      <c r="F16" s="51"/>
      <c r="G16" s="49"/>
      <c r="H16" s="53"/>
      <c r="I16" s="52"/>
      <c r="J16" s="52"/>
      <c r="K16" s="32" t="s">
        <v>65</v>
      </c>
      <c r="L16" s="77">
        <v>31</v>
      </c>
      <c r="M16" s="77"/>
      <c r="N16" s="59"/>
      <c r="O16" s="80" t="s">
        <v>211</v>
      </c>
      <c r="P16" s="82">
        <v>44866.59400462963</v>
      </c>
      <c r="Q16" s="80" t="s">
        <v>280</v>
      </c>
      <c r="R16" s="84" t="str">
        <f>HYPERLINK("https://www.amazon.es/C%C3%93MO-ENCONTRAR-LOS-HASHTAGS-POTENTES-ebook/dp/B08D9W3Q3V/")</f>
        <v>https://www.amazon.es/C%C3%93MO-ENCONTRAR-LOS-HASHTAGS-POTENTES-ebook/dp/B08D9W3Q3V/</v>
      </c>
      <c r="S16" s="80" t="s">
        <v>305</v>
      </c>
      <c r="T16" s="86" t="s">
        <v>314</v>
      </c>
      <c r="U16" s="84" t="str">
        <f>HYPERLINK("https://pbs.twimg.com/media/Fge_vDJWYAEypkN.jpg")</f>
        <v>https://pbs.twimg.com/media/Fge_vDJWYAEypkN.jpg</v>
      </c>
      <c r="V16" s="84" t="str">
        <f>HYPERLINK("https://pbs.twimg.com/media/Fge_vDJWYAEypkN.jpg")</f>
        <v>https://pbs.twimg.com/media/Fge_vDJWYAEypkN.jpg</v>
      </c>
      <c r="W16" s="82">
        <v>44866.59400462963</v>
      </c>
      <c r="X16" s="88">
        <v>44866</v>
      </c>
      <c r="Y16" s="86" t="s">
        <v>342</v>
      </c>
      <c r="Z16" s="84" t="str">
        <f>HYPERLINK("https://twitter.com/hashtagmarketi7/status/1587448214545989634")</f>
        <v>https://twitter.com/hashtagmarketi7/status/1587448214545989634</v>
      </c>
      <c r="AA16" s="80"/>
      <c r="AB16" s="80"/>
      <c r="AC16" s="86" t="s">
        <v>380</v>
      </c>
      <c r="AD16" s="80"/>
      <c r="AE16" s="80" t="b">
        <v>0</v>
      </c>
      <c r="AF16" s="80">
        <v>1</v>
      </c>
      <c r="AG16" s="86" t="s">
        <v>409</v>
      </c>
      <c r="AH16" s="80" t="b">
        <v>0</v>
      </c>
      <c r="AI16" s="80" t="s">
        <v>410</v>
      </c>
      <c r="AJ16" s="80"/>
      <c r="AK16" s="86" t="s">
        <v>409</v>
      </c>
      <c r="AL16" s="80" t="b">
        <v>0</v>
      </c>
      <c r="AM16" s="80">
        <v>1</v>
      </c>
      <c r="AN16" s="86" t="s">
        <v>409</v>
      </c>
      <c r="AO16" s="86" t="s">
        <v>418</v>
      </c>
      <c r="AP16" s="80" t="b">
        <v>0</v>
      </c>
      <c r="AQ16" s="86" t="s">
        <v>380</v>
      </c>
      <c r="AR16" s="80" t="s">
        <v>271</v>
      </c>
      <c r="AS16" s="80">
        <v>0</v>
      </c>
      <c r="AT16" s="80">
        <v>0</v>
      </c>
      <c r="AU16" s="80"/>
      <c r="AV16" s="80"/>
      <c r="AW16" s="80"/>
      <c r="AX16" s="80"/>
      <c r="AY16" s="80"/>
      <c r="AZ16" s="80"/>
      <c r="BA16" s="80"/>
      <c r="BB16" s="80"/>
      <c r="BC16">
        <v>28</v>
      </c>
      <c r="BD16" s="79" t="str">
        <f>REPLACE(INDEX(GroupVertices[Group],MATCH(Edges25[[#This Row],[Vertex 1]],GroupVertices[Vertex],0)),1,1,"")</f>
        <v>1</v>
      </c>
      <c r="BE16" s="79" t="str">
        <f>REPLACE(INDEX(GroupVertices[Group],MATCH(Edges25[[#This Row],[Vertex 2]],GroupVertices[Vertex],0)),1,1,"")</f>
        <v>1</v>
      </c>
      <c r="BF16" s="47">
        <v>1</v>
      </c>
      <c r="BG16" s="48">
        <v>4.761904761904762</v>
      </c>
      <c r="BH16" s="47">
        <v>0</v>
      </c>
      <c r="BI16" s="48">
        <v>0</v>
      </c>
      <c r="BJ16" s="47">
        <v>0</v>
      </c>
      <c r="BK16" s="48">
        <v>0</v>
      </c>
      <c r="BL16" s="47">
        <v>14</v>
      </c>
      <c r="BM16" s="48">
        <v>66.66666666666667</v>
      </c>
      <c r="BN16" s="47">
        <v>21</v>
      </c>
    </row>
    <row r="17" spans="1:66" ht="15">
      <c r="A17" s="78" t="s">
        <v>257</v>
      </c>
      <c r="B17" s="78" t="s">
        <v>257</v>
      </c>
      <c r="C17" s="49"/>
      <c r="D17" s="50"/>
      <c r="E17" s="62"/>
      <c r="F17" s="51"/>
      <c r="G17" s="49"/>
      <c r="H17" s="53"/>
      <c r="I17" s="52"/>
      <c r="J17" s="52"/>
      <c r="K17" s="32" t="s">
        <v>65</v>
      </c>
      <c r="L17" s="77">
        <v>32</v>
      </c>
      <c r="M17" s="77"/>
      <c r="N17" s="59"/>
      <c r="O17" s="80" t="s">
        <v>211</v>
      </c>
      <c r="P17" s="82">
        <v>44866.25991898148</v>
      </c>
      <c r="Q17" s="80" t="s">
        <v>278</v>
      </c>
      <c r="R17" s="84" t="str">
        <f>HYPERLINK("https://vivianfrancos.com/sencalkapimi-cuando-es-el-hashtag-de-una-novela-el-que-genera-todas-las-pasiones/")</f>
        <v>https://vivianfrancos.com/sencalkapimi-cuando-es-el-hashtag-de-una-novela-el-que-genera-todas-las-pasiones/</v>
      </c>
      <c r="S17" s="80" t="s">
        <v>303</v>
      </c>
      <c r="T17" s="86" t="s">
        <v>309</v>
      </c>
      <c r="U17" s="80"/>
      <c r="V17" s="84" t="str">
        <f>HYPERLINK("https://pbs.twimg.com/profile_images/1487756429276684289/Kqq9xAOb_normal.png")</f>
        <v>https://pbs.twimg.com/profile_images/1487756429276684289/Kqq9xAOb_normal.png</v>
      </c>
      <c r="W17" s="82">
        <v>44866.25991898148</v>
      </c>
      <c r="X17" s="88">
        <v>44866</v>
      </c>
      <c r="Y17" s="86" t="s">
        <v>343</v>
      </c>
      <c r="Z17" s="84" t="str">
        <f>HYPERLINK("https://twitter.com/hashtagmarketi7/status/1587327146330038274")</f>
        <v>https://twitter.com/hashtagmarketi7/status/1587327146330038274</v>
      </c>
      <c r="AA17" s="80"/>
      <c r="AB17" s="80"/>
      <c r="AC17" s="86" t="s">
        <v>381</v>
      </c>
      <c r="AD17" s="80"/>
      <c r="AE17" s="80" t="b">
        <v>0</v>
      </c>
      <c r="AF17" s="80">
        <v>0</v>
      </c>
      <c r="AG17" s="86" t="s">
        <v>409</v>
      </c>
      <c r="AH17" s="80" t="b">
        <v>0</v>
      </c>
      <c r="AI17" s="80" t="s">
        <v>410</v>
      </c>
      <c r="AJ17" s="80"/>
      <c r="AK17" s="86" t="s">
        <v>409</v>
      </c>
      <c r="AL17" s="80" t="b">
        <v>0</v>
      </c>
      <c r="AM17" s="80">
        <v>1</v>
      </c>
      <c r="AN17" s="86" t="s">
        <v>409</v>
      </c>
      <c r="AO17" s="86" t="s">
        <v>418</v>
      </c>
      <c r="AP17" s="80" t="b">
        <v>0</v>
      </c>
      <c r="AQ17" s="86" t="s">
        <v>381</v>
      </c>
      <c r="AR17" s="80" t="s">
        <v>271</v>
      </c>
      <c r="AS17" s="80">
        <v>0</v>
      </c>
      <c r="AT17" s="80">
        <v>0</v>
      </c>
      <c r="AU17" s="80"/>
      <c r="AV17" s="80"/>
      <c r="AW17" s="80"/>
      <c r="AX17" s="80"/>
      <c r="AY17" s="80"/>
      <c r="AZ17" s="80"/>
      <c r="BA17" s="80"/>
      <c r="BB17" s="80"/>
      <c r="BC17">
        <v>28</v>
      </c>
      <c r="BD17" s="79" t="str">
        <f>REPLACE(INDEX(GroupVertices[Group],MATCH(Edges25[[#This Row],[Vertex 1]],GroupVertices[Vertex],0)),1,1,"")</f>
        <v>1</v>
      </c>
      <c r="BE17" s="79" t="str">
        <f>REPLACE(INDEX(GroupVertices[Group],MATCH(Edges25[[#This Row],[Vertex 2]],GroupVertices[Vertex],0)),1,1,"")</f>
        <v>1</v>
      </c>
      <c r="BF17" s="47">
        <v>0</v>
      </c>
      <c r="BG17" s="48">
        <v>0</v>
      </c>
      <c r="BH17" s="47">
        <v>0</v>
      </c>
      <c r="BI17" s="48">
        <v>0</v>
      </c>
      <c r="BJ17" s="47">
        <v>0</v>
      </c>
      <c r="BK17" s="48">
        <v>0</v>
      </c>
      <c r="BL17" s="47">
        <v>8</v>
      </c>
      <c r="BM17" s="48">
        <v>53.333333333333336</v>
      </c>
      <c r="BN17" s="47">
        <v>15</v>
      </c>
    </row>
    <row r="18" spans="1:66" ht="15">
      <c r="A18" s="78" t="s">
        <v>257</v>
      </c>
      <c r="B18" s="78" t="s">
        <v>257</v>
      </c>
      <c r="C18" s="49"/>
      <c r="D18" s="50"/>
      <c r="E18" s="62"/>
      <c r="F18" s="51"/>
      <c r="G18" s="49"/>
      <c r="H18" s="53"/>
      <c r="I18" s="52"/>
      <c r="J18" s="52"/>
      <c r="K18" s="32" t="s">
        <v>65</v>
      </c>
      <c r="L18" s="77">
        <v>33</v>
      </c>
      <c r="M18" s="77"/>
      <c r="N18" s="59"/>
      <c r="O18" s="80" t="s">
        <v>211</v>
      </c>
      <c r="P18" s="82">
        <v>44866.91893518518</v>
      </c>
      <c r="Q18" s="80" t="s">
        <v>281</v>
      </c>
      <c r="R18" s="84" t="str">
        <f>HYPERLINK("https://www.amazon.es/C%C3%93MO-ENCONTRAR-LOS-HASHTAGS-POTENTES-ebook/dp/B08D9W3Q3V/")</f>
        <v>https://www.amazon.es/C%C3%93MO-ENCONTRAR-LOS-HASHTAGS-POTENTES-ebook/dp/B08D9W3Q3V/</v>
      </c>
      <c r="S18" s="80" t="s">
        <v>305</v>
      </c>
      <c r="T18" s="86" t="s">
        <v>314</v>
      </c>
      <c r="U18" s="84" t="str">
        <f>HYPERLINK("https://pbs.twimg.com/media/Fggq1AwWQAA5OKl.jpg")</f>
        <v>https://pbs.twimg.com/media/Fggq1AwWQAA5OKl.jpg</v>
      </c>
      <c r="V18" s="84" t="str">
        <f>HYPERLINK("https://pbs.twimg.com/media/Fggq1AwWQAA5OKl.jpg")</f>
        <v>https://pbs.twimg.com/media/Fggq1AwWQAA5OKl.jpg</v>
      </c>
      <c r="W18" s="82">
        <v>44866.91893518518</v>
      </c>
      <c r="X18" s="88">
        <v>44866</v>
      </c>
      <c r="Y18" s="86" t="s">
        <v>344</v>
      </c>
      <c r="Z18" s="84" t="str">
        <f>HYPERLINK("https://twitter.com/hashtagmarketi7/status/1587565965008584705")</f>
        <v>https://twitter.com/hashtagmarketi7/status/1587565965008584705</v>
      </c>
      <c r="AA18" s="80"/>
      <c r="AB18" s="80"/>
      <c r="AC18" s="86" t="s">
        <v>382</v>
      </c>
      <c r="AD18" s="80"/>
      <c r="AE18" s="80" t="b">
        <v>0</v>
      </c>
      <c r="AF18" s="80">
        <v>0</v>
      </c>
      <c r="AG18" s="86" t="s">
        <v>409</v>
      </c>
      <c r="AH18" s="80" t="b">
        <v>0</v>
      </c>
      <c r="AI18" s="80" t="s">
        <v>410</v>
      </c>
      <c r="AJ18" s="80"/>
      <c r="AK18" s="86" t="s">
        <v>409</v>
      </c>
      <c r="AL18" s="80" t="b">
        <v>0</v>
      </c>
      <c r="AM18" s="80">
        <v>0</v>
      </c>
      <c r="AN18" s="86" t="s">
        <v>409</v>
      </c>
      <c r="AO18" s="86" t="s">
        <v>418</v>
      </c>
      <c r="AP18" s="80" t="b">
        <v>0</v>
      </c>
      <c r="AQ18" s="86" t="s">
        <v>382</v>
      </c>
      <c r="AR18" s="80" t="s">
        <v>211</v>
      </c>
      <c r="AS18" s="80">
        <v>0</v>
      </c>
      <c r="AT18" s="80">
        <v>0</v>
      </c>
      <c r="AU18" s="80"/>
      <c r="AV18" s="80"/>
      <c r="AW18" s="80"/>
      <c r="AX18" s="80"/>
      <c r="AY18" s="80"/>
      <c r="AZ18" s="80"/>
      <c r="BA18" s="80"/>
      <c r="BB18" s="80"/>
      <c r="BC18">
        <v>28</v>
      </c>
      <c r="BD18" s="79" t="str">
        <f>REPLACE(INDEX(GroupVertices[Group],MATCH(Edges25[[#This Row],[Vertex 1]],GroupVertices[Vertex],0)),1,1,"")</f>
        <v>1</v>
      </c>
      <c r="BE18" s="79" t="str">
        <f>REPLACE(INDEX(GroupVertices[Group],MATCH(Edges25[[#This Row],[Vertex 2]],GroupVertices[Vertex],0)),1,1,"")</f>
        <v>1</v>
      </c>
      <c r="BF18" s="47">
        <v>1</v>
      </c>
      <c r="BG18" s="48">
        <v>4.761904761904762</v>
      </c>
      <c r="BH18" s="47">
        <v>0</v>
      </c>
      <c r="BI18" s="48">
        <v>0</v>
      </c>
      <c r="BJ18" s="47">
        <v>0</v>
      </c>
      <c r="BK18" s="48">
        <v>0</v>
      </c>
      <c r="BL18" s="47">
        <v>14</v>
      </c>
      <c r="BM18" s="48">
        <v>66.66666666666667</v>
      </c>
      <c r="BN18" s="47">
        <v>21</v>
      </c>
    </row>
    <row r="19" spans="1:66" ht="15">
      <c r="A19" s="78" t="s">
        <v>257</v>
      </c>
      <c r="B19" s="78" t="s">
        <v>257</v>
      </c>
      <c r="C19" s="49"/>
      <c r="D19" s="50"/>
      <c r="E19" s="62"/>
      <c r="F19" s="51"/>
      <c r="G19" s="49"/>
      <c r="H19" s="53"/>
      <c r="I19" s="52"/>
      <c r="J19" s="52"/>
      <c r="K19" s="32" t="s">
        <v>65</v>
      </c>
      <c r="L19" s="77">
        <v>34</v>
      </c>
      <c r="M19" s="77"/>
      <c r="N19" s="59"/>
      <c r="O19" s="80" t="s">
        <v>211</v>
      </c>
      <c r="P19" s="82">
        <v>44867.67658564815</v>
      </c>
      <c r="Q19" s="80" t="s">
        <v>282</v>
      </c>
      <c r="R19" s="84" t="str">
        <f>HYPERLINK("https://vivianfrancos.com/los-hashtags-ayudan-en-las-busquedas-de-oportunidades-laborales/")</f>
        <v>https://vivianfrancos.com/los-hashtags-ayudan-en-las-busquedas-de-oportunidades-laborales/</v>
      </c>
      <c r="S19" s="80" t="s">
        <v>303</v>
      </c>
      <c r="T19" s="86" t="s">
        <v>315</v>
      </c>
      <c r="U19" s="80"/>
      <c r="V19" s="84" t="str">
        <f>HYPERLINK("https://pbs.twimg.com/profile_images/1487756429276684289/Kqq9xAOb_normal.png")</f>
        <v>https://pbs.twimg.com/profile_images/1487756429276684289/Kqq9xAOb_normal.png</v>
      </c>
      <c r="W19" s="82">
        <v>44867.67658564815</v>
      </c>
      <c r="X19" s="88">
        <v>44867</v>
      </c>
      <c r="Y19" s="86" t="s">
        <v>345</v>
      </c>
      <c r="Z19" s="84" t="str">
        <f>HYPERLINK("https://twitter.com/hashtagmarketi7/status/1587840527868825600")</f>
        <v>https://twitter.com/hashtagmarketi7/status/1587840527868825600</v>
      </c>
      <c r="AA19" s="80"/>
      <c r="AB19" s="80"/>
      <c r="AC19" s="86" t="s">
        <v>383</v>
      </c>
      <c r="AD19" s="80"/>
      <c r="AE19" s="80" t="b">
        <v>0</v>
      </c>
      <c r="AF19" s="80">
        <v>1</v>
      </c>
      <c r="AG19" s="86" t="s">
        <v>409</v>
      </c>
      <c r="AH19" s="80" t="b">
        <v>0</v>
      </c>
      <c r="AI19" s="80" t="s">
        <v>410</v>
      </c>
      <c r="AJ19" s="80"/>
      <c r="AK19" s="86" t="s">
        <v>409</v>
      </c>
      <c r="AL19" s="80" t="b">
        <v>0</v>
      </c>
      <c r="AM19" s="80">
        <v>0</v>
      </c>
      <c r="AN19" s="86" t="s">
        <v>409</v>
      </c>
      <c r="AO19" s="86" t="s">
        <v>418</v>
      </c>
      <c r="AP19" s="80" t="b">
        <v>0</v>
      </c>
      <c r="AQ19" s="86" t="s">
        <v>383</v>
      </c>
      <c r="AR19" s="80" t="s">
        <v>211</v>
      </c>
      <c r="AS19" s="80">
        <v>0</v>
      </c>
      <c r="AT19" s="80">
        <v>0</v>
      </c>
      <c r="AU19" s="80"/>
      <c r="AV19" s="80"/>
      <c r="AW19" s="80"/>
      <c r="AX19" s="80"/>
      <c r="AY19" s="80"/>
      <c r="AZ19" s="80"/>
      <c r="BA19" s="80"/>
      <c r="BB19" s="80"/>
      <c r="BC19">
        <v>28</v>
      </c>
      <c r="BD19" s="79" t="str">
        <f>REPLACE(INDEX(GroupVertices[Group],MATCH(Edges25[[#This Row],[Vertex 1]],GroupVertices[Vertex],0)),1,1,"")</f>
        <v>1</v>
      </c>
      <c r="BE19" s="79" t="str">
        <f>REPLACE(INDEX(GroupVertices[Group],MATCH(Edges25[[#This Row],[Vertex 2]],GroupVertices[Vertex],0)),1,1,"")</f>
        <v>1</v>
      </c>
      <c r="BF19" s="47">
        <v>0</v>
      </c>
      <c r="BG19" s="48">
        <v>0</v>
      </c>
      <c r="BH19" s="47">
        <v>0</v>
      </c>
      <c r="BI19" s="48">
        <v>0</v>
      </c>
      <c r="BJ19" s="47">
        <v>0</v>
      </c>
      <c r="BK19" s="48">
        <v>0</v>
      </c>
      <c r="BL19" s="47">
        <v>7</v>
      </c>
      <c r="BM19" s="48">
        <v>63.63636363636363</v>
      </c>
      <c r="BN19" s="47">
        <v>11</v>
      </c>
    </row>
    <row r="20" spans="1:66" ht="15">
      <c r="A20" s="78" t="s">
        <v>257</v>
      </c>
      <c r="B20" s="78" t="s">
        <v>257</v>
      </c>
      <c r="C20" s="49"/>
      <c r="D20" s="50"/>
      <c r="E20" s="62"/>
      <c r="F20" s="51"/>
      <c r="G20" s="49"/>
      <c r="H20" s="53"/>
      <c r="I20" s="52"/>
      <c r="J20" s="52"/>
      <c r="K20" s="32" t="s">
        <v>65</v>
      </c>
      <c r="L20" s="77">
        <v>35</v>
      </c>
      <c r="M20" s="77"/>
      <c r="N20" s="59"/>
      <c r="O20" s="80" t="s">
        <v>211</v>
      </c>
      <c r="P20" s="82">
        <v>44867.79125</v>
      </c>
      <c r="Q20" s="80" t="s">
        <v>274</v>
      </c>
      <c r="R20" s="84" t="str">
        <f>HYPERLINK("https://eventbrite.com/e/2023-winter-school-social-networks-nodexl-pro-a-few-clicks-to-insights-tickets-393167403287")</f>
        <v>https://eventbrite.com/e/2023-winter-school-social-networks-nodexl-pro-a-few-clicks-to-insights-tickets-393167403287</v>
      </c>
      <c r="S20" s="80" t="s">
        <v>304</v>
      </c>
      <c r="T20" s="86" t="s">
        <v>310</v>
      </c>
      <c r="U20" s="80"/>
      <c r="V20" s="84" t="str">
        <f>HYPERLINK("https://pbs.twimg.com/profile_images/1487756429276684289/Kqq9xAOb_normal.png")</f>
        <v>https://pbs.twimg.com/profile_images/1487756429276684289/Kqq9xAOb_normal.png</v>
      </c>
      <c r="W20" s="82">
        <v>44867.79125</v>
      </c>
      <c r="X20" s="88">
        <v>44867</v>
      </c>
      <c r="Y20" s="86" t="s">
        <v>346</v>
      </c>
      <c r="Z20" s="84" t="str">
        <f>HYPERLINK("https://twitter.com/hashtagmarketi7/status/1587882081874591744")</f>
        <v>https://twitter.com/hashtagmarketi7/status/1587882081874591744</v>
      </c>
      <c r="AA20" s="80"/>
      <c r="AB20" s="80"/>
      <c r="AC20" s="86" t="s">
        <v>384</v>
      </c>
      <c r="AD20" s="80"/>
      <c r="AE20" s="80" t="b">
        <v>0</v>
      </c>
      <c r="AF20" s="80">
        <v>7</v>
      </c>
      <c r="AG20" s="86" t="s">
        <v>409</v>
      </c>
      <c r="AH20" s="80" t="b">
        <v>0</v>
      </c>
      <c r="AI20" s="80" t="s">
        <v>411</v>
      </c>
      <c r="AJ20" s="80"/>
      <c r="AK20" s="86" t="s">
        <v>409</v>
      </c>
      <c r="AL20" s="80" t="b">
        <v>0</v>
      </c>
      <c r="AM20" s="80">
        <v>2</v>
      </c>
      <c r="AN20" s="86" t="s">
        <v>409</v>
      </c>
      <c r="AO20" s="86" t="s">
        <v>418</v>
      </c>
      <c r="AP20" s="80" t="b">
        <v>0</v>
      </c>
      <c r="AQ20" s="86" t="s">
        <v>384</v>
      </c>
      <c r="AR20" s="80" t="s">
        <v>211</v>
      </c>
      <c r="AS20" s="80">
        <v>0</v>
      </c>
      <c r="AT20" s="80">
        <v>0</v>
      </c>
      <c r="AU20" s="80"/>
      <c r="AV20" s="80"/>
      <c r="AW20" s="80"/>
      <c r="AX20" s="80"/>
      <c r="AY20" s="80"/>
      <c r="AZ20" s="80"/>
      <c r="BA20" s="80"/>
      <c r="BB20" s="80"/>
      <c r="BC20">
        <v>28</v>
      </c>
      <c r="BD20" s="79" t="str">
        <f>REPLACE(INDEX(GroupVertices[Group],MATCH(Edges25[[#This Row],[Vertex 1]],GroupVertices[Vertex],0)),1,1,"")</f>
        <v>1</v>
      </c>
      <c r="BE20" s="79" t="str">
        <f>REPLACE(INDEX(GroupVertices[Group],MATCH(Edges25[[#This Row],[Vertex 2]],GroupVertices[Vertex],0)),1,1,"")</f>
        <v>1</v>
      </c>
      <c r="BF20" s="47">
        <v>0</v>
      </c>
      <c r="BG20" s="48">
        <v>0</v>
      </c>
      <c r="BH20" s="47">
        <v>0</v>
      </c>
      <c r="BI20" s="48">
        <v>0</v>
      </c>
      <c r="BJ20" s="47">
        <v>0</v>
      </c>
      <c r="BK20" s="48">
        <v>0</v>
      </c>
      <c r="BL20" s="47">
        <v>25</v>
      </c>
      <c r="BM20" s="48">
        <v>71.42857142857143</v>
      </c>
      <c r="BN20" s="47">
        <v>35</v>
      </c>
    </row>
    <row r="21" spans="1:66" ht="15">
      <c r="A21" s="78" t="s">
        <v>257</v>
      </c>
      <c r="B21" s="78" t="s">
        <v>257</v>
      </c>
      <c r="C21" s="49"/>
      <c r="D21" s="50"/>
      <c r="E21" s="62"/>
      <c r="F21" s="51"/>
      <c r="G21" s="49"/>
      <c r="H21" s="53"/>
      <c r="I21" s="52"/>
      <c r="J21" s="52"/>
      <c r="K21" s="32" t="s">
        <v>65</v>
      </c>
      <c r="L21" s="77">
        <v>36</v>
      </c>
      <c r="M21" s="77"/>
      <c r="N21" s="59"/>
      <c r="O21" s="80" t="s">
        <v>211</v>
      </c>
      <c r="P21" s="82">
        <v>44868.25994212963</v>
      </c>
      <c r="Q21" s="80" t="s">
        <v>283</v>
      </c>
      <c r="R21" s="84" t="str">
        <f>HYPERLINK("https://vivianfrancos.com/control-parental-de-tiktok-pueden-bloquear-terminos-de-busqueda-usuarios-y-hashtags/")</f>
        <v>https://vivianfrancos.com/control-parental-de-tiktok-pueden-bloquear-terminos-de-busqueda-usuarios-y-hashtags/</v>
      </c>
      <c r="S21" s="80" t="s">
        <v>303</v>
      </c>
      <c r="T21" s="86" t="s">
        <v>316</v>
      </c>
      <c r="U21" s="80"/>
      <c r="V21" s="84" t="str">
        <f>HYPERLINK("https://pbs.twimg.com/profile_images/1487756429276684289/Kqq9xAOb_normal.png")</f>
        <v>https://pbs.twimg.com/profile_images/1487756429276684289/Kqq9xAOb_normal.png</v>
      </c>
      <c r="W21" s="82">
        <v>44868.25994212963</v>
      </c>
      <c r="X21" s="88">
        <v>44868</v>
      </c>
      <c r="Y21" s="86" t="s">
        <v>347</v>
      </c>
      <c r="Z21" s="84" t="str">
        <f>HYPERLINK("https://twitter.com/hashtagmarketi7/status/1588051929372020736")</f>
        <v>https://twitter.com/hashtagmarketi7/status/1588051929372020736</v>
      </c>
      <c r="AA21" s="80"/>
      <c r="AB21" s="80"/>
      <c r="AC21" s="86" t="s">
        <v>385</v>
      </c>
      <c r="AD21" s="80"/>
      <c r="AE21" s="80" t="b">
        <v>0</v>
      </c>
      <c r="AF21" s="80">
        <v>0</v>
      </c>
      <c r="AG21" s="86" t="s">
        <v>409</v>
      </c>
      <c r="AH21" s="80" t="b">
        <v>0</v>
      </c>
      <c r="AI21" s="80" t="s">
        <v>410</v>
      </c>
      <c r="AJ21" s="80"/>
      <c r="AK21" s="86" t="s">
        <v>409</v>
      </c>
      <c r="AL21" s="80" t="b">
        <v>0</v>
      </c>
      <c r="AM21" s="80">
        <v>0</v>
      </c>
      <c r="AN21" s="86" t="s">
        <v>409</v>
      </c>
      <c r="AO21" s="86" t="s">
        <v>418</v>
      </c>
      <c r="AP21" s="80" t="b">
        <v>0</v>
      </c>
      <c r="AQ21" s="86" t="s">
        <v>385</v>
      </c>
      <c r="AR21" s="80" t="s">
        <v>211</v>
      </c>
      <c r="AS21" s="80">
        <v>0</v>
      </c>
      <c r="AT21" s="80">
        <v>0</v>
      </c>
      <c r="AU21" s="80"/>
      <c r="AV21" s="80"/>
      <c r="AW21" s="80"/>
      <c r="AX21" s="80"/>
      <c r="AY21" s="80"/>
      <c r="AZ21" s="80"/>
      <c r="BA21" s="80"/>
      <c r="BB21" s="80"/>
      <c r="BC21">
        <v>28</v>
      </c>
      <c r="BD21" s="79" t="str">
        <f>REPLACE(INDEX(GroupVertices[Group],MATCH(Edges25[[#This Row],[Vertex 1]],GroupVertices[Vertex],0)),1,1,"")</f>
        <v>1</v>
      </c>
      <c r="BE21" s="79" t="str">
        <f>REPLACE(INDEX(GroupVertices[Group],MATCH(Edges25[[#This Row],[Vertex 2]],GroupVertices[Vertex],0)),1,1,"")</f>
        <v>1</v>
      </c>
      <c r="BF21" s="47">
        <v>0</v>
      </c>
      <c r="BG21" s="48">
        <v>0</v>
      </c>
      <c r="BH21" s="47">
        <v>0</v>
      </c>
      <c r="BI21" s="48">
        <v>0</v>
      </c>
      <c r="BJ21" s="47">
        <v>0</v>
      </c>
      <c r="BK21" s="48">
        <v>0</v>
      </c>
      <c r="BL21" s="47">
        <v>10</v>
      </c>
      <c r="BM21" s="48">
        <v>71.42857142857143</v>
      </c>
      <c r="BN21" s="47">
        <v>14</v>
      </c>
    </row>
    <row r="22" spans="1:66" ht="15">
      <c r="A22" s="78" t="s">
        <v>257</v>
      </c>
      <c r="B22" s="78" t="s">
        <v>257</v>
      </c>
      <c r="C22" s="49"/>
      <c r="D22" s="50"/>
      <c r="E22" s="62"/>
      <c r="F22" s="51"/>
      <c r="G22" s="49"/>
      <c r="H22" s="53"/>
      <c r="I22" s="52"/>
      <c r="J22" s="52"/>
      <c r="K22" s="32" t="s">
        <v>65</v>
      </c>
      <c r="L22" s="77">
        <v>37</v>
      </c>
      <c r="M22" s="77"/>
      <c r="N22" s="59"/>
      <c r="O22" s="80" t="s">
        <v>211</v>
      </c>
      <c r="P22" s="82">
        <v>44868.59413194445</v>
      </c>
      <c r="Q22" s="80" t="s">
        <v>284</v>
      </c>
      <c r="R22" s="84" t="str">
        <f>HYPERLINK("https://www.amazon.es/C%C3%93MO-ENCONTRAR-LOS-HASHTAGS-POTENTES-ebook/dp/B08D9W3Q3V/")</f>
        <v>https://www.amazon.es/C%C3%93MO-ENCONTRAR-LOS-HASHTAGS-POTENTES-ebook/dp/B08D9W3Q3V/</v>
      </c>
      <c r="S22" s="80" t="s">
        <v>305</v>
      </c>
      <c r="T22" s="86" t="s">
        <v>317</v>
      </c>
      <c r="U22" s="84" t="str">
        <f>HYPERLINK("https://pbs.twimg.com/media/FgpS9NxX0AEh-XD.jpg")</f>
        <v>https://pbs.twimg.com/media/FgpS9NxX0AEh-XD.jpg</v>
      </c>
      <c r="V22" s="84" t="str">
        <f>HYPERLINK("https://pbs.twimg.com/media/FgpS9NxX0AEh-XD.jpg")</f>
        <v>https://pbs.twimg.com/media/FgpS9NxX0AEh-XD.jpg</v>
      </c>
      <c r="W22" s="82">
        <v>44868.59413194445</v>
      </c>
      <c r="X22" s="88">
        <v>44868</v>
      </c>
      <c r="Y22" s="86" t="s">
        <v>348</v>
      </c>
      <c r="Z22" s="84" t="str">
        <f>HYPERLINK("https://twitter.com/hashtagmarketi7/status/1588173036250857473")</f>
        <v>https://twitter.com/hashtagmarketi7/status/1588173036250857473</v>
      </c>
      <c r="AA22" s="80"/>
      <c r="AB22" s="80"/>
      <c r="AC22" s="86" t="s">
        <v>386</v>
      </c>
      <c r="AD22" s="80"/>
      <c r="AE22" s="80" t="b">
        <v>0</v>
      </c>
      <c r="AF22" s="80">
        <v>1</v>
      </c>
      <c r="AG22" s="86" t="s">
        <v>409</v>
      </c>
      <c r="AH22" s="80" t="b">
        <v>0</v>
      </c>
      <c r="AI22" s="80" t="s">
        <v>410</v>
      </c>
      <c r="AJ22" s="80"/>
      <c r="AK22" s="86" t="s">
        <v>409</v>
      </c>
      <c r="AL22" s="80" t="b">
        <v>0</v>
      </c>
      <c r="AM22" s="80">
        <v>0</v>
      </c>
      <c r="AN22" s="86" t="s">
        <v>409</v>
      </c>
      <c r="AO22" s="86" t="s">
        <v>418</v>
      </c>
      <c r="AP22" s="80" t="b">
        <v>0</v>
      </c>
      <c r="AQ22" s="86" t="s">
        <v>386</v>
      </c>
      <c r="AR22" s="80" t="s">
        <v>211</v>
      </c>
      <c r="AS22" s="80">
        <v>0</v>
      </c>
      <c r="AT22" s="80">
        <v>0</v>
      </c>
      <c r="AU22" s="80"/>
      <c r="AV22" s="80"/>
      <c r="AW22" s="80"/>
      <c r="AX22" s="80"/>
      <c r="AY22" s="80"/>
      <c r="AZ22" s="80"/>
      <c r="BA22" s="80"/>
      <c r="BB22" s="80"/>
      <c r="BC22">
        <v>28</v>
      </c>
      <c r="BD22" s="79" t="str">
        <f>REPLACE(INDEX(GroupVertices[Group],MATCH(Edges25[[#This Row],[Vertex 1]],GroupVertices[Vertex],0)),1,1,"")</f>
        <v>1</v>
      </c>
      <c r="BE22" s="79" t="str">
        <f>REPLACE(INDEX(GroupVertices[Group],MATCH(Edges25[[#This Row],[Vertex 2]],GroupVertices[Vertex],0)),1,1,"")</f>
        <v>1</v>
      </c>
      <c r="BF22" s="47">
        <v>0</v>
      </c>
      <c r="BG22" s="48">
        <v>0</v>
      </c>
      <c r="BH22" s="47">
        <v>0</v>
      </c>
      <c r="BI22" s="48">
        <v>0</v>
      </c>
      <c r="BJ22" s="47">
        <v>0</v>
      </c>
      <c r="BK22" s="48">
        <v>0</v>
      </c>
      <c r="BL22" s="47">
        <v>11</v>
      </c>
      <c r="BM22" s="48">
        <v>55</v>
      </c>
      <c r="BN22" s="47">
        <v>20</v>
      </c>
    </row>
    <row r="23" spans="1:66" ht="15">
      <c r="A23" s="78" t="s">
        <v>257</v>
      </c>
      <c r="B23" s="78" t="s">
        <v>257</v>
      </c>
      <c r="C23" s="49"/>
      <c r="D23" s="50"/>
      <c r="E23" s="62"/>
      <c r="F23" s="51"/>
      <c r="G23" s="49"/>
      <c r="H23" s="53"/>
      <c r="I23" s="52"/>
      <c r="J23" s="52"/>
      <c r="K23" s="32" t="s">
        <v>65</v>
      </c>
      <c r="L23" s="77">
        <v>38</v>
      </c>
      <c r="M23" s="77"/>
      <c r="N23" s="59"/>
      <c r="O23" s="80" t="s">
        <v>211</v>
      </c>
      <c r="P23" s="82">
        <v>44868.67459490741</v>
      </c>
      <c r="Q23" s="80" t="s">
        <v>285</v>
      </c>
      <c r="R23" s="84" t="str">
        <f>HYPERLINK("https://vivianfrancos.com/linkedin-como-herramienta-de-ventas-b2b-para-tu-empresa/")</f>
        <v>https://vivianfrancos.com/linkedin-como-herramienta-de-ventas-b2b-para-tu-empresa/</v>
      </c>
      <c r="S23" s="80" t="s">
        <v>303</v>
      </c>
      <c r="T23" s="86" t="s">
        <v>318</v>
      </c>
      <c r="U23" s="84" t="str">
        <f>HYPERLINK("https://pbs.twimg.com/ext_tw_video_thumb/1588202174860955654/pu/img/rGkWz-5Lh5d7w78g.jpg")</f>
        <v>https://pbs.twimg.com/ext_tw_video_thumb/1588202174860955654/pu/img/rGkWz-5Lh5d7w78g.jpg</v>
      </c>
      <c r="V23" s="84" t="str">
        <f>HYPERLINK("https://pbs.twimg.com/ext_tw_video_thumb/1588202174860955654/pu/img/rGkWz-5Lh5d7w78g.jpg")</f>
        <v>https://pbs.twimg.com/ext_tw_video_thumb/1588202174860955654/pu/img/rGkWz-5Lh5d7w78g.jpg</v>
      </c>
      <c r="W23" s="82">
        <v>44868.67459490741</v>
      </c>
      <c r="X23" s="88">
        <v>44868</v>
      </c>
      <c r="Y23" s="86" t="s">
        <v>349</v>
      </c>
      <c r="Z23" s="84" t="str">
        <f>HYPERLINK("https://twitter.com/hashtagmarketi7/status/1588202194041556998")</f>
        <v>https://twitter.com/hashtagmarketi7/status/1588202194041556998</v>
      </c>
      <c r="AA23" s="80"/>
      <c r="AB23" s="80"/>
      <c r="AC23" s="86" t="s">
        <v>387</v>
      </c>
      <c r="AD23" s="80"/>
      <c r="AE23" s="80" t="b">
        <v>0</v>
      </c>
      <c r="AF23" s="80">
        <v>0</v>
      </c>
      <c r="AG23" s="86" t="s">
        <v>409</v>
      </c>
      <c r="AH23" s="80" t="b">
        <v>0</v>
      </c>
      <c r="AI23" s="80" t="s">
        <v>410</v>
      </c>
      <c r="AJ23" s="80"/>
      <c r="AK23" s="86" t="s">
        <v>409</v>
      </c>
      <c r="AL23" s="80" t="b">
        <v>0</v>
      </c>
      <c r="AM23" s="80">
        <v>0</v>
      </c>
      <c r="AN23" s="86" t="s">
        <v>409</v>
      </c>
      <c r="AO23" s="86" t="s">
        <v>418</v>
      </c>
      <c r="AP23" s="80" t="b">
        <v>0</v>
      </c>
      <c r="AQ23" s="86" t="s">
        <v>387</v>
      </c>
      <c r="AR23" s="80" t="s">
        <v>211</v>
      </c>
      <c r="AS23" s="80">
        <v>0</v>
      </c>
      <c r="AT23" s="80">
        <v>0</v>
      </c>
      <c r="AU23" s="80"/>
      <c r="AV23" s="80"/>
      <c r="AW23" s="80"/>
      <c r="AX23" s="80"/>
      <c r="AY23" s="80"/>
      <c r="AZ23" s="80"/>
      <c r="BA23" s="80"/>
      <c r="BB23" s="80"/>
      <c r="BC23">
        <v>28</v>
      </c>
      <c r="BD23" s="79" t="str">
        <f>REPLACE(INDEX(GroupVertices[Group],MATCH(Edges25[[#This Row],[Vertex 1]],GroupVertices[Vertex],0)),1,1,"")</f>
        <v>1</v>
      </c>
      <c r="BE23" s="79" t="str">
        <f>REPLACE(INDEX(GroupVertices[Group],MATCH(Edges25[[#This Row],[Vertex 2]],GroupVertices[Vertex],0)),1,1,"")</f>
        <v>1</v>
      </c>
      <c r="BF23" s="47">
        <v>0</v>
      </c>
      <c r="BG23" s="48">
        <v>0</v>
      </c>
      <c r="BH23" s="47">
        <v>0</v>
      </c>
      <c r="BI23" s="48">
        <v>0</v>
      </c>
      <c r="BJ23" s="47">
        <v>0</v>
      </c>
      <c r="BK23" s="48">
        <v>0</v>
      </c>
      <c r="BL23" s="47">
        <v>17</v>
      </c>
      <c r="BM23" s="48">
        <v>58.62068965517241</v>
      </c>
      <c r="BN23" s="47">
        <v>29</v>
      </c>
    </row>
    <row r="24" spans="1:66" ht="15">
      <c r="A24" s="78" t="s">
        <v>257</v>
      </c>
      <c r="B24" s="78" t="s">
        <v>257</v>
      </c>
      <c r="C24" s="49"/>
      <c r="D24" s="50"/>
      <c r="E24" s="62"/>
      <c r="F24" s="51"/>
      <c r="G24" s="49"/>
      <c r="H24" s="53"/>
      <c r="I24" s="52"/>
      <c r="J24" s="52"/>
      <c r="K24" s="32" t="s">
        <v>65</v>
      </c>
      <c r="L24" s="77">
        <v>39</v>
      </c>
      <c r="M24" s="77"/>
      <c r="N24" s="59"/>
      <c r="O24" s="80" t="s">
        <v>211</v>
      </c>
      <c r="P24" s="82">
        <v>44868.91894675926</v>
      </c>
      <c r="Q24" s="80" t="s">
        <v>286</v>
      </c>
      <c r="R24" s="84" t="str">
        <f>HYPERLINK("https://www.amazon.es/C%C3%93MO-ENCONTRAR-LOS-HASHTAGS-POTENTES-ebook/dp/B08D9W3Q3V/")</f>
        <v>https://www.amazon.es/C%C3%93MO-ENCONTRAR-LOS-HASHTAGS-POTENTES-ebook/dp/B08D9W3Q3V/</v>
      </c>
      <c r="S24" s="80" t="s">
        <v>305</v>
      </c>
      <c r="T24" s="86" t="s">
        <v>314</v>
      </c>
      <c r="U24" s="84" t="str">
        <f>HYPERLINK("https://pbs.twimg.com/media/Fgq-A3qWAAM8atW.jpg")</f>
        <v>https://pbs.twimg.com/media/Fgq-A3qWAAM8atW.jpg</v>
      </c>
      <c r="V24" s="84" t="str">
        <f>HYPERLINK("https://pbs.twimg.com/media/Fgq-A3qWAAM8atW.jpg")</f>
        <v>https://pbs.twimg.com/media/Fgq-A3qWAAM8atW.jpg</v>
      </c>
      <c r="W24" s="82">
        <v>44868.91894675926</v>
      </c>
      <c r="X24" s="88">
        <v>44868</v>
      </c>
      <c r="Y24" s="86" t="s">
        <v>350</v>
      </c>
      <c r="Z24" s="84" t="str">
        <f>HYPERLINK("https://twitter.com/hashtagmarketi7/status/1588290746674733057")</f>
        <v>https://twitter.com/hashtagmarketi7/status/1588290746674733057</v>
      </c>
      <c r="AA24" s="80"/>
      <c r="AB24" s="80"/>
      <c r="AC24" s="86" t="s">
        <v>388</v>
      </c>
      <c r="AD24" s="80"/>
      <c r="AE24" s="80" t="b">
        <v>0</v>
      </c>
      <c r="AF24" s="80">
        <v>2</v>
      </c>
      <c r="AG24" s="86" t="s">
        <v>409</v>
      </c>
      <c r="AH24" s="80" t="b">
        <v>0</v>
      </c>
      <c r="AI24" s="80" t="s">
        <v>410</v>
      </c>
      <c r="AJ24" s="80"/>
      <c r="AK24" s="86" t="s">
        <v>409</v>
      </c>
      <c r="AL24" s="80" t="b">
        <v>0</v>
      </c>
      <c r="AM24" s="80">
        <v>0</v>
      </c>
      <c r="AN24" s="86" t="s">
        <v>409</v>
      </c>
      <c r="AO24" s="86" t="s">
        <v>418</v>
      </c>
      <c r="AP24" s="80" t="b">
        <v>0</v>
      </c>
      <c r="AQ24" s="86" t="s">
        <v>388</v>
      </c>
      <c r="AR24" s="80" t="s">
        <v>211</v>
      </c>
      <c r="AS24" s="80">
        <v>0</v>
      </c>
      <c r="AT24" s="80">
        <v>0</v>
      </c>
      <c r="AU24" s="80"/>
      <c r="AV24" s="80"/>
      <c r="AW24" s="80"/>
      <c r="AX24" s="80"/>
      <c r="AY24" s="80"/>
      <c r="AZ24" s="80"/>
      <c r="BA24" s="80"/>
      <c r="BB24" s="80"/>
      <c r="BC24">
        <v>28</v>
      </c>
      <c r="BD24" s="79" t="str">
        <f>REPLACE(INDEX(GroupVertices[Group],MATCH(Edges25[[#This Row],[Vertex 1]],GroupVertices[Vertex],0)),1,1,"")</f>
        <v>1</v>
      </c>
      <c r="BE24" s="79" t="str">
        <f>REPLACE(INDEX(GroupVertices[Group],MATCH(Edges25[[#This Row],[Vertex 2]],GroupVertices[Vertex],0)),1,1,"")</f>
        <v>1</v>
      </c>
      <c r="BF24" s="47">
        <v>1</v>
      </c>
      <c r="BG24" s="48">
        <v>4.761904761904762</v>
      </c>
      <c r="BH24" s="47">
        <v>0</v>
      </c>
      <c r="BI24" s="48">
        <v>0</v>
      </c>
      <c r="BJ24" s="47">
        <v>0</v>
      </c>
      <c r="BK24" s="48">
        <v>0</v>
      </c>
      <c r="BL24" s="47">
        <v>14</v>
      </c>
      <c r="BM24" s="48">
        <v>66.66666666666667</v>
      </c>
      <c r="BN24" s="47">
        <v>21</v>
      </c>
    </row>
    <row r="25" spans="1:66" ht="15">
      <c r="A25" s="78" t="s">
        <v>257</v>
      </c>
      <c r="B25" s="78" t="s">
        <v>257</v>
      </c>
      <c r="C25" s="49"/>
      <c r="D25" s="50"/>
      <c r="E25" s="62"/>
      <c r="F25" s="51"/>
      <c r="G25" s="49"/>
      <c r="H25" s="53"/>
      <c r="I25" s="52"/>
      <c r="J25" s="52"/>
      <c r="K25" s="32" t="s">
        <v>65</v>
      </c>
      <c r="L25" s="77">
        <v>40</v>
      </c>
      <c r="M25" s="77"/>
      <c r="N25" s="59"/>
      <c r="O25" s="80" t="s">
        <v>211</v>
      </c>
      <c r="P25" s="82">
        <v>44869.67667824074</v>
      </c>
      <c r="Q25" s="80" t="s">
        <v>287</v>
      </c>
      <c r="R25" s="84" t="str">
        <f>HYPERLINK("https://vivianfrancos.com/comienza-desde-hoy-a-posicionar-tu-hashtags-como-todo-un-experto/")</f>
        <v>https://vivianfrancos.com/comienza-desde-hoy-a-posicionar-tu-hashtags-como-todo-un-experto/</v>
      </c>
      <c r="S25" s="80" t="s">
        <v>303</v>
      </c>
      <c r="T25" s="86" t="s">
        <v>319</v>
      </c>
      <c r="U25" s="80"/>
      <c r="V25" s="84" t="str">
        <f>HYPERLINK("https://pbs.twimg.com/profile_images/1487756429276684289/Kqq9xAOb_normal.png")</f>
        <v>https://pbs.twimg.com/profile_images/1487756429276684289/Kqq9xAOb_normal.png</v>
      </c>
      <c r="W25" s="82">
        <v>44869.67667824074</v>
      </c>
      <c r="X25" s="88">
        <v>44869</v>
      </c>
      <c r="Y25" s="86" t="s">
        <v>351</v>
      </c>
      <c r="Z25" s="84" t="str">
        <f>HYPERLINK("https://twitter.com/hashtagmarketi7/status/1588565337062121472")</f>
        <v>https://twitter.com/hashtagmarketi7/status/1588565337062121472</v>
      </c>
      <c r="AA25" s="80"/>
      <c r="AB25" s="80"/>
      <c r="AC25" s="86" t="s">
        <v>389</v>
      </c>
      <c r="AD25" s="80"/>
      <c r="AE25" s="80" t="b">
        <v>0</v>
      </c>
      <c r="AF25" s="80">
        <v>0</v>
      </c>
      <c r="AG25" s="86" t="s">
        <v>409</v>
      </c>
      <c r="AH25" s="80" t="b">
        <v>0</v>
      </c>
      <c r="AI25" s="80" t="s">
        <v>410</v>
      </c>
      <c r="AJ25" s="80"/>
      <c r="AK25" s="86" t="s">
        <v>409</v>
      </c>
      <c r="AL25" s="80" t="b">
        <v>0</v>
      </c>
      <c r="AM25" s="80">
        <v>0</v>
      </c>
      <c r="AN25" s="86" t="s">
        <v>409</v>
      </c>
      <c r="AO25" s="86" t="s">
        <v>418</v>
      </c>
      <c r="AP25" s="80" t="b">
        <v>0</v>
      </c>
      <c r="AQ25" s="86" t="s">
        <v>389</v>
      </c>
      <c r="AR25" s="80" t="s">
        <v>211</v>
      </c>
      <c r="AS25" s="80">
        <v>0</v>
      </c>
      <c r="AT25" s="80">
        <v>0</v>
      </c>
      <c r="AU25" s="80"/>
      <c r="AV25" s="80"/>
      <c r="AW25" s="80"/>
      <c r="AX25" s="80"/>
      <c r="AY25" s="80"/>
      <c r="AZ25" s="80"/>
      <c r="BA25" s="80"/>
      <c r="BB25" s="80"/>
      <c r="BC25">
        <v>28</v>
      </c>
      <c r="BD25" s="79" t="str">
        <f>REPLACE(INDEX(GroupVertices[Group],MATCH(Edges25[[#This Row],[Vertex 1]],GroupVertices[Vertex],0)),1,1,"")</f>
        <v>1</v>
      </c>
      <c r="BE25" s="79" t="str">
        <f>REPLACE(INDEX(GroupVertices[Group],MATCH(Edges25[[#This Row],[Vertex 2]],GroupVertices[Vertex],0)),1,1,"")</f>
        <v>1</v>
      </c>
      <c r="BF25" s="47">
        <v>0</v>
      </c>
      <c r="BG25" s="48">
        <v>0</v>
      </c>
      <c r="BH25" s="47">
        <v>0</v>
      </c>
      <c r="BI25" s="48">
        <v>0</v>
      </c>
      <c r="BJ25" s="47">
        <v>0</v>
      </c>
      <c r="BK25" s="48">
        <v>0</v>
      </c>
      <c r="BL25" s="47">
        <v>8</v>
      </c>
      <c r="BM25" s="48">
        <v>61.53846153846154</v>
      </c>
      <c r="BN25" s="47">
        <v>13</v>
      </c>
    </row>
    <row r="26" spans="1:66" ht="15">
      <c r="A26" s="78" t="s">
        <v>257</v>
      </c>
      <c r="B26" s="78" t="s">
        <v>257</v>
      </c>
      <c r="C26" s="49"/>
      <c r="D26" s="50"/>
      <c r="E26" s="62"/>
      <c r="F26" s="51"/>
      <c r="G26" s="49"/>
      <c r="H26" s="53"/>
      <c r="I26" s="52"/>
      <c r="J26" s="52"/>
      <c r="K26" s="32" t="s">
        <v>65</v>
      </c>
      <c r="L26" s="77">
        <v>41</v>
      </c>
      <c r="M26" s="77"/>
      <c r="N26" s="59"/>
      <c r="O26" s="80" t="s">
        <v>211</v>
      </c>
      <c r="P26" s="82">
        <v>44869.79119212963</v>
      </c>
      <c r="Q26" s="80" t="s">
        <v>288</v>
      </c>
      <c r="R26"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26" s="80" t="s">
        <v>303</v>
      </c>
      <c r="T26" s="86" t="s">
        <v>320</v>
      </c>
      <c r="U26" s="80"/>
      <c r="V26" s="84" t="str">
        <f>HYPERLINK("https://pbs.twimg.com/profile_images/1487756429276684289/Kqq9xAOb_normal.png")</f>
        <v>https://pbs.twimg.com/profile_images/1487756429276684289/Kqq9xAOb_normal.png</v>
      </c>
      <c r="W26" s="82">
        <v>44869.79119212963</v>
      </c>
      <c r="X26" s="88">
        <v>44869</v>
      </c>
      <c r="Y26" s="86" t="s">
        <v>352</v>
      </c>
      <c r="Z26" s="84" t="str">
        <f>HYPERLINK("https://twitter.com/hashtagmarketi7/status/1588606838022471688")</f>
        <v>https://twitter.com/hashtagmarketi7/status/1588606838022471688</v>
      </c>
      <c r="AA26" s="80"/>
      <c r="AB26" s="80"/>
      <c r="AC26" s="86" t="s">
        <v>390</v>
      </c>
      <c r="AD26" s="80"/>
      <c r="AE26" s="80" t="b">
        <v>0</v>
      </c>
      <c r="AF26" s="80">
        <v>5</v>
      </c>
      <c r="AG26" s="86" t="s">
        <v>409</v>
      </c>
      <c r="AH26" s="80" t="b">
        <v>0</v>
      </c>
      <c r="AI26" s="80" t="s">
        <v>410</v>
      </c>
      <c r="AJ26" s="80"/>
      <c r="AK26" s="86" t="s">
        <v>409</v>
      </c>
      <c r="AL26" s="80" t="b">
        <v>0</v>
      </c>
      <c r="AM26" s="80">
        <v>0</v>
      </c>
      <c r="AN26" s="86" t="s">
        <v>409</v>
      </c>
      <c r="AO26" s="86" t="s">
        <v>418</v>
      </c>
      <c r="AP26" s="80" t="b">
        <v>0</v>
      </c>
      <c r="AQ26" s="86" t="s">
        <v>390</v>
      </c>
      <c r="AR26" s="80" t="s">
        <v>211</v>
      </c>
      <c r="AS26" s="80">
        <v>0</v>
      </c>
      <c r="AT26" s="80">
        <v>0</v>
      </c>
      <c r="AU26" s="80"/>
      <c r="AV26" s="80"/>
      <c r="AW26" s="80"/>
      <c r="AX26" s="80"/>
      <c r="AY26" s="80"/>
      <c r="AZ26" s="80"/>
      <c r="BA26" s="80"/>
      <c r="BB26" s="80"/>
      <c r="BC26">
        <v>28</v>
      </c>
      <c r="BD26" s="79" t="str">
        <f>REPLACE(INDEX(GroupVertices[Group],MATCH(Edges25[[#This Row],[Vertex 1]],GroupVertices[Vertex],0)),1,1,"")</f>
        <v>1</v>
      </c>
      <c r="BE26" s="79" t="str">
        <f>REPLACE(INDEX(GroupVertices[Group],MATCH(Edges25[[#This Row],[Vertex 2]],GroupVertices[Vertex],0)),1,1,"")</f>
        <v>1</v>
      </c>
      <c r="BF26" s="47">
        <v>0</v>
      </c>
      <c r="BG26" s="48">
        <v>0</v>
      </c>
      <c r="BH26" s="47">
        <v>0</v>
      </c>
      <c r="BI26" s="48">
        <v>0</v>
      </c>
      <c r="BJ26" s="47">
        <v>0</v>
      </c>
      <c r="BK26" s="48">
        <v>0</v>
      </c>
      <c r="BL26" s="47">
        <v>21</v>
      </c>
      <c r="BM26" s="48">
        <v>77.77777777777777</v>
      </c>
      <c r="BN26" s="47">
        <v>27</v>
      </c>
    </row>
    <row r="27" spans="1:66" ht="15">
      <c r="A27" s="78" t="s">
        <v>257</v>
      </c>
      <c r="B27" s="78" t="s">
        <v>257</v>
      </c>
      <c r="C27" s="49"/>
      <c r="D27" s="50"/>
      <c r="E27" s="62"/>
      <c r="F27" s="51"/>
      <c r="G27" s="49"/>
      <c r="H27" s="53"/>
      <c r="I27" s="52"/>
      <c r="J27" s="52"/>
      <c r="K27" s="32" t="s">
        <v>65</v>
      </c>
      <c r="L27" s="77">
        <v>42</v>
      </c>
      <c r="M27" s="77"/>
      <c r="N27" s="59"/>
      <c r="O27" s="80" t="s">
        <v>211</v>
      </c>
      <c r="P27" s="82">
        <v>44870.25991898148</v>
      </c>
      <c r="Q27" s="80" t="s">
        <v>289</v>
      </c>
      <c r="R27" s="84" t="str">
        <f>HYPERLINK("https://vivianfrancos.com/youtube-lleva-los-hashtags-al-siguiente-nivel-de-importancia-al-ofrecer-paginas-dedicadas/")</f>
        <v>https://vivianfrancos.com/youtube-lleva-los-hashtags-al-siguiente-nivel-de-importancia-al-ofrecer-paginas-dedicadas/</v>
      </c>
      <c r="S27" s="80" t="s">
        <v>303</v>
      </c>
      <c r="T27" s="86" t="s">
        <v>321</v>
      </c>
      <c r="U27" s="80"/>
      <c r="V27" s="84" t="str">
        <f>HYPERLINK("https://pbs.twimg.com/profile_images/1487756429276684289/Kqq9xAOb_normal.png")</f>
        <v>https://pbs.twimg.com/profile_images/1487756429276684289/Kqq9xAOb_normal.png</v>
      </c>
      <c r="W27" s="82">
        <v>44870.25991898148</v>
      </c>
      <c r="X27" s="88">
        <v>44870</v>
      </c>
      <c r="Y27" s="86" t="s">
        <v>343</v>
      </c>
      <c r="Z27" s="84" t="str">
        <f>HYPERLINK("https://twitter.com/hashtagmarketi7/status/1588776699654717440")</f>
        <v>https://twitter.com/hashtagmarketi7/status/1588776699654717440</v>
      </c>
      <c r="AA27" s="80"/>
      <c r="AB27" s="80"/>
      <c r="AC27" s="86" t="s">
        <v>391</v>
      </c>
      <c r="AD27" s="80"/>
      <c r="AE27" s="80" t="b">
        <v>0</v>
      </c>
      <c r="AF27" s="80">
        <v>0</v>
      </c>
      <c r="AG27" s="86" t="s">
        <v>409</v>
      </c>
      <c r="AH27" s="80" t="b">
        <v>0</v>
      </c>
      <c r="AI27" s="80" t="s">
        <v>410</v>
      </c>
      <c r="AJ27" s="80"/>
      <c r="AK27" s="86" t="s">
        <v>409</v>
      </c>
      <c r="AL27" s="80" t="b">
        <v>0</v>
      </c>
      <c r="AM27" s="80">
        <v>0</v>
      </c>
      <c r="AN27" s="86" t="s">
        <v>409</v>
      </c>
      <c r="AO27" s="86" t="s">
        <v>418</v>
      </c>
      <c r="AP27" s="80" t="b">
        <v>0</v>
      </c>
      <c r="AQ27" s="86" t="s">
        <v>391</v>
      </c>
      <c r="AR27" s="80" t="s">
        <v>211</v>
      </c>
      <c r="AS27" s="80">
        <v>0</v>
      </c>
      <c r="AT27" s="80">
        <v>0</v>
      </c>
      <c r="AU27" s="80"/>
      <c r="AV27" s="80"/>
      <c r="AW27" s="80"/>
      <c r="AX27" s="80"/>
      <c r="AY27" s="80"/>
      <c r="AZ27" s="80"/>
      <c r="BA27" s="80"/>
      <c r="BB27" s="80"/>
      <c r="BC27">
        <v>28</v>
      </c>
      <c r="BD27" s="79" t="str">
        <f>REPLACE(INDEX(GroupVertices[Group],MATCH(Edges25[[#This Row],[Vertex 1]],GroupVertices[Vertex],0)),1,1,"")</f>
        <v>1</v>
      </c>
      <c r="BE27" s="79" t="str">
        <f>REPLACE(INDEX(GroupVertices[Group],MATCH(Edges25[[#This Row],[Vertex 2]],GroupVertices[Vertex],0)),1,1,"")</f>
        <v>1</v>
      </c>
      <c r="BF27" s="47">
        <v>0</v>
      </c>
      <c r="BG27" s="48">
        <v>0</v>
      </c>
      <c r="BH27" s="47">
        <v>0</v>
      </c>
      <c r="BI27" s="48">
        <v>0</v>
      </c>
      <c r="BJ27" s="47">
        <v>0</v>
      </c>
      <c r="BK27" s="48">
        <v>0</v>
      </c>
      <c r="BL27" s="47">
        <v>7</v>
      </c>
      <c r="BM27" s="48">
        <v>63.63636363636363</v>
      </c>
      <c r="BN27" s="47">
        <v>11</v>
      </c>
    </row>
    <row r="28" spans="1:66" ht="15">
      <c r="A28" s="78" t="s">
        <v>257</v>
      </c>
      <c r="B28" s="78" t="s">
        <v>257</v>
      </c>
      <c r="C28" s="49"/>
      <c r="D28" s="50"/>
      <c r="E28" s="62"/>
      <c r="F28" s="51"/>
      <c r="G28" s="49"/>
      <c r="H28" s="53"/>
      <c r="I28" s="52"/>
      <c r="J28" s="52"/>
      <c r="K28" s="32" t="s">
        <v>65</v>
      </c>
      <c r="L28" s="77">
        <v>43</v>
      </c>
      <c r="M28" s="77"/>
      <c r="N28" s="59"/>
      <c r="O28" s="80" t="s">
        <v>211</v>
      </c>
      <c r="P28" s="82">
        <v>44870.48144675926</v>
      </c>
      <c r="Q28" s="80" t="s">
        <v>290</v>
      </c>
      <c r="R28" s="84" t="str">
        <f>HYPERLINK("https://vivianfrancos.com/nodexl-pro-en-formato-power-bi-completamente-interactivo/")</f>
        <v>https://vivianfrancos.com/nodexl-pro-en-formato-power-bi-completamente-interactivo/</v>
      </c>
      <c r="S28" s="80" t="s">
        <v>303</v>
      </c>
      <c r="T28" s="86" t="s">
        <v>322</v>
      </c>
      <c r="U28" s="80"/>
      <c r="V28" s="84" t="str">
        <f>HYPERLINK("https://pbs.twimg.com/profile_images/1487756429276684289/Kqq9xAOb_normal.png")</f>
        <v>https://pbs.twimg.com/profile_images/1487756429276684289/Kqq9xAOb_normal.png</v>
      </c>
      <c r="W28" s="82">
        <v>44870.48144675926</v>
      </c>
      <c r="X28" s="88">
        <v>44870</v>
      </c>
      <c r="Y28" s="86" t="s">
        <v>353</v>
      </c>
      <c r="Z28" s="84" t="str">
        <f>HYPERLINK("https://twitter.com/hashtagmarketi7/status/1588856977966481409")</f>
        <v>https://twitter.com/hashtagmarketi7/status/1588856977966481409</v>
      </c>
      <c r="AA28" s="80"/>
      <c r="AB28" s="80"/>
      <c r="AC28" s="86" t="s">
        <v>392</v>
      </c>
      <c r="AD28" s="80"/>
      <c r="AE28" s="80" t="b">
        <v>0</v>
      </c>
      <c r="AF28" s="80">
        <v>5</v>
      </c>
      <c r="AG28" s="86" t="s">
        <v>409</v>
      </c>
      <c r="AH28" s="80" t="b">
        <v>0</v>
      </c>
      <c r="AI28" s="80" t="s">
        <v>410</v>
      </c>
      <c r="AJ28" s="80"/>
      <c r="AK28" s="86" t="s">
        <v>409</v>
      </c>
      <c r="AL28" s="80" t="b">
        <v>0</v>
      </c>
      <c r="AM28" s="80">
        <v>0</v>
      </c>
      <c r="AN28" s="86" t="s">
        <v>409</v>
      </c>
      <c r="AO28" s="86" t="s">
        <v>418</v>
      </c>
      <c r="AP28" s="80" t="b">
        <v>0</v>
      </c>
      <c r="AQ28" s="86" t="s">
        <v>392</v>
      </c>
      <c r="AR28" s="80" t="s">
        <v>211</v>
      </c>
      <c r="AS28" s="80">
        <v>0</v>
      </c>
      <c r="AT28" s="80">
        <v>0</v>
      </c>
      <c r="AU28" s="80"/>
      <c r="AV28" s="80"/>
      <c r="AW28" s="80"/>
      <c r="AX28" s="80"/>
      <c r="AY28" s="80"/>
      <c r="AZ28" s="80"/>
      <c r="BA28" s="80"/>
      <c r="BB28" s="80"/>
      <c r="BC28">
        <v>28</v>
      </c>
      <c r="BD28" s="79" t="str">
        <f>REPLACE(INDEX(GroupVertices[Group],MATCH(Edges25[[#This Row],[Vertex 1]],GroupVertices[Vertex],0)),1,1,"")</f>
        <v>1</v>
      </c>
      <c r="BE28" s="79" t="str">
        <f>REPLACE(INDEX(GroupVertices[Group],MATCH(Edges25[[#This Row],[Vertex 2]],GroupVertices[Vertex],0)),1,1,"")</f>
        <v>1</v>
      </c>
      <c r="BF28" s="47">
        <v>0</v>
      </c>
      <c r="BG28" s="48">
        <v>0</v>
      </c>
      <c r="BH28" s="47">
        <v>0</v>
      </c>
      <c r="BI28" s="48">
        <v>0</v>
      </c>
      <c r="BJ28" s="47">
        <v>0</v>
      </c>
      <c r="BK28" s="48">
        <v>0</v>
      </c>
      <c r="BL28" s="47">
        <v>21</v>
      </c>
      <c r="BM28" s="48">
        <v>70</v>
      </c>
      <c r="BN28" s="47">
        <v>30</v>
      </c>
    </row>
    <row r="29" spans="1:66" ht="15">
      <c r="A29" s="78" t="s">
        <v>257</v>
      </c>
      <c r="B29" s="78" t="s">
        <v>257</v>
      </c>
      <c r="C29" s="49"/>
      <c r="D29" s="50"/>
      <c r="E29" s="62"/>
      <c r="F29" s="51"/>
      <c r="G29" s="49"/>
      <c r="H29" s="53"/>
      <c r="I29" s="52"/>
      <c r="J29" s="52"/>
      <c r="K29" s="32" t="s">
        <v>65</v>
      </c>
      <c r="L29" s="77">
        <v>44</v>
      </c>
      <c r="M29" s="77"/>
      <c r="N29" s="59"/>
      <c r="O29" s="80" t="s">
        <v>211</v>
      </c>
      <c r="P29" s="82">
        <v>44871.593935185185</v>
      </c>
      <c r="Q29" s="80" t="s">
        <v>291</v>
      </c>
      <c r="R29" s="84" t="str">
        <f>HYPERLINK("https://www.amazon.es/C%C3%93MO-ENCONTRAR-LOS-HASHTAGS-POTENTES-ebook/dp/B08D9W3Q3V/")</f>
        <v>https://www.amazon.es/C%C3%93MO-ENCONTRAR-LOS-HASHTAGS-POTENTES-ebook/dp/B08D9W3Q3V/</v>
      </c>
      <c r="S29" s="80" t="s">
        <v>305</v>
      </c>
      <c r="T29" s="86" t="s">
        <v>314</v>
      </c>
      <c r="U29" s="84" t="str">
        <f>HYPERLINK("https://pbs.twimg.com/media/Fg4vqZ3XEAATgAg.jpg")</f>
        <v>https://pbs.twimg.com/media/Fg4vqZ3XEAATgAg.jpg</v>
      </c>
      <c r="V29" s="84" t="str">
        <f>HYPERLINK("https://pbs.twimg.com/media/Fg4vqZ3XEAATgAg.jpg")</f>
        <v>https://pbs.twimg.com/media/Fg4vqZ3XEAATgAg.jpg</v>
      </c>
      <c r="W29" s="82">
        <v>44871.593935185185</v>
      </c>
      <c r="X29" s="88">
        <v>44871</v>
      </c>
      <c r="Y29" s="86" t="s">
        <v>354</v>
      </c>
      <c r="Z29" s="84" t="str">
        <f>HYPERLINK("https://twitter.com/hashtagmarketi7/status/1589260130482372611")</f>
        <v>https://twitter.com/hashtagmarketi7/status/1589260130482372611</v>
      </c>
      <c r="AA29" s="80"/>
      <c r="AB29" s="80"/>
      <c r="AC29" s="86" t="s">
        <v>393</v>
      </c>
      <c r="AD29" s="80"/>
      <c r="AE29" s="80" t="b">
        <v>0</v>
      </c>
      <c r="AF29" s="80">
        <v>1</v>
      </c>
      <c r="AG29" s="86" t="s">
        <v>409</v>
      </c>
      <c r="AH29" s="80" t="b">
        <v>0</v>
      </c>
      <c r="AI29" s="80" t="s">
        <v>410</v>
      </c>
      <c r="AJ29" s="80"/>
      <c r="AK29" s="86" t="s">
        <v>409</v>
      </c>
      <c r="AL29" s="80" t="b">
        <v>0</v>
      </c>
      <c r="AM29" s="80">
        <v>0</v>
      </c>
      <c r="AN29" s="86" t="s">
        <v>409</v>
      </c>
      <c r="AO29" s="86" t="s">
        <v>418</v>
      </c>
      <c r="AP29" s="80" t="b">
        <v>0</v>
      </c>
      <c r="AQ29" s="86" t="s">
        <v>393</v>
      </c>
      <c r="AR29" s="80" t="s">
        <v>211</v>
      </c>
      <c r="AS29" s="80">
        <v>0</v>
      </c>
      <c r="AT29" s="80">
        <v>0</v>
      </c>
      <c r="AU29" s="80"/>
      <c r="AV29" s="80"/>
      <c r="AW29" s="80"/>
      <c r="AX29" s="80"/>
      <c r="AY29" s="80"/>
      <c r="AZ29" s="80"/>
      <c r="BA29" s="80"/>
      <c r="BB29" s="80"/>
      <c r="BC29">
        <v>28</v>
      </c>
      <c r="BD29" s="79" t="str">
        <f>REPLACE(INDEX(GroupVertices[Group],MATCH(Edges25[[#This Row],[Vertex 1]],GroupVertices[Vertex],0)),1,1,"")</f>
        <v>1</v>
      </c>
      <c r="BE29" s="79" t="str">
        <f>REPLACE(INDEX(GroupVertices[Group],MATCH(Edges25[[#This Row],[Vertex 2]],GroupVertices[Vertex],0)),1,1,"")</f>
        <v>1</v>
      </c>
      <c r="BF29" s="47">
        <v>1</v>
      </c>
      <c r="BG29" s="48">
        <v>4.761904761904762</v>
      </c>
      <c r="BH29" s="47">
        <v>0</v>
      </c>
      <c r="BI29" s="48">
        <v>0</v>
      </c>
      <c r="BJ29" s="47">
        <v>0</v>
      </c>
      <c r="BK29" s="48">
        <v>0</v>
      </c>
      <c r="BL29" s="47">
        <v>14</v>
      </c>
      <c r="BM29" s="48">
        <v>66.66666666666667</v>
      </c>
      <c r="BN29" s="47">
        <v>21</v>
      </c>
    </row>
    <row r="30" spans="1:66" ht="15">
      <c r="A30" s="78" t="s">
        <v>257</v>
      </c>
      <c r="B30" s="78" t="s">
        <v>257</v>
      </c>
      <c r="C30" s="49"/>
      <c r="D30" s="50"/>
      <c r="E30" s="62"/>
      <c r="F30" s="51"/>
      <c r="G30" s="49"/>
      <c r="H30" s="53"/>
      <c r="I30" s="52"/>
      <c r="J30" s="52"/>
      <c r="K30" s="32" t="s">
        <v>65</v>
      </c>
      <c r="L30" s="77">
        <v>45</v>
      </c>
      <c r="M30" s="77"/>
      <c r="N30" s="59"/>
      <c r="O30" s="80" t="s">
        <v>211</v>
      </c>
      <c r="P30" s="82">
        <v>44871.67653935185</v>
      </c>
      <c r="Q30" s="80" t="s">
        <v>292</v>
      </c>
      <c r="R30" s="84" t="str">
        <f>HYPERLINK("https://vivianfrancos.com/la-importancia-del-posicionamiento-en-las-redessociales/")</f>
        <v>https://vivianfrancos.com/la-importancia-del-posicionamiento-en-las-redessociales/</v>
      </c>
      <c r="S30" s="80" t="s">
        <v>303</v>
      </c>
      <c r="T30" s="86" t="s">
        <v>323</v>
      </c>
      <c r="U30" s="80"/>
      <c r="V30" s="84" t="str">
        <f>HYPERLINK("https://pbs.twimg.com/profile_images/1487756429276684289/Kqq9xAOb_normal.png")</f>
        <v>https://pbs.twimg.com/profile_images/1487756429276684289/Kqq9xAOb_normal.png</v>
      </c>
      <c r="W30" s="82">
        <v>44871.67653935185</v>
      </c>
      <c r="X30" s="88">
        <v>44871</v>
      </c>
      <c r="Y30" s="86" t="s">
        <v>355</v>
      </c>
      <c r="Z30" s="84" t="str">
        <f>HYPERLINK("https://twitter.com/hashtagmarketi7/status/1589290064709918722")</f>
        <v>https://twitter.com/hashtagmarketi7/status/1589290064709918722</v>
      </c>
      <c r="AA30" s="80"/>
      <c r="AB30" s="80"/>
      <c r="AC30" s="86" t="s">
        <v>394</v>
      </c>
      <c r="AD30" s="80"/>
      <c r="AE30" s="80" t="b">
        <v>0</v>
      </c>
      <c r="AF30" s="80">
        <v>1</v>
      </c>
      <c r="AG30" s="86" t="s">
        <v>409</v>
      </c>
      <c r="AH30" s="80" t="b">
        <v>0</v>
      </c>
      <c r="AI30" s="80" t="s">
        <v>410</v>
      </c>
      <c r="AJ30" s="80"/>
      <c r="AK30" s="86" t="s">
        <v>409</v>
      </c>
      <c r="AL30" s="80" t="b">
        <v>0</v>
      </c>
      <c r="AM30" s="80">
        <v>0</v>
      </c>
      <c r="AN30" s="86" t="s">
        <v>409</v>
      </c>
      <c r="AO30" s="86" t="s">
        <v>418</v>
      </c>
      <c r="AP30" s="80" t="b">
        <v>0</v>
      </c>
      <c r="AQ30" s="86" t="s">
        <v>394</v>
      </c>
      <c r="AR30" s="80" t="s">
        <v>211</v>
      </c>
      <c r="AS30" s="80">
        <v>0</v>
      </c>
      <c r="AT30" s="80">
        <v>0</v>
      </c>
      <c r="AU30" s="80"/>
      <c r="AV30" s="80"/>
      <c r="AW30" s="80"/>
      <c r="AX30" s="80"/>
      <c r="AY30" s="80"/>
      <c r="AZ30" s="80"/>
      <c r="BA30" s="80"/>
      <c r="BB30" s="80"/>
      <c r="BC30">
        <v>28</v>
      </c>
      <c r="BD30" s="79" t="str">
        <f>REPLACE(INDEX(GroupVertices[Group],MATCH(Edges25[[#This Row],[Vertex 1]],GroupVertices[Vertex],0)),1,1,"")</f>
        <v>1</v>
      </c>
      <c r="BE30" s="79" t="str">
        <f>REPLACE(INDEX(GroupVertices[Group],MATCH(Edges25[[#This Row],[Vertex 2]],GroupVertices[Vertex],0)),1,1,"")</f>
        <v>1</v>
      </c>
      <c r="BF30" s="47">
        <v>0</v>
      </c>
      <c r="BG30" s="48">
        <v>0</v>
      </c>
      <c r="BH30" s="47">
        <v>0</v>
      </c>
      <c r="BI30" s="48">
        <v>0</v>
      </c>
      <c r="BJ30" s="47">
        <v>0</v>
      </c>
      <c r="BK30" s="48">
        <v>0</v>
      </c>
      <c r="BL30" s="47">
        <v>4</v>
      </c>
      <c r="BM30" s="48">
        <v>44.44444444444444</v>
      </c>
      <c r="BN30" s="47">
        <v>9</v>
      </c>
    </row>
    <row r="31" spans="1:66" ht="15">
      <c r="A31" s="78" t="s">
        <v>257</v>
      </c>
      <c r="B31" s="78" t="s">
        <v>257</v>
      </c>
      <c r="C31" s="49"/>
      <c r="D31" s="50"/>
      <c r="E31" s="62"/>
      <c r="F31" s="51"/>
      <c r="G31" s="49"/>
      <c r="H31" s="53"/>
      <c r="I31" s="52"/>
      <c r="J31" s="52"/>
      <c r="K31" s="32" t="s">
        <v>65</v>
      </c>
      <c r="L31" s="77">
        <v>46</v>
      </c>
      <c r="M31" s="77"/>
      <c r="N31" s="59"/>
      <c r="O31" s="80" t="s">
        <v>211</v>
      </c>
      <c r="P31" s="82">
        <v>44871.91893518518</v>
      </c>
      <c r="Q31" s="80" t="s">
        <v>275</v>
      </c>
      <c r="R31" s="84" t="str">
        <f>HYPERLINK("https://www.amazon.es/C%C3%93MO-ENCONTRAR-LOS-HASHTAGS-POTENTES-ebook/dp/B08D9W3Q3V/")</f>
        <v>https://www.amazon.es/C%C3%93MO-ENCONTRAR-LOS-HASHTAGS-POTENTES-ebook/dp/B08D9W3Q3V/</v>
      </c>
      <c r="S31" s="80" t="s">
        <v>305</v>
      </c>
      <c r="T31" s="86" t="s">
        <v>311</v>
      </c>
      <c r="U31" s="84" t="str">
        <f>HYPERLINK("https://pbs.twimg.com/media/Fg6axwrXkAI7yGY.jpg")</f>
        <v>https://pbs.twimg.com/media/Fg6axwrXkAI7yGY.jpg</v>
      </c>
      <c r="V31" s="84" t="str">
        <f>HYPERLINK("https://pbs.twimg.com/media/Fg6axwrXkAI7yGY.jpg")</f>
        <v>https://pbs.twimg.com/media/Fg6axwrXkAI7yGY.jpg</v>
      </c>
      <c r="W31" s="82">
        <v>44871.91893518518</v>
      </c>
      <c r="X31" s="88">
        <v>44871</v>
      </c>
      <c r="Y31" s="86" t="s">
        <v>344</v>
      </c>
      <c r="Z31" s="84" t="str">
        <f>HYPERLINK("https://twitter.com/hashtagmarketi7/status/1589377904055656449")</f>
        <v>https://twitter.com/hashtagmarketi7/status/1589377904055656449</v>
      </c>
      <c r="AA31" s="80"/>
      <c r="AB31" s="80"/>
      <c r="AC31" s="86" t="s">
        <v>395</v>
      </c>
      <c r="AD31" s="80"/>
      <c r="AE31" s="80" t="b">
        <v>0</v>
      </c>
      <c r="AF31" s="80">
        <v>2</v>
      </c>
      <c r="AG31" s="86" t="s">
        <v>409</v>
      </c>
      <c r="AH31" s="80" t="b">
        <v>0</v>
      </c>
      <c r="AI31" s="80" t="s">
        <v>410</v>
      </c>
      <c r="AJ31" s="80"/>
      <c r="AK31" s="86" t="s">
        <v>409</v>
      </c>
      <c r="AL31" s="80" t="b">
        <v>0</v>
      </c>
      <c r="AM31" s="80">
        <v>1</v>
      </c>
      <c r="AN31" s="86" t="s">
        <v>409</v>
      </c>
      <c r="AO31" s="86" t="s">
        <v>418</v>
      </c>
      <c r="AP31" s="80" t="b">
        <v>0</v>
      </c>
      <c r="AQ31" s="86" t="s">
        <v>395</v>
      </c>
      <c r="AR31" s="80" t="s">
        <v>211</v>
      </c>
      <c r="AS31" s="80">
        <v>0</v>
      </c>
      <c r="AT31" s="80">
        <v>0</v>
      </c>
      <c r="AU31" s="80"/>
      <c r="AV31" s="80"/>
      <c r="AW31" s="80"/>
      <c r="AX31" s="80"/>
      <c r="AY31" s="80"/>
      <c r="AZ31" s="80"/>
      <c r="BA31" s="80"/>
      <c r="BB31" s="80"/>
      <c r="BC31">
        <v>28</v>
      </c>
      <c r="BD31" s="79" t="str">
        <f>REPLACE(INDEX(GroupVertices[Group],MATCH(Edges25[[#This Row],[Vertex 1]],GroupVertices[Vertex],0)),1,1,"")</f>
        <v>1</v>
      </c>
      <c r="BE31" s="79" t="str">
        <f>REPLACE(INDEX(GroupVertices[Group],MATCH(Edges25[[#This Row],[Vertex 2]],GroupVertices[Vertex],0)),1,1,"")</f>
        <v>1</v>
      </c>
      <c r="BF31" s="47">
        <v>0</v>
      </c>
      <c r="BG31" s="48">
        <v>0</v>
      </c>
      <c r="BH31" s="47">
        <v>0</v>
      </c>
      <c r="BI31" s="48">
        <v>0</v>
      </c>
      <c r="BJ31" s="47">
        <v>0</v>
      </c>
      <c r="BK31" s="48">
        <v>0</v>
      </c>
      <c r="BL31" s="47">
        <v>18</v>
      </c>
      <c r="BM31" s="48">
        <v>69.23076923076923</v>
      </c>
      <c r="BN31" s="47">
        <v>26</v>
      </c>
    </row>
    <row r="32" spans="1:66" ht="15">
      <c r="A32" s="78" t="s">
        <v>257</v>
      </c>
      <c r="B32" s="78" t="s">
        <v>257</v>
      </c>
      <c r="C32" s="49"/>
      <c r="D32" s="50"/>
      <c r="E32" s="62"/>
      <c r="F32" s="51"/>
      <c r="G32" s="49"/>
      <c r="H32" s="53"/>
      <c r="I32" s="52"/>
      <c r="J32" s="52"/>
      <c r="K32" s="32" t="s">
        <v>65</v>
      </c>
      <c r="L32" s="77">
        <v>47</v>
      </c>
      <c r="M32" s="77"/>
      <c r="N32" s="59"/>
      <c r="O32" s="80" t="s">
        <v>211</v>
      </c>
      <c r="P32" s="82">
        <v>44872.563043981485</v>
      </c>
      <c r="Q32" s="80" t="s">
        <v>293</v>
      </c>
      <c r="R32" s="84" t="str">
        <f>HYPERLINK("https://help.twitter.com/en/rules-and-policies/twitter-rules")</f>
        <v>https://help.twitter.com/en/rules-and-policies/twitter-rules</v>
      </c>
      <c r="S32" s="80" t="s">
        <v>306</v>
      </c>
      <c r="T32" s="86" t="s">
        <v>324</v>
      </c>
      <c r="U32" s="80"/>
      <c r="V32" s="84" t="str">
        <f>HYPERLINK("https://pbs.twimg.com/profile_images/1487756429276684289/Kqq9xAOb_normal.png")</f>
        <v>https://pbs.twimg.com/profile_images/1487756429276684289/Kqq9xAOb_normal.png</v>
      </c>
      <c r="W32" s="82">
        <v>44872.563043981485</v>
      </c>
      <c r="X32" s="88">
        <v>44872</v>
      </c>
      <c r="Y32" s="86" t="s">
        <v>356</v>
      </c>
      <c r="Z32" s="84" t="str">
        <f>HYPERLINK("https://twitter.com/hashtagmarketi7/status/1589611323247448065")</f>
        <v>https://twitter.com/hashtagmarketi7/status/1589611323247448065</v>
      </c>
      <c r="AA32" s="80"/>
      <c r="AB32" s="80"/>
      <c r="AC32" s="86" t="s">
        <v>396</v>
      </c>
      <c r="AD32" s="80"/>
      <c r="AE32" s="80" t="b">
        <v>0</v>
      </c>
      <c r="AF32" s="80">
        <v>0</v>
      </c>
      <c r="AG32" s="86" t="s">
        <v>409</v>
      </c>
      <c r="AH32" s="80" t="b">
        <v>0</v>
      </c>
      <c r="AI32" s="80" t="s">
        <v>411</v>
      </c>
      <c r="AJ32" s="80"/>
      <c r="AK32" s="86" t="s">
        <v>409</v>
      </c>
      <c r="AL32" s="80" t="b">
        <v>0</v>
      </c>
      <c r="AM32" s="80">
        <v>0</v>
      </c>
      <c r="AN32" s="86" t="s">
        <v>409</v>
      </c>
      <c r="AO32" s="86" t="s">
        <v>416</v>
      </c>
      <c r="AP32" s="80" t="b">
        <v>0</v>
      </c>
      <c r="AQ32" s="86" t="s">
        <v>396</v>
      </c>
      <c r="AR32" s="80" t="s">
        <v>211</v>
      </c>
      <c r="AS32" s="80">
        <v>0</v>
      </c>
      <c r="AT32" s="80">
        <v>0</v>
      </c>
      <c r="AU32" s="80"/>
      <c r="AV32" s="80"/>
      <c r="AW32" s="80"/>
      <c r="AX32" s="80"/>
      <c r="AY32" s="80"/>
      <c r="AZ32" s="80"/>
      <c r="BA32" s="80"/>
      <c r="BB32" s="80"/>
      <c r="BC32">
        <v>28</v>
      </c>
      <c r="BD32" s="79" t="str">
        <f>REPLACE(INDEX(GroupVertices[Group],MATCH(Edges25[[#This Row],[Vertex 1]],GroupVertices[Vertex],0)),1,1,"")</f>
        <v>1</v>
      </c>
      <c r="BE32" s="79" t="str">
        <f>REPLACE(INDEX(GroupVertices[Group],MATCH(Edges25[[#This Row],[Vertex 2]],GroupVertices[Vertex],0)),1,1,"")</f>
        <v>1</v>
      </c>
      <c r="BF32" s="47">
        <v>0</v>
      </c>
      <c r="BG32" s="48">
        <v>0</v>
      </c>
      <c r="BH32" s="47">
        <v>0</v>
      </c>
      <c r="BI32" s="48">
        <v>0</v>
      </c>
      <c r="BJ32" s="47">
        <v>0</v>
      </c>
      <c r="BK32" s="48">
        <v>0</v>
      </c>
      <c r="BL32" s="47">
        <v>3</v>
      </c>
      <c r="BM32" s="48">
        <v>75</v>
      </c>
      <c r="BN32" s="47">
        <v>4</v>
      </c>
    </row>
    <row r="33" spans="1:66" ht="15">
      <c r="A33" s="78" t="s">
        <v>257</v>
      </c>
      <c r="B33" s="78" t="s">
        <v>257</v>
      </c>
      <c r="C33" s="49"/>
      <c r="D33" s="50"/>
      <c r="E33" s="62"/>
      <c r="F33" s="51"/>
      <c r="G33" s="49"/>
      <c r="H33" s="53"/>
      <c r="I33" s="52"/>
      <c r="J33" s="52"/>
      <c r="K33" s="32" t="s">
        <v>65</v>
      </c>
      <c r="L33" s="77">
        <v>48</v>
      </c>
      <c r="M33" s="77"/>
      <c r="N33" s="59"/>
      <c r="O33" s="80" t="s">
        <v>211</v>
      </c>
      <c r="P33" s="82">
        <v>44872.67663194444</v>
      </c>
      <c r="Q33" s="80" t="s">
        <v>294</v>
      </c>
      <c r="R33" s="84" t="str">
        <f>HYPERLINK("https://vivianfrancos.com/las-redessociales-y-el-bitcoin-se-aman-o-se-odian/")</f>
        <v>https://vivianfrancos.com/las-redessociales-y-el-bitcoin-se-aman-o-se-odian/</v>
      </c>
      <c r="S33" s="80" t="s">
        <v>303</v>
      </c>
      <c r="T33" s="86" t="s">
        <v>325</v>
      </c>
      <c r="U33" s="80"/>
      <c r="V33" s="84" t="str">
        <f>HYPERLINK("https://pbs.twimg.com/profile_images/1487756429276684289/Kqq9xAOb_normal.png")</f>
        <v>https://pbs.twimg.com/profile_images/1487756429276684289/Kqq9xAOb_normal.png</v>
      </c>
      <c r="W33" s="82">
        <v>44872.67663194444</v>
      </c>
      <c r="X33" s="88">
        <v>44872</v>
      </c>
      <c r="Y33" s="86" t="s">
        <v>357</v>
      </c>
      <c r="Z33" s="84" t="str">
        <f>HYPERLINK("https://twitter.com/hashtagmarketi7/status/1589652486364749825")</f>
        <v>https://twitter.com/hashtagmarketi7/status/1589652486364749825</v>
      </c>
      <c r="AA33" s="80"/>
      <c r="AB33" s="80"/>
      <c r="AC33" s="86" t="s">
        <v>397</v>
      </c>
      <c r="AD33" s="80"/>
      <c r="AE33" s="80" t="b">
        <v>0</v>
      </c>
      <c r="AF33" s="80">
        <v>0</v>
      </c>
      <c r="AG33" s="86" t="s">
        <v>409</v>
      </c>
      <c r="AH33" s="80" t="b">
        <v>0</v>
      </c>
      <c r="AI33" s="80" t="s">
        <v>410</v>
      </c>
      <c r="AJ33" s="80"/>
      <c r="AK33" s="86" t="s">
        <v>409</v>
      </c>
      <c r="AL33" s="80" t="b">
        <v>0</v>
      </c>
      <c r="AM33" s="80">
        <v>0</v>
      </c>
      <c r="AN33" s="86" t="s">
        <v>409</v>
      </c>
      <c r="AO33" s="86" t="s">
        <v>418</v>
      </c>
      <c r="AP33" s="80" t="b">
        <v>0</v>
      </c>
      <c r="AQ33" s="86" t="s">
        <v>397</v>
      </c>
      <c r="AR33" s="80" t="s">
        <v>211</v>
      </c>
      <c r="AS33" s="80">
        <v>0</v>
      </c>
      <c r="AT33" s="80">
        <v>0</v>
      </c>
      <c r="AU33" s="80"/>
      <c r="AV33" s="80"/>
      <c r="AW33" s="80"/>
      <c r="AX33" s="80"/>
      <c r="AY33" s="80"/>
      <c r="AZ33" s="80"/>
      <c r="BA33" s="80"/>
      <c r="BB33" s="80"/>
      <c r="BC33">
        <v>28</v>
      </c>
      <c r="BD33" s="79" t="str">
        <f>REPLACE(INDEX(GroupVertices[Group],MATCH(Edges25[[#This Row],[Vertex 1]],GroupVertices[Vertex],0)),1,1,"")</f>
        <v>1</v>
      </c>
      <c r="BE33" s="79" t="str">
        <f>REPLACE(INDEX(GroupVertices[Group],MATCH(Edges25[[#This Row],[Vertex 2]],GroupVertices[Vertex],0)),1,1,"")</f>
        <v>1</v>
      </c>
      <c r="BF33" s="47">
        <v>0</v>
      </c>
      <c r="BG33" s="48">
        <v>0</v>
      </c>
      <c r="BH33" s="47">
        <v>0</v>
      </c>
      <c r="BI33" s="48">
        <v>0</v>
      </c>
      <c r="BJ33" s="47">
        <v>0</v>
      </c>
      <c r="BK33" s="48">
        <v>0</v>
      </c>
      <c r="BL33" s="47">
        <v>12</v>
      </c>
      <c r="BM33" s="48">
        <v>54.54545454545455</v>
      </c>
      <c r="BN33" s="47">
        <v>22</v>
      </c>
    </row>
    <row r="34" spans="1:66" ht="15">
      <c r="A34" s="78" t="s">
        <v>257</v>
      </c>
      <c r="B34" s="78" t="s">
        <v>257</v>
      </c>
      <c r="C34" s="49"/>
      <c r="D34" s="50"/>
      <c r="E34" s="62"/>
      <c r="F34" s="51"/>
      <c r="G34" s="49"/>
      <c r="H34" s="53"/>
      <c r="I34" s="52"/>
      <c r="J34" s="52"/>
      <c r="K34" s="32" t="s">
        <v>65</v>
      </c>
      <c r="L34" s="77">
        <v>49</v>
      </c>
      <c r="M34" s="77"/>
      <c r="N34" s="59"/>
      <c r="O34" s="80" t="s">
        <v>211</v>
      </c>
      <c r="P34" s="82">
        <v>44873.4262962963</v>
      </c>
      <c r="Q34" s="80" t="s">
        <v>276</v>
      </c>
      <c r="R34" s="84" t="str">
        <f>HYPERLINK("https://twitter.com/elonmusk/status/1589791846737522688")</f>
        <v>https://twitter.com/elonmusk/status/1589791846737522688</v>
      </c>
      <c r="S34" s="80" t="s">
        <v>306</v>
      </c>
      <c r="T34" s="86" t="s">
        <v>312</v>
      </c>
      <c r="U34" s="80"/>
      <c r="V34" s="84" t="str">
        <f>HYPERLINK("https://pbs.twimg.com/profile_images/1487756429276684289/Kqq9xAOb_normal.png")</f>
        <v>https://pbs.twimg.com/profile_images/1487756429276684289/Kqq9xAOb_normal.png</v>
      </c>
      <c r="W34" s="82">
        <v>44873.4262962963</v>
      </c>
      <c r="X34" s="88">
        <v>44873</v>
      </c>
      <c r="Y34" s="86" t="s">
        <v>358</v>
      </c>
      <c r="Z34" s="84" t="str">
        <f>HYPERLINK("https://twitter.com/hashtagmarketi7/status/1589924153452548097")</f>
        <v>https://twitter.com/hashtagmarketi7/status/1589924153452548097</v>
      </c>
      <c r="AA34" s="80"/>
      <c r="AB34" s="80"/>
      <c r="AC34" s="86" t="s">
        <v>398</v>
      </c>
      <c r="AD34" s="80"/>
      <c r="AE34" s="80" t="b">
        <v>0</v>
      </c>
      <c r="AF34" s="80">
        <v>8</v>
      </c>
      <c r="AG34" s="86" t="s">
        <v>409</v>
      </c>
      <c r="AH34" s="80" t="b">
        <v>1</v>
      </c>
      <c r="AI34" s="80" t="s">
        <v>410</v>
      </c>
      <c r="AJ34" s="80"/>
      <c r="AK34" s="86" t="s">
        <v>413</v>
      </c>
      <c r="AL34" s="80" t="b">
        <v>0</v>
      </c>
      <c r="AM34" s="80">
        <v>3</v>
      </c>
      <c r="AN34" s="86" t="s">
        <v>409</v>
      </c>
      <c r="AO34" s="86" t="s">
        <v>416</v>
      </c>
      <c r="AP34" s="80" t="b">
        <v>0</v>
      </c>
      <c r="AQ34" s="86" t="s">
        <v>398</v>
      </c>
      <c r="AR34" s="80" t="s">
        <v>211</v>
      </c>
      <c r="AS34" s="80">
        <v>0</v>
      </c>
      <c r="AT34" s="80">
        <v>0</v>
      </c>
      <c r="AU34" s="80"/>
      <c r="AV34" s="80"/>
      <c r="AW34" s="80"/>
      <c r="AX34" s="80"/>
      <c r="AY34" s="80"/>
      <c r="AZ34" s="80"/>
      <c r="BA34" s="80"/>
      <c r="BB34" s="80"/>
      <c r="BC34">
        <v>28</v>
      </c>
      <c r="BD34" s="79" t="str">
        <f>REPLACE(INDEX(GroupVertices[Group],MATCH(Edges25[[#This Row],[Vertex 1]],GroupVertices[Vertex],0)),1,1,"")</f>
        <v>1</v>
      </c>
      <c r="BE34" s="79" t="str">
        <f>REPLACE(INDEX(GroupVertices[Group],MATCH(Edges25[[#This Row],[Vertex 2]],GroupVertices[Vertex],0)),1,1,"")</f>
        <v>1</v>
      </c>
      <c r="BF34" s="47">
        <v>0</v>
      </c>
      <c r="BG34" s="48">
        <v>0</v>
      </c>
      <c r="BH34" s="47">
        <v>0</v>
      </c>
      <c r="BI34" s="48">
        <v>0</v>
      </c>
      <c r="BJ34" s="47">
        <v>0</v>
      </c>
      <c r="BK34" s="48">
        <v>0</v>
      </c>
      <c r="BL34" s="47">
        <v>23</v>
      </c>
      <c r="BM34" s="48">
        <v>62.16216216216216</v>
      </c>
      <c r="BN34" s="47">
        <v>37</v>
      </c>
    </row>
    <row r="35" spans="1:66" ht="15">
      <c r="A35" s="78" t="s">
        <v>257</v>
      </c>
      <c r="B35" s="78" t="s">
        <v>257</v>
      </c>
      <c r="C35" s="49"/>
      <c r="D35" s="50"/>
      <c r="E35" s="62"/>
      <c r="F35" s="51"/>
      <c r="G35" s="49"/>
      <c r="H35" s="53"/>
      <c r="I35" s="52"/>
      <c r="J35" s="52"/>
      <c r="K35" s="32" t="s">
        <v>65</v>
      </c>
      <c r="L35" s="77">
        <v>50</v>
      </c>
      <c r="M35" s="77"/>
      <c r="N35" s="59"/>
      <c r="O35" s="80" t="s">
        <v>211</v>
      </c>
      <c r="P35" s="82">
        <v>44873.48158564815</v>
      </c>
      <c r="Q35" s="80" t="s">
        <v>277</v>
      </c>
      <c r="R35" s="84" t="str">
        <f>HYPERLINK("https://eventbrite.com/e/2023-winter-school-social-networks-nodexl-pro-a-few-clicks-to-insights-tickets-393167403287")</f>
        <v>https://eventbrite.com/e/2023-winter-school-social-networks-nodexl-pro-a-few-clicks-to-insights-tickets-393167403287</v>
      </c>
      <c r="S35" s="80" t="s">
        <v>304</v>
      </c>
      <c r="T35" s="86" t="s">
        <v>310</v>
      </c>
      <c r="U35" s="80"/>
      <c r="V35" s="84" t="str">
        <f>HYPERLINK("https://pbs.twimg.com/profile_images/1487756429276684289/Kqq9xAOb_normal.png")</f>
        <v>https://pbs.twimg.com/profile_images/1487756429276684289/Kqq9xAOb_normal.png</v>
      </c>
      <c r="W35" s="82">
        <v>44873.48158564815</v>
      </c>
      <c r="X35" s="88">
        <v>44873</v>
      </c>
      <c r="Y35" s="86" t="s">
        <v>359</v>
      </c>
      <c r="Z35" s="84" t="str">
        <f>HYPERLINK("https://twitter.com/hashtagmarketi7/status/1589944189516759045")</f>
        <v>https://twitter.com/hashtagmarketi7/status/1589944189516759045</v>
      </c>
      <c r="AA35" s="80"/>
      <c r="AB35" s="80"/>
      <c r="AC35" s="86" t="s">
        <v>399</v>
      </c>
      <c r="AD35" s="80"/>
      <c r="AE35" s="80" t="b">
        <v>0</v>
      </c>
      <c r="AF35" s="80">
        <v>4</v>
      </c>
      <c r="AG35" s="86" t="s">
        <v>409</v>
      </c>
      <c r="AH35" s="80" t="b">
        <v>0</v>
      </c>
      <c r="AI35" s="80" t="s">
        <v>411</v>
      </c>
      <c r="AJ35" s="80"/>
      <c r="AK35" s="86" t="s">
        <v>409</v>
      </c>
      <c r="AL35" s="80" t="b">
        <v>0</v>
      </c>
      <c r="AM35" s="80">
        <v>1</v>
      </c>
      <c r="AN35" s="86" t="s">
        <v>409</v>
      </c>
      <c r="AO35" s="86" t="s">
        <v>418</v>
      </c>
      <c r="AP35" s="80" t="b">
        <v>0</v>
      </c>
      <c r="AQ35" s="86" t="s">
        <v>399</v>
      </c>
      <c r="AR35" s="80" t="s">
        <v>211</v>
      </c>
      <c r="AS35" s="80">
        <v>0</v>
      </c>
      <c r="AT35" s="80">
        <v>0</v>
      </c>
      <c r="AU35" s="80"/>
      <c r="AV35" s="80"/>
      <c r="AW35" s="80"/>
      <c r="AX35" s="80"/>
      <c r="AY35" s="80"/>
      <c r="AZ35" s="80"/>
      <c r="BA35" s="80"/>
      <c r="BB35" s="80"/>
      <c r="BC35">
        <v>28</v>
      </c>
      <c r="BD35" s="79" t="str">
        <f>REPLACE(INDEX(GroupVertices[Group],MATCH(Edges25[[#This Row],[Vertex 1]],GroupVertices[Vertex],0)),1,1,"")</f>
        <v>1</v>
      </c>
      <c r="BE35" s="79" t="str">
        <f>REPLACE(INDEX(GroupVertices[Group],MATCH(Edges25[[#This Row],[Vertex 2]],GroupVertices[Vertex],0)),1,1,"")</f>
        <v>1</v>
      </c>
      <c r="BF35" s="47">
        <v>0</v>
      </c>
      <c r="BG35" s="48">
        <v>0</v>
      </c>
      <c r="BH35" s="47">
        <v>0</v>
      </c>
      <c r="BI35" s="48">
        <v>0</v>
      </c>
      <c r="BJ35" s="47">
        <v>0</v>
      </c>
      <c r="BK35" s="48">
        <v>0</v>
      </c>
      <c r="BL35" s="47">
        <v>25</v>
      </c>
      <c r="BM35" s="48">
        <v>71.42857142857143</v>
      </c>
      <c r="BN35" s="47">
        <v>35</v>
      </c>
    </row>
    <row r="36" spans="1:66" ht="15">
      <c r="A36" s="78" t="s">
        <v>257</v>
      </c>
      <c r="B36" s="78" t="s">
        <v>257</v>
      </c>
      <c r="C36" s="49"/>
      <c r="D36" s="50"/>
      <c r="E36" s="62"/>
      <c r="F36" s="51"/>
      <c r="G36" s="49"/>
      <c r="H36" s="53"/>
      <c r="I36" s="52"/>
      <c r="J36" s="52"/>
      <c r="K36" s="32" t="s">
        <v>65</v>
      </c>
      <c r="L36" s="77">
        <v>51</v>
      </c>
      <c r="M36" s="77"/>
      <c r="N36" s="59"/>
      <c r="O36" s="80" t="s">
        <v>211</v>
      </c>
      <c r="P36" s="82">
        <v>44873.59431712963</v>
      </c>
      <c r="Q36" s="80" t="s">
        <v>295</v>
      </c>
      <c r="R36" s="84" t="str">
        <f>HYPERLINK("https://www.amazon.es/C%C3%93MO-ENCONTRAR-LOS-HASHTAGS-POTENTES-ebook/dp/B08D9W3Q3V/")</f>
        <v>https://www.amazon.es/C%C3%93MO-ENCONTRAR-LOS-HASHTAGS-POTENTES-ebook/dp/B08D9W3Q3V/</v>
      </c>
      <c r="S36" s="80" t="s">
        <v>305</v>
      </c>
      <c r="T36" s="86" t="s">
        <v>314</v>
      </c>
      <c r="U36" s="84" t="str">
        <f>HYPERLINK("https://pbs.twimg.com/media/FhDC93cWAAEe49X.jpg")</f>
        <v>https://pbs.twimg.com/media/FhDC93cWAAEe49X.jpg</v>
      </c>
      <c r="V36" s="84" t="str">
        <f>HYPERLINK("https://pbs.twimg.com/media/FhDC93cWAAEe49X.jpg")</f>
        <v>https://pbs.twimg.com/media/FhDC93cWAAEe49X.jpg</v>
      </c>
      <c r="W36" s="82">
        <v>44873.59431712963</v>
      </c>
      <c r="X36" s="88">
        <v>44873</v>
      </c>
      <c r="Y36" s="86" t="s">
        <v>360</v>
      </c>
      <c r="Z36" s="84" t="str">
        <f>HYPERLINK("https://twitter.com/hashtagmarketi7/status/1589985042645778435")</f>
        <v>https://twitter.com/hashtagmarketi7/status/1589985042645778435</v>
      </c>
      <c r="AA36" s="80"/>
      <c r="AB36" s="80"/>
      <c r="AC36" s="86" t="s">
        <v>400</v>
      </c>
      <c r="AD36" s="80"/>
      <c r="AE36" s="80" t="b">
        <v>0</v>
      </c>
      <c r="AF36" s="80">
        <v>0</v>
      </c>
      <c r="AG36" s="86" t="s">
        <v>409</v>
      </c>
      <c r="AH36" s="80" t="b">
        <v>0</v>
      </c>
      <c r="AI36" s="80" t="s">
        <v>410</v>
      </c>
      <c r="AJ36" s="80"/>
      <c r="AK36" s="86" t="s">
        <v>409</v>
      </c>
      <c r="AL36" s="80" t="b">
        <v>0</v>
      </c>
      <c r="AM36" s="80">
        <v>0</v>
      </c>
      <c r="AN36" s="86" t="s">
        <v>409</v>
      </c>
      <c r="AO36" s="86" t="s">
        <v>418</v>
      </c>
      <c r="AP36" s="80" t="b">
        <v>0</v>
      </c>
      <c r="AQ36" s="86" t="s">
        <v>400</v>
      </c>
      <c r="AR36" s="80" t="s">
        <v>211</v>
      </c>
      <c r="AS36" s="80">
        <v>0</v>
      </c>
      <c r="AT36" s="80">
        <v>0</v>
      </c>
      <c r="AU36" s="80"/>
      <c r="AV36" s="80"/>
      <c r="AW36" s="80"/>
      <c r="AX36" s="80"/>
      <c r="AY36" s="80"/>
      <c r="AZ36" s="80"/>
      <c r="BA36" s="80"/>
      <c r="BB36" s="80"/>
      <c r="BC36">
        <v>28</v>
      </c>
      <c r="BD36" s="79" t="str">
        <f>REPLACE(INDEX(GroupVertices[Group],MATCH(Edges25[[#This Row],[Vertex 1]],GroupVertices[Vertex],0)),1,1,"")</f>
        <v>1</v>
      </c>
      <c r="BE36" s="79" t="str">
        <f>REPLACE(INDEX(GroupVertices[Group],MATCH(Edges25[[#This Row],[Vertex 2]],GroupVertices[Vertex],0)),1,1,"")</f>
        <v>1</v>
      </c>
      <c r="BF36" s="47">
        <v>1</v>
      </c>
      <c r="BG36" s="48">
        <v>4.761904761904762</v>
      </c>
      <c r="BH36" s="47">
        <v>0</v>
      </c>
      <c r="BI36" s="48">
        <v>0</v>
      </c>
      <c r="BJ36" s="47">
        <v>0</v>
      </c>
      <c r="BK36" s="48">
        <v>0</v>
      </c>
      <c r="BL36" s="47">
        <v>14</v>
      </c>
      <c r="BM36" s="48">
        <v>66.66666666666667</v>
      </c>
      <c r="BN36" s="47">
        <v>21</v>
      </c>
    </row>
    <row r="37" spans="1:66" ht="15">
      <c r="A37" s="78" t="s">
        <v>257</v>
      </c>
      <c r="B37" s="78" t="s">
        <v>257</v>
      </c>
      <c r="C37" s="49"/>
      <c r="D37" s="50"/>
      <c r="E37" s="62"/>
      <c r="F37" s="51"/>
      <c r="G37" s="49"/>
      <c r="H37" s="53"/>
      <c r="I37" s="52"/>
      <c r="J37" s="52"/>
      <c r="K37" s="32" t="s">
        <v>65</v>
      </c>
      <c r="L37" s="77">
        <v>52</v>
      </c>
      <c r="M37" s="77"/>
      <c r="N37" s="59"/>
      <c r="O37" s="80" t="s">
        <v>211</v>
      </c>
      <c r="P37" s="82">
        <v>44873.75252314815</v>
      </c>
      <c r="Q37" s="80" t="s">
        <v>296</v>
      </c>
      <c r="R37" s="84" t="str">
        <f>HYPERLINK("https://vivianfrancos.com/como-usar-hashtag-para-aumentar-las-ventas/")</f>
        <v>https://vivianfrancos.com/como-usar-hashtag-para-aumentar-las-ventas/</v>
      </c>
      <c r="S37" s="80" t="s">
        <v>303</v>
      </c>
      <c r="T37" s="86" t="s">
        <v>326</v>
      </c>
      <c r="U37" s="80"/>
      <c r="V37" s="84" t="str">
        <f>HYPERLINK("https://pbs.twimg.com/profile_images/1487756429276684289/Kqq9xAOb_normal.png")</f>
        <v>https://pbs.twimg.com/profile_images/1487756429276684289/Kqq9xAOb_normal.png</v>
      </c>
      <c r="W37" s="82">
        <v>44873.75252314815</v>
      </c>
      <c r="X37" s="88">
        <v>44873</v>
      </c>
      <c r="Y37" s="86" t="s">
        <v>361</v>
      </c>
      <c r="Z37" s="84" t="str">
        <f>HYPERLINK("https://twitter.com/hashtagmarketi7/status/1590042373312188416")</f>
        <v>https://twitter.com/hashtagmarketi7/status/1590042373312188416</v>
      </c>
      <c r="AA37" s="80"/>
      <c r="AB37" s="80"/>
      <c r="AC37" s="86" t="s">
        <v>401</v>
      </c>
      <c r="AD37" s="80"/>
      <c r="AE37" s="80" t="b">
        <v>0</v>
      </c>
      <c r="AF37" s="80">
        <v>0</v>
      </c>
      <c r="AG37" s="86" t="s">
        <v>409</v>
      </c>
      <c r="AH37" s="80" t="b">
        <v>0</v>
      </c>
      <c r="AI37" s="80" t="s">
        <v>410</v>
      </c>
      <c r="AJ37" s="80"/>
      <c r="AK37" s="86" t="s">
        <v>409</v>
      </c>
      <c r="AL37" s="80" t="b">
        <v>0</v>
      </c>
      <c r="AM37" s="80">
        <v>0</v>
      </c>
      <c r="AN37" s="86" t="s">
        <v>409</v>
      </c>
      <c r="AO37" s="86" t="s">
        <v>418</v>
      </c>
      <c r="AP37" s="80" t="b">
        <v>0</v>
      </c>
      <c r="AQ37" s="86" t="s">
        <v>401</v>
      </c>
      <c r="AR37" s="80" t="s">
        <v>211</v>
      </c>
      <c r="AS37" s="80">
        <v>0</v>
      </c>
      <c r="AT37" s="80">
        <v>0</v>
      </c>
      <c r="AU37" s="80"/>
      <c r="AV37" s="80"/>
      <c r="AW37" s="80"/>
      <c r="AX37" s="80"/>
      <c r="AY37" s="80"/>
      <c r="AZ37" s="80"/>
      <c r="BA37" s="80"/>
      <c r="BB37" s="80"/>
      <c r="BC37">
        <v>28</v>
      </c>
      <c r="BD37" s="79" t="str">
        <f>REPLACE(INDEX(GroupVertices[Group],MATCH(Edges25[[#This Row],[Vertex 1]],GroupVertices[Vertex],0)),1,1,"")</f>
        <v>1</v>
      </c>
      <c r="BE37" s="79" t="str">
        <f>REPLACE(INDEX(GroupVertices[Group],MATCH(Edges25[[#This Row],[Vertex 2]],GroupVertices[Vertex],0)),1,1,"")</f>
        <v>1</v>
      </c>
      <c r="BF37" s="47">
        <v>0</v>
      </c>
      <c r="BG37" s="48">
        <v>0</v>
      </c>
      <c r="BH37" s="47">
        <v>0</v>
      </c>
      <c r="BI37" s="48">
        <v>0</v>
      </c>
      <c r="BJ37" s="47">
        <v>0</v>
      </c>
      <c r="BK37" s="48">
        <v>0</v>
      </c>
      <c r="BL37" s="47">
        <v>6</v>
      </c>
      <c r="BM37" s="48">
        <v>75</v>
      </c>
      <c r="BN37" s="47">
        <v>8</v>
      </c>
    </row>
    <row r="38" spans="1:66" ht="15">
      <c r="A38" s="78" t="s">
        <v>257</v>
      </c>
      <c r="B38" s="78" t="s">
        <v>257</v>
      </c>
      <c r="C38" s="49"/>
      <c r="D38" s="50"/>
      <c r="E38" s="62"/>
      <c r="F38" s="51"/>
      <c r="G38" s="49"/>
      <c r="H38" s="53"/>
      <c r="I38" s="52"/>
      <c r="J38" s="52"/>
      <c r="K38" s="32" t="s">
        <v>65</v>
      </c>
      <c r="L38" s="77">
        <v>53</v>
      </c>
      <c r="M38" s="77"/>
      <c r="N38" s="59"/>
      <c r="O38" s="80" t="s">
        <v>211</v>
      </c>
      <c r="P38" s="82">
        <v>44873.918958333335</v>
      </c>
      <c r="Q38" s="80" t="s">
        <v>297</v>
      </c>
      <c r="R38" s="84" t="str">
        <f>HYPERLINK("https://www.amazon.es/C%C3%93MO-ENCONTRAR-LOS-HASHTAGS-POTENTES-ebook/dp/B08D9W3Q3V/")</f>
        <v>https://www.amazon.es/C%C3%93MO-ENCONTRAR-LOS-HASHTAGS-POTENTES-ebook/dp/B08D9W3Q3V/</v>
      </c>
      <c r="S38" s="80" t="s">
        <v>305</v>
      </c>
      <c r="T38" s="86" t="s">
        <v>314</v>
      </c>
      <c r="U38" s="84" t="str">
        <f>HYPERLINK("https://pbs.twimg.com/media/FhEt9swWIAEeDsv.jpg")</f>
        <v>https://pbs.twimg.com/media/FhEt9swWIAEeDsv.jpg</v>
      </c>
      <c r="V38" s="84" t="str">
        <f>HYPERLINK("https://pbs.twimg.com/media/FhEt9swWIAEeDsv.jpg")</f>
        <v>https://pbs.twimg.com/media/FhEt9swWIAEeDsv.jpg</v>
      </c>
      <c r="W38" s="82">
        <v>44873.918958333335</v>
      </c>
      <c r="X38" s="88">
        <v>44873</v>
      </c>
      <c r="Y38" s="86" t="s">
        <v>362</v>
      </c>
      <c r="Z38" s="84" t="str">
        <f>HYPERLINK("https://twitter.com/hashtagmarketi7/status/1590102687592419330")</f>
        <v>https://twitter.com/hashtagmarketi7/status/1590102687592419330</v>
      </c>
      <c r="AA38" s="80"/>
      <c r="AB38" s="80"/>
      <c r="AC38" s="86" t="s">
        <v>402</v>
      </c>
      <c r="AD38" s="80"/>
      <c r="AE38" s="80" t="b">
        <v>0</v>
      </c>
      <c r="AF38" s="80">
        <v>0</v>
      </c>
      <c r="AG38" s="86" t="s">
        <v>409</v>
      </c>
      <c r="AH38" s="80" t="b">
        <v>0</v>
      </c>
      <c r="AI38" s="80" t="s">
        <v>410</v>
      </c>
      <c r="AJ38" s="80"/>
      <c r="AK38" s="86" t="s">
        <v>409</v>
      </c>
      <c r="AL38" s="80" t="b">
        <v>0</v>
      </c>
      <c r="AM38" s="80">
        <v>0</v>
      </c>
      <c r="AN38" s="86" t="s">
        <v>409</v>
      </c>
      <c r="AO38" s="86" t="s">
        <v>418</v>
      </c>
      <c r="AP38" s="80" t="b">
        <v>0</v>
      </c>
      <c r="AQ38" s="86" t="s">
        <v>402</v>
      </c>
      <c r="AR38" s="80" t="s">
        <v>211</v>
      </c>
      <c r="AS38" s="80">
        <v>0</v>
      </c>
      <c r="AT38" s="80">
        <v>0</v>
      </c>
      <c r="AU38" s="80"/>
      <c r="AV38" s="80"/>
      <c r="AW38" s="80"/>
      <c r="AX38" s="80"/>
      <c r="AY38" s="80"/>
      <c r="AZ38" s="80"/>
      <c r="BA38" s="80"/>
      <c r="BB38" s="80"/>
      <c r="BC38">
        <v>28</v>
      </c>
      <c r="BD38" s="79" t="str">
        <f>REPLACE(INDEX(GroupVertices[Group],MATCH(Edges25[[#This Row],[Vertex 1]],GroupVertices[Vertex],0)),1,1,"")</f>
        <v>1</v>
      </c>
      <c r="BE38" s="79" t="str">
        <f>REPLACE(INDEX(GroupVertices[Group],MATCH(Edges25[[#This Row],[Vertex 2]],GroupVertices[Vertex],0)),1,1,"")</f>
        <v>1</v>
      </c>
      <c r="BF38" s="47">
        <v>1</v>
      </c>
      <c r="BG38" s="48">
        <v>4.761904761904762</v>
      </c>
      <c r="BH38" s="47">
        <v>0</v>
      </c>
      <c r="BI38" s="48">
        <v>0</v>
      </c>
      <c r="BJ38" s="47">
        <v>0</v>
      </c>
      <c r="BK38" s="48">
        <v>0</v>
      </c>
      <c r="BL38" s="47">
        <v>14</v>
      </c>
      <c r="BM38" s="48">
        <v>66.66666666666667</v>
      </c>
      <c r="BN38" s="47">
        <v>21</v>
      </c>
    </row>
    <row r="39" spans="1:66" ht="15">
      <c r="A39" s="78" t="s">
        <v>257</v>
      </c>
      <c r="B39" s="78" t="s">
        <v>257</v>
      </c>
      <c r="C39" s="49"/>
      <c r="D39" s="50"/>
      <c r="E39" s="62"/>
      <c r="F39" s="51"/>
      <c r="G39" s="49"/>
      <c r="H39" s="53"/>
      <c r="I39" s="52"/>
      <c r="J39" s="52"/>
      <c r="K39" s="32" t="s">
        <v>65</v>
      </c>
      <c r="L39" s="77">
        <v>54</v>
      </c>
      <c r="M39" s="77"/>
      <c r="N39" s="59"/>
      <c r="O39" s="80" t="s">
        <v>211</v>
      </c>
      <c r="P39" s="82">
        <v>44874.676782407405</v>
      </c>
      <c r="Q39" s="80" t="s">
        <v>298</v>
      </c>
      <c r="R39" s="84" t="str">
        <f>HYPERLINK("https://vivianfrancos.com/hashtags-para-pinterest-esto-es-todo-lo-que-necesitas-saber/")</f>
        <v>https://vivianfrancos.com/hashtags-para-pinterest-esto-es-todo-lo-que-necesitas-saber/</v>
      </c>
      <c r="S39" s="80" t="s">
        <v>303</v>
      </c>
      <c r="T39" s="86" t="s">
        <v>327</v>
      </c>
      <c r="U39" s="80"/>
      <c r="V39" s="84" t="str">
        <f>HYPERLINK("https://pbs.twimg.com/profile_images/1487756429276684289/Kqq9xAOb_normal.png")</f>
        <v>https://pbs.twimg.com/profile_images/1487756429276684289/Kqq9xAOb_normal.png</v>
      </c>
      <c r="W39" s="82">
        <v>44874.676782407405</v>
      </c>
      <c r="X39" s="88">
        <v>44874</v>
      </c>
      <c r="Y39" s="86" t="s">
        <v>363</v>
      </c>
      <c r="Z39" s="84" t="str">
        <f>HYPERLINK("https://twitter.com/hashtagmarketi7/status/1590377314206076935")</f>
        <v>https://twitter.com/hashtagmarketi7/status/1590377314206076935</v>
      </c>
      <c r="AA39" s="80"/>
      <c r="AB39" s="80"/>
      <c r="AC39" s="86" t="s">
        <v>403</v>
      </c>
      <c r="AD39" s="80"/>
      <c r="AE39" s="80" t="b">
        <v>0</v>
      </c>
      <c r="AF39" s="80">
        <v>0</v>
      </c>
      <c r="AG39" s="86" t="s">
        <v>409</v>
      </c>
      <c r="AH39" s="80" t="b">
        <v>0</v>
      </c>
      <c r="AI39" s="80" t="s">
        <v>410</v>
      </c>
      <c r="AJ39" s="80"/>
      <c r="AK39" s="86" t="s">
        <v>409</v>
      </c>
      <c r="AL39" s="80" t="b">
        <v>0</v>
      </c>
      <c r="AM39" s="80">
        <v>0</v>
      </c>
      <c r="AN39" s="86" t="s">
        <v>409</v>
      </c>
      <c r="AO39" s="86" t="s">
        <v>418</v>
      </c>
      <c r="AP39" s="80" t="b">
        <v>0</v>
      </c>
      <c r="AQ39" s="86" t="s">
        <v>403</v>
      </c>
      <c r="AR39" s="80" t="s">
        <v>211</v>
      </c>
      <c r="AS39" s="80">
        <v>0</v>
      </c>
      <c r="AT39" s="80">
        <v>0</v>
      </c>
      <c r="AU39" s="80"/>
      <c r="AV39" s="80"/>
      <c r="AW39" s="80"/>
      <c r="AX39" s="80"/>
      <c r="AY39" s="80"/>
      <c r="AZ39" s="80"/>
      <c r="BA39" s="80"/>
      <c r="BB39" s="80"/>
      <c r="BC39">
        <v>28</v>
      </c>
      <c r="BD39" s="79" t="str">
        <f>REPLACE(INDEX(GroupVertices[Group],MATCH(Edges25[[#This Row],[Vertex 1]],GroupVertices[Vertex],0)),1,1,"")</f>
        <v>1</v>
      </c>
      <c r="BE39" s="79" t="str">
        <f>REPLACE(INDEX(GroupVertices[Group],MATCH(Edges25[[#This Row],[Vertex 2]],GroupVertices[Vertex],0)),1,1,"")</f>
        <v>1</v>
      </c>
      <c r="BF39" s="47">
        <v>0</v>
      </c>
      <c r="BG39" s="48">
        <v>0</v>
      </c>
      <c r="BH39" s="47">
        <v>0</v>
      </c>
      <c r="BI39" s="48">
        <v>0</v>
      </c>
      <c r="BJ39" s="47">
        <v>0</v>
      </c>
      <c r="BK39" s="48">
        <v>0</v>
      </c>
      <c r="BL39" s="47">
        <v>5</v>
      </c>
      <c r="BM39" s="48">
        <v>50</v>
      </c>
      <c r="BN39" s="47">
        <v>10</v>
      </c>
    </row>
    <row r="40" spans="1:66" ht="15">
      <c r="A40" s="78" t="s">
        <v>257</v>
      </c>
      <c r="B40" s="78" t="s">
        <v>257</v>
      </c>
      <c r="C40" s="49"/>
      <c r="D40" s="50"/>
      <c r="E40" s="62"/>
      <c r="F40" s="51"/>
      <c r="G40" s="49"/>
      <c r="H40" s="53"/>
      <c r="I40" s="52"/>
      <c r="J40" s="52"/>
      <c r="K40" s="32" t="s">
        <v>65</v>
      </c>
      <c r="L40" s="77">
        <v>55</v>
      </c>
      <c r="M40" s="77"/>
      <c r="N40" s="59"/>
      <c r="O40" s="80" t="s">
        <v>211</v>
      </c>
      <c r="P40" s="82">
        <v>44875.259930555556</v>
      </c>
      <c r="Q40" s="80" t="s">
        <v>299</v>
      </c>
      <c r="R40" s="84" t="str">
        <f>HYPERLINK("https://vivianfrancos.com/revisa-esta-guia-de-hashtags-en-tiktok/")</f>
        <v>https://vivianfrancos.com/revisa-esta-guia-de-hashtags-en-tiktok/</v>
      </c>
      <c r="S40" s="80" t="s">
        <v>303</v>
      </c>
      <c r="T40" s="86" t="s">
        <v>328</v>
      </c>
      <c r="U40" s="80"/>
      <c r="V40" s="84" t="str">
        <f>HYPERLINK("https://pbs.twimg.com/profile_images/1487756429276684289/Kqq9xAOb_normal.png")</f>
        <v>https://pbs.twimg.com/profile_images/1487756429276684289/Kqq9xAOb_normal.png</v>
      </c>
      <c r="W40" s="82">
        <v>44875.259930555556</v>
      </c>
      <c r="X40" s="88">
        <v>44875</v>
      </c>
      <c r="Y40" s="86" t="s">
        <v>364</v>
      </c>
      <c r="Z40" s="84" t="str">
        <f>HYPERLINK("https://twitter.com/hashtagmarketi7/status/1590588641650348033")</f>
        <v>https://twitter.com/hashtagmarketi7/status/1590588641650348033</v>
      </c>
      <c r="AA40" s="80"/>
      <c r="AB40" s="80"/>
      <c r="AC40" s="86" t="s">
        <v>404</v>
      </c>
      <c r="AD40" s="80"/>
      <c r="AE40" s="80" t="b">
        <v>0</v>
      </c>
      <c r="AF40" s="80">
        <v>0</v>
      </c>
      <c r="AG40" s="86" t="s">
        <v>409</v>
      </c>
      <c r="AH40" s="80" t="b">
        <v>0</v>
      </c>
      <c r="AI40" s="80" t="s">
        <v>410</v>
      </c>
      <c r="AJ40" s="80"/>
      <c r="AK40" s="86" t="s">
        <v>409</v>
      </c>
      <c r="AL40" s="80" t="b">
        <v>0</v>
      </c>
      <c r="AM40" s="80">
        <v>0</v>
      </c>
      <c r="AN40" s="86" t="s">
        <v>409</v>
      </c>
      <c r="AO40" s="86" t="s">
        <v>418</v>
      </c>
      <c r="AP40" s="80" t="b">
        <v>0</v>
      </c>
      <c r="AQ40" s="86" t="s">
        <v>404</v>
      </c>
      <c r="AR40" s="80" t="s">
        <v>211</v>
      </c>
      <c r="AS40" s="80">
        <v>0</v>
      </c>
      <c r="AT40" s="80">
        <v>0</v>
      </c>
      <c r="AU40" s="80"/>
      <c r="AV40" s="80"/>
      <c r="AW40" s="80"/>
      <c r="AX40" s="80"/>
      <c r="AY40" s="80"/>
      <c r="AZ40" s="80"/>
      <c r="BA40" s="80"/>
      <c r="BB40" s="80"/>
      <c r="BC40">
        <v>28</v>
      </c>
      <c r="BD40" s="79" t="str">
        <f>REPLACE(INDEX(GroupVertices[Group],MATCH(Edges25[[#This Row],[Vertex 1]],GroupVertices[Vertex],0)),1,1,"")</f>
        <v>1</v>
      </c>
      <c r="BE40" s="79" t="str">
        <f>REPLACE(INDEX(GroupVertices[Group],MATCH(Edges25[[#This Row],[Vertex 2]],GroupVertices[Vertex],0)),1,1,"")</f>
        <v>1</v>
      </c>
      <c r="BF40" s="47">
        <v>0</v>
      </c>
      <c r="BG40" s="48">
        <v>0</v>
      </c>
      <c r="BH40" s="47">
        <v>0</v>
      </c>
      <c r="BI40" s="48">
        <v>0</v>
      </c>
      <c r="BJ40" s="47">
        <v>0</v>
      </c>
      <c r="BK40" s="48">
        <v>0</v>
      </c>
      <c r="BL40" s="47">
        <v>5</v>
      </c>
      <c r="BM40" s="48">
        <v>55.55555555555556</v>
      </c>
      <c r="BN40" s="47">
        <v>9</v>
      </c>
    </row>
    <row r="41" spans="1:66" ht="15">
      <c r="A41" s="78" t="s">
        <v>257</v>
      </c>
      <c r="B41" s="78" t="s">
        <v>257</v>
      </c>
      <c r="C41" s="49"/>
      <c r="D41" s="50"/>
      <c r="E41" s="62"/>
      <c r="F41" s="51"/>
      <c r="G41" s="49"/>
      <c r="H41" s="53"/>
      <c r="I41" s="52"/>
      <c r="J41" s="52"/>
      <c r="K41" s="32" t="s">
        <v>65</v>
      </c>
      <c r="L41" s="77">
        <v>56</v>
      </c>
      <c r="M41" s="77"/>
      <c r="N41" s="59"/>
      <c r="O41" s="80" t="s">
        <v>211</v>
      </c>
      <c r="P41" s="82">
        <v>44875.48143518518</v>
      </c>
      <c r="Q41" s="80" t="s">
        <v>300</v>
      </c>
      <c r="R41"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41" s="80" t="s">
        <v>303</v>
      </c>
      <c r="T41" s="86" t="s">
        <v>320</v>
      </c>
      <c r="U41" s="80"/>
      <c r="V41" s="84" t="str">
        <f>HYPERLINK("https://pbs.twimg.com/profile_images/1487756429276684289/Kqq9xAOb_normal.png")</f>
        <v>https://pbs.twimg.com/profile_images/1487756429276684289/Kqq9xAOb_normal.png</v>
      </c>
      <c r="W41" s="82">
        <v>44875.48143518518</v>
      </c>
      <c r="X41" s="88">
        <v>44875</v>
      </c>
      <c r="Y41" s="86" t="s">
        <v>365</v>
      </c>
      <c r="Z41" s="84" t="str">
        <f>HYPERLINK("https://twitter.com/hashtagmarketi7/status/1590668912617832448")</f>
        <v>https://twitter.com/hashtagmarketi7/status/1590668912617832448</v>
      </c>
      <c r="AA41" s="80"/>
      <c r="AB41" s="80"/>
      <c r="AC41" s="86" t="s">
        <v>405</v>
      </c>
      <c r="AD41" s="80"/>
      <c r="AE41" s="80" t="b">
        <v>0</v>
      </c>
      <c r="AF41" s="80">
        <v>3</v>
      </c>
      <c r="AG41" s="86" t="s">
        <v>409</v>
      </c>
      <c r="AH41" s="80" t="b">
        <v>0</v>
      </c>
      <c r="AI41" s="80" t="s">
        <v>410</v>
      </c>
      <c r="AJ41" s="80"/>
      <c r="AK41" s="86" t="s">
        <v>409</v>
      </c>
      <c r="AL41" s="80" t="b">
        <v>0</v>
      </c>
      <c r="AM41" s="80">
        <v>0</v>
      </c>
      <c r="AN41" s="86" t="s">
        <v>409</v>
      </c>
      <c r="AO41" s="86" t="s">
        <v>418</v>
      </c>
      <c r="AP41" s="80" t="b">
        <v>0</v>
      </c>
      <c r="AQ41" s="86" t="s">
        <v>405</v>
      </c>
      <c r="AR41" s="80" t="s">
        <v>211</v>
      </c>
      <c r="AS41" s="80">
        <v>0</v>
      </c>
      <c r="AT41" s="80">
        <v>0</v>
      </c>
      <c r="AU41" s="80"/>
      <c r="AV41" s="80"/>
      <c r="AW41" s="80"/>
      <c r="AX41" s="80"/>
      <c r="AY41" s="80"/>
      <c r="AZ41" s="80"/>
      <c r="BA41" s="80"/>
      <c r="BB41" s="80"/>
      <c r="BC41">
        <v>28</v>
      </c>
      <c r="BD41" s="79" t="str">
        <f>REPLACE(INDEX(GroupVertices[Group],MATCH(Edges25[[#This Row],[Vertex 1]],GroupVertices[Vertex],0)),1,1,"")</f>
        <v>1</v>
      </c>
      <c r="BE41" s="79" t="str">
        <f>REPLACE(INDEX(GroupVertices[Group],MATCH(Edges25[[#This Row],[Vertex 2]],GroupVertices[Vertex],0)),1,1,"")</f>
        <v>1</v>
      </c>
      <c r="BF41" s="47">
        <v>0</v>
      </c>
      <c r="BG41" s="48">
        <v>0</v>
      </c>
      <c r="BH41" s="47">
        <v>0</v>
      </c>
      <c r="BI41" s="48">
        <v>0</v>
      </c>
      <c r="BJ41" s="47">
        <v>0</v>
      </c>
      <c r="BK41" s="48">
        <v>0</v>
      </c>
      <c r="BL41" s="47">
        <v>21</v>
      </c>
      <c r="BM41" s="48">
        <v>77.77777777777777</v>
      </c>
      <c r="BN41" s="47">
        <v>27</v>
      </c>
    </row>
    <row r="42" spans="1:66" ht="15">
      <c r="A42" s="78" t="s">
        <v>257</v>
      </c>
      <c r="B42" s="78" t="s">
        <v>257</v>
      </c>
      <c r="C42" s="49"/>
      <c r="D42" s="50"/>
      <c r="E42" s="62"/>
      <c r="F42" s="51"/>
      <c r="G42" s="49"/>
      <c r="H42" s="53"/>
      <c r="I42" s="52"/>
      <c r="J42" s="52"/>
      <c r="K42" s="32" t="s">
        <v>65</v>
      </c>
      <c r="L42" s="77">
        <v>57</v>
      </c>
      <c r="M42" s="77"/>
      <c r="N42" s="59"/>
      <c r="O42" s="80" t="s">
        <v>211</v>
      </c>
      <c r="P42" s="82">
        <v>44875.59413194445</v>
      </c>
      <c r="Q42" s="80" t="s">
        <v>301</v>
      </c>
      <c r="R42" s="84" t="str">
        <f>HYPERLINK("https://www.amazon.es/C%C3%93MO-ENCONTRAR-LOS-HASHTAGS-POTENTES-ebook/dp/B08D9W3Q3V/")</f>
        <v>https://www.amazon.es/C%C3%93MO-ENCONTRAR-LOS-HASHTAGS-POTENTES-ebook/dp/B08D9W3Q3V/</v>
      </c>
      <c r="S42" s="80" t="s">
        <v>305</v>
      </c>
      <c r="T42" s="86" t="s">
        <v>317</v>
      </c>
      <c r="U42" s="84" t="str">
        <f>HYPERLINK("https://pbs.twimg.com/media/FhNWFaLWIAYjlxr.jpg")</f>
        <v>https://pbs.twimg.com/media/FhNWFaLWIAYjlxr.jpg</v>
      </c>
      <c r="V42" s="84" t="str">
        <f>HYPERLINK("https://pbs.twimg.com/media/FhNWFaLWIAYjlxr.jpg")</f>
        <v>https://pbs.twimg.com/media/FhNWFaLWIAYjlxr.jpg</v>
      </c>
      <c r="W42" s="82">
        <v>44875.59413194445</v>
      </c>
      <c r="X42" s="88">
        <v>44875</v>
      </c>
      <c r="Y42" s="86" t="s">
        <v>348</v>
      </c>
      <c r="Z42" s="84" t="str">
        <f>HYPERLINK("https://twitter.com/hashtagmarketi7/status/1590709750584561664")</f>
        <v>https://twitter.com/hashtagmarketi7/status/1590709750584561664</v>
      </c>
      <c r="AA42" s="80"/>
      <c r="AB42" s="80"/>
      <c r="AC42" s="86" t="s">
        <v>406</v>
      </c>
      <c r="AD42" s="80"/>
      <c r="AE42" s="80" t="b">
        <v>0</v>
      </c>
      <c r="AF42" s="80">
        <v>0</v>
      </c>
      <c r="AG42" s="86" t="s">
        <v>409</v>
      </c>
      <c r="AH42" s="80" t="b">
        <v>0</v>
      </c>
      <c r="AI42" s="80" t="s">
        <v>410</v>
      </c>
      <c r="AJ42" s="80"/>
      <c r="AK42" s="86" t="s">
        <v>409</v>
      </c>
      <c r="AL42" s="80" t="b">
        <v>0</v>
      </c>
      <c r="AM42" s="80">
        <v>0</v>
      </c>
      <c r="AN42" s="86" t="s">
        <v>409</v>
      </c>
      <c r="AO42" s="86" t="s">
        <v>418</v>
      </c>
      <c r="AP42" s="80" t="b">
        <v>0</v>
      </c>
      <c r="AQ42" s="86" t="s">
        <v>406</v>
      </c>
      <c r="AR42" s="80" t="s">
        <v>211</v>
      </c>
      <c r="AS42" s="80">
        <v>0</v>
      </c>
      <c r="AT42" s="80">
        <v>0</v>
      </c>
      <c r="AU42" s="80"/>
      <c r="AV42" s="80"/>
      <c r="AW42" s="80"/>
      <c r="AX42" s="80"/>
      <c r="AY42" s="80"/>
      <c r="AZ42" s="80"/>
      <c r="BA42" s="80"/>
      <c r="BB42" s="80"/>
      <c r="BC42">
        <v>28</v>
      </c>
      <c r="BD42" s="79" t="str">
        <f>REPLACE(INDEX(GroupVertices[Group],MATCH(Edges25[[#This Row],[Vertex 1]],GroupVertices[Vertex],0)),1,1,"")</f>
        <v>1</v>
      </c>
      <c r="BE42" s="79" t="str">
        <f>REPLACE(INDEX(GroupVertices[Group],MATCH(Edges25[[#This Row],[Vertex 2]],GroupVertices[Vertex],0)),1,1,"")</f>
        <v>1</v>
      </c>
      <c r="BF42" s="47">
        <v>0</v>
      </c>
      <c r="BG42" s="48">
        <v>0</v>
      </c>
      <c r="BH42" s="47">
        <v>0</v>
      </c>
      <c r="BI42" s="48">
        <v>0</v>
      </c>
      <c r="BJ42" s="47">
        <v>0</v>
      </c>
      <c r="BK42" s="48">
        <v>0</v>
      </c>
      <c r="BL42" s="47">
        <v>11</v>
      </c>
      <c r="BM42" s="48">
        <v>55</v>
      </c>
      <c r="BN42" s="47">
        <v>20</v>
      </c>
    </row>
    <row r="43" spans="1:66" ht="15">
      <c r="A43" s="78" t="s">
        <v>257</v>
      </c>
      <c r="B43" s="78" t="s">
        <v>257</v>
      </c>
      <c r="C43" s="49"/>
      <c r="D43" s="50"/>
      <c r="E43" s="62"/>
      <c r="F43" s="51"/>
      <c r="G43" s="49"/>
      <c r="H43" s="53"/>
      <c r="I43" s="52"/>
      <c r="J43" s="52"/>
      <c r="K43" s="32" t="s">
        <v>65</v>
      </c>
      <c r="L43" s="77">
        <v>58</v>
      </c>
      <c r="M43" s="77"/>
      <c r="N43" s="59"/>
      <c r="O43" s="80" t="s">
        <v>211</v>
      </c>
      <c r="P43" s="82">
        <v>44875.63043981481</v>
      </c>
      <c r="Q43" s="80" t="s">
        <v>302</v>
      </c>
      <c r="R43" s="84" t="str">
        <f>HYPERLINK("https://www.linkedin.com/feed/update/urn:li:ugcPost:6996488536824659969")</f>
        <v>https://www.linkedin.com/feed/update/urn:li:ugcPost:6996488536824659969</v>
      </c>
      <c r="S43" s="80" t="s">
        <v>308</v>
      </c>
      <c r="T43" s="86" t="s">
        <v>329</v>
      </c>
      <c r="U43" s="80"/>
      <c r="V43" s="84" t="str">
        <f>HYPERLINK("https://pbs.twimg.com/profile_images/1487756429276684289/Kqq9xAOb_normal.png")</f>
        <v>https://pbs.twimg.com/profile_images/1487756429276684289/Kqq9xAOb_normal.png</v>
      </c>
      <c r="W43" s="82">
        <v>44875.63043981481</v>
      </c>
      <c r="X43" s="88">
        <v>44875</v>
      </c>
      <c r="Y43" s="86" t="s">
        <v>366</v>
      </c>
      <c r="Z43" s="84" t="str">
        <f>HYPERLINK("https://twitter.com/hashtagmarketi7/status/1590722911433678848")</f>
        <v>https://twitter.com/hashtagmarketi7/status/1590722911433678848</v>
      </c>
      <c r="AA43" s="80"/>
      <c r="AB43" s="80"/>
      <c r="AC43" s="86" t="s">
        <v>407</v>
      </c>
      <c r="AD43" s="80"/>
      <c r="AE43" s="80" t="b">
        <v>0</v>
      </c>
      <c r="AF43" s="80">
        <v>1</v>
      </c>
      <c r="AG43" s="86" t="s">
        <v>409</v>
      </c>
      <c r="AH43" s="80" t="b">
        <v>0</v>
      </c>
      <c r="AI43" s="80" t="s">
        <v>410</v>
      </c>
      <c r="AJ43" s="80"/>
      <c r="AK43" s="86" t="s">
        <v>409</v>
      </c>
      <c r="AL43" s="80" t="b">
        <v>0</v>
      </c>
      <c r="AM43" s="80">
        <v>0</v>
      </c>
      <c r="AN43" s="86" t="s">
        <v>409</v>
      </c>
      <c r="AO43" s="86" t="s">
        <v>419</v>
      </c>
      <c r="AP43" s="80" t="b">
        <v>0</v>
      </c>
      <c r="AQ43" s="86" t="s">
        <v>407</v>
      </c>
      <c r="AR43" s="80" t="s">
        <v>211</v>
      </c>
      <c r="AS43" s="80">
        <v>0</v>
      </c>
      <c r="AT43" s="80">
        <v>0</v>
      </c>
      <c r="AU43" s="80"/>
      <c r="AV43" s="80"/>
      <c r="AW43" s="80"/>
      <c r="AX43" s="80"/>
      <c r="AY43" s="80"/>
      <c r="AZ43" s="80"/>
      <c r="BA43" s="80"/>
      <c r="BB43" s="80"/>
      <c r="BC43">
        <v>28</v>
      </c>
      <c r="BD43" s="79" t="str">
        <f>REPLACE(INDEX(GroupVertices[Group],MATCH(Edges25[[#This Row],[Vertex 1]],GroupVertices[Vertex],0)),1,1,"")</f>
        <v>1</v>
      </c>
      <c r="BE43" s="79" t="str">
        <f>REPLACE(INDEX(GroupVertices[Group],MATCH(Edges25[[#This Row],[Vertex 2]],GroupVertices[Vertex],0)),1,1,"")</f>
        <v>1</v>
      </c>
      <c r="BF43" s="47">
        <v>0</v>
      </c>
      <c r="BG43" s="48">
        <v>0</v>
      </c>
      <c r="BH43" s="47">
        <v>0</v>
      </c>
      <c r="BI43" s="48">
        <v>0</v>
      </c>
      <c r="BJ43" s="47">
        <v>0</v>
      </c>
      <c r="BK43" s="48">
        <v>0</v>
      </c>
      <c r="BL43" s="47">
        <v>6</v>
      </c>
      <c r="BM43" s="48">
        <v>54.54545454545455</v>
      </c>
      <c r="BN43" s="47">
        <v>11</v>
      </c>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5E2C-8616-4FDA-B297-8B5E4699A165}">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v>
      </c>
      <c r="B1" s="7" t="s">
        <v>34</v>
      </c>
    </row>
    <row r="2" spans="1:2" ht="15">
      <c r="A2" s="112" t="s">
        <v>257</v>
      </c>
      <c r="B2" s="79">
        <v>374</v>
      </c>
    </row>
    <row r="3" spans="1:2" ht="15">
      <c r="A3" s="117" t="s">
        <v>263</v>
      </c>
      <c r="B3" s="79">
        <v>0</v>
      </c>
    </row>
    <row r="4" spans="1:2" ht="15">
      <c r="A4" s="117" t="s">
        <v>264</v>
      </c>
      <c r="B4" s="79">
        <v>0</v>
      </c>
    </row>
    <row r="5" spans="1:2" ht="15">
      <c r="A5" s="117" t="s">
        <v>262</v>
      </c>
      <c r="B5" s="79">
        <v>0</v>
      </c>
    </row>
    <row r="6" spans="1:2" ht="15">
      <c r="A6" s="117" t="s">
        <v>260</v>
      </c>
      <c r="B6" s="79">
        <v>0</v>
      </c>
    </row>
    <row r="7" spans="1:2" ht="15">
      <c r="A7" s="117" t="s">
        <v>261</v>
      </c>
      <c r="B7" s="79">
        <v>0</v>
      </c>
    </row>
    <row r="8" spans="1:2" ht="15">
      <c r="A8" s="117" t="s">
        <v>268</v>
      </c>
      <c r="B8" s="79">
        <v>0</v>
      </c>
    </row>
    <row r="9" spans="1:2" ht="15">
      <c r="A9" s="117" t="s">
        <v>269</v>
      </c>
      <c r="B9" s="79">
        <v>0</v>
      </c>
    </row>
    <row r="10" spans="1:2" ht="15">
      <c r="A10" s="117" t="s">
        <v>267</v>
      </c>
      <c r="B10" s="79">
        <v>0</v>
      </c>
    </row>
    <row r="11" spans="1:2" ht="15">
      <c r="A11" s="117" t="s">
        <v>265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43C7A-C6FE-483B-B174-56ABE4807144}">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6" t="s">
        <v>859</v>
      </c>
      <c r="B25" t="s">
        <v>858</v>
      </c>
    </row>
    <row r="26" spans="1:2" ht="15">
      <c r="A26" s="127" t="s">
        <v>861</v>
      </c>
      <c r="B26" s="116">
        <v>41</v>
      </c>
    </row>
    <row r="27" spans="1:2" ht="15">
      <c r="A27" s="128" t="s">
        <v>862</v>
      </c>
      <c r="B27" s="116">
        <v>41</v>
      </c>
    </row>
    <row r="28" spans="1:2" ht="15">
      <c r="A28" s="129" t="s">
        <v>863</v>
      </c>
      <c r="B28" s="116">
        <v>4</v>
      </c>
    </row>
    <row r="29" spans="1:2" ht="15">
      <c r="A29" s="130" t="s">
        <v>864</v>
      </c>
      <c r="B29" s="116">
        <v>1</v>
      </c>
    </row>
    <row r="30" spans="1:2" ht="15">
      <c r="A30" s="130" t="s">
        <v>865</v>
      </c>
      <c r="B30" s="116">
        <v>1</v>
      </c>
    </row>
    <row r="31" spans="1:2" ht="15">
      <c r="A31" s="130" t="s">
        <v>866</v>
      </c>
      <c r="B31" s="116">
        <v>1</v>
      </c>
    </row>
    <row r="32" spans="1:2" ht="15">
      <c r="A32" s="130" t="s">
        <v>867</v>
      </c>
      <c r="B32" s="116">
        <v>1</v>
      </c>
    </row>
    <row r="33" spans="1:2" ht="15">
      <c r="A33" s="129" t="s">
        <v>868</v>
      </c>
      <c r="B33" s="116">
        <v>8</v>
      </c>
    </row>
    <row r="34" spans="1:2" ht="15">
      <c r="A34" s="130" t="s">
        <v>869</v>
      </c>
      <c r="B34" s="116">
        <v>2</v>
      </c>
    </row>
    <row r="35" spans="1:2" ht="15">
      <c r="A35" s="130" t="s">
        <v>870</v>
      </c>
      <c r="B35" s="116">
        <v>1</v>
      </c>
    </row>
    <row r="36" spans="1:2" ht="15">
      <c r="A36" s="130" t="s">
        <v>871</v>
      </c>
      <c r="B36" s="116">
        <v>1</v>
      </c>
    </row>
    <row r="37" spans="1:2" ht="15">
      <c r="A37" s="130" t="s">
        <v>872</v>
      </c>
      <c r="B37" s="116">
        <v>2</v>
      </c>
    </row>
    <row r="38" spans="1:2" ht="15">
      <c r="A38" s="130" t="s">
        <v>866</v>
      </c>
      <c r="B38" s="116">
        <v>1</v>
      </c>
    </row>
    <row r="39" spans="1:2" ht="15">
      <c r="A39" s="130" t="s">
        <v>873</v>
      </c>
      <c r="B39" s="116">
        <v>1</v>
      </c>
    </row>
    <row r="40" spans="1:2" ht="15">
      <c r="A40" s="129" t="s">
        <v>874</v>
      </c>
      <c r="B40" s="116">
        <v>4</v>
      </c>
    </row>
    <row r="41" spans="1:2" ht="15">
      <c r="A41" s="130" t="s">
        <v>864</v>
      </c>
      <c r="B41" s="116">
        <v>1</v>
      </c>
    </row>
    <row r="42" spans="1:2" ht="15">
      <c r="A42" s="130" t="s">
        <v>865</v>
      </c>
      <c r="B42" s="116">
        <v>1</v>
      </c>
    </row>
    <row r="43" spans="1:2" ht="15">
      <c r="A43" s="130" t="s">
        <v>872</v>
      </c>
      <c r="B43" s="116">
        <v>1</v>
      </c>
    </row>
    <row r="44" spans="1:2" ht="15">
      <c r="A44" s="130" t="s">
        <v>867</v>
      </c>
      <c r="B44" s="116">
        <v>1</v>
      </c>
    </row>
    <row r="45" spans="1:2" ht="15">
      <c r="A45" s="129" t="s">
        <v>875</v>
      </c>
      <c r="B45" s="116">
        <v>2</v>
      </c>
    </row>
    <row r="46" spans="1:2" ht="15">
      <c r="A46" s="130" t="s">
        <v>872</v>
      </c>
      <c r="B46" s="116">
        <v>1</v>
      </c>
    </row>
    <row r="47" spans="1:2" ht="15">
      <c r="A47" s="130" t="s">
        <v>866</v>
      </c>
      <c r="B47" s="116">
        <v>1</v>
      </c>
    </row>
    <row r="48" spans="1:2" ht="15">
      <c r="A48" s="129" t="s">
        <v>876</v>
      </c>
      <c r="B48" s="116">
        <v>2</v>
      </c>
    </row>
    <row r="49" spans="1:2" ht="15">
      <c r="A49" s="130" t="s">
        <v>864</v>
      </c>
      <c r="B49" s="116">
        <v>1</v>
      </c>
    </row>
    <row r="50" spans="1:2" ht="15">
      <c r="A50" s="130" t="s">
        <v>869</v>
      </c>
      <c r="B50" s="116">
        <v>1</v>
      </c>
    </row>
    <row r="51" spans="1:2" ht="15">
      <c r="A51" s="129" t="s">
        <v>877</v>
      </c>
      <c r="B51" s="116">
        <v>4</v>
      </c>
    </row>
    <row r="52" spans="1:2" ht="15">
      <c r="A52" s="130" t="s">
        <v>865</v>
      </c>
      <c r="B52" s="116">
        <v>1</v>
      </c>
    </row>
    <row r="53" spans="1:2" ht="15">
      <c r="A53" s="130" t="s">
        <v>872</v>
      </c>
      <c r="B53" s="116">
        <v>1</v>
      </c>
    </row>
    <row r="54" spans="1:2" ht="15">
      <c r="A54" s="130" t="s">
        <v>867</v>
      </c>
      <c r="B54" s="116">
        <v>2</v>
      </c>
    </row>
    <row r="55" spans="1:2" ht="15">
      <c r="A55" s="129" t="s">
        <v>878</v>
      </c>
      <c r="B55" s="116">
        <v>2</v>
      </c>
    </row>
    <row r="56" spans="1:2" ht="15">
      <c r="A56" s="130" t="s">
        <v>870</v>
      </c>
      <c r="B56" s="116">
        <v>1</v>
      </c>
    </row>
    <row r="57" spans="1:2" ht="15">
      <c r="A57" s="130" t="s">
        <v>872</v>
      </c>
      <c r="B57" s="116">
        <v>1</v>
      </c>
    </row>
    <row r="58" spans="1:2" ht="15">
      <c r="A58" s="129" t="s">
        <v>879</v>
      </c>
      <c r="B58" s="116">
        <v>9</v>
      </c>
    </row>
    <row r="59" spans="1:2" ht="15">
      <c r="A59" s="130" t="s">
        <v>880</v>
      </c>
      <c r="B59" s="116">
        <v>2</v>
      </c>
    </row>
    <row r="60" spans="1:2" ht="15">
      <c r="A60" s="130" t="s">
        <v>869</v>
      </c>
      <c r="B60" s="116">
        <v>1</v>
      </c>
    </row>
    <row r="61" spans="1:2" ht="15">
      <c r="A61" s="130" t="s">
        <v>870</v>
      </c>
      <c r="B61" s="116">
        <v>1</v>
      </c>
    </row>
    <row r="62" spans="1:2" ht="15">
      <c r="A62" s="130" t="s">
        <v>865</v>
      </c>
      <c r="B62" s="116">
        <v>2</v>
      </c>
    </row>
    <row r="63" spans="1:2" ht="15">
      <c r="A63" s="130" t="s">
        <v>866</v>
      </c>
      <c r="B63" s="116">
        <v>1</v>
      </c>
    </row>
    <row r="64" spans="1:2" ht="15">
      <c r="A64" s="130" t="s">
        <v>881</v>
      </c>
      <c r="B64" s="116">
        <v>1</v>
      </c>
    </row>
    <row r="65" spans="1:2" ht="15">
      <c r="A65" s="130" t="s">
        <v>867</v>
      </c>
      <c r="B65" s="116">
        <v>1</v>
      </c>
    </row>
    <row r="66" spans="1:2" ht="15">
      <c r="A66" s="129" t="s">
        <v>882</v>
      </c>
      <c r="B66" s="116">
        <v>1</v>
      </c>
    </row>
    <row r="67" spans="1:2" ht="15">
      <c r="A67" s="130" t="s">
        <v>872</v>
      </c>
      <c r="B67" s="116">
        <v>1</v>
      </c>
    </row>
    <row r="68" spans="1:2" ht="15">
      <c r="A68" s="129" t="s">
        <v>883</v>
      </c>
      <c r="B68" s="116">
        <v>5</v>
      </c>
    </row>
    <row r="69" spans="1:2" ht="15">
      <c r="A69" s="130" t="s">
        <v>864</v>
      </c>
      <c r="B69" s="116">
        <v>1</v>
      </c>
    </row>
    <row r="70" spans="1:2" ht="15">
      <c r="A70" s="130" t="s">
        <v>869</v>
      </c>
      <c r="B70" s="116">
        <v>1</v>
      </c>
    </row>
    <row r="71" spans="1:2" ht="15">
      <c r="A71" s="130" t="s">
        <v>865</v>
      </c>
      <c r="B71" s="116">
        <v>2</v>
      </c>
    </row>
    <row r="72" spans="1:2" ht="15">
      <c r="A72" s="130" t="s">
        <v>871</v>
      </c>
      <c r="B72" s="116">
        <v>1</v>
      </c>
    </row>
    <row r="73" spans="1:2" ht="15">
      <c r="A73" s="127" t="s">
        <v>860</v>
      </c>
      <c r="B73" s="116">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1.57421875" style="0" customWidth="1"/>
    <col min="34" max="34" width="12.00390625" style="0" customWidth="1"/>
    <col min="35" max="35" width="9.7109375" style="0" customWidth="1"/>
    <col min="36" max="36" width="9.421875" style="0" customWidth="1"/>
    <col min="37" max="37" width="18.00390625" style="0" customWidth="1"/>
    <col min="38" max="38" width="13.421875" style="0" customWidth="1"/>
    <col min="39" max="39" width="10.7109375" style="0" customWidth="1"/>
    <col min="40" max="40" width="7.421875" style="0" customWidth="1"/>
    <col min="41" max="41" width="8.140625" style="0" customWidth="1"/>
    <col min="42" max="42" width="16.421875" style="0" customWidth="1"/>
    <col min="43" max="43" width="12.57421875" style="0" customWidth="1"/>
    <col min="44" max="44" width="10.28125" style="0" customWidth="1"/>
    <col min="45" max="45" width="16.7109375" style="0" customWidth="1"/>
    <col min="46" max="46" width="10.421875" style="0" customWidth="1"/>
    <col min="47" max="47" width="11.57421875" style="0" customWidth="1"/>
    <col min="48" max="48" width="9.00390625" style="0" customWidth="1"/>
    <col min="49" max="49" width="20.57421875" style="0" customWidth="1"/>
    <col min="50" max="50" width="10.57421875" style="0" customWidth="1"/>
    <col min="51" max="52" width="16.00390625" style="0" customWidth="1"/>
    <col min="53" max="53" width="15.140625" style="0" customWidth="1"/>
    <col min="54" max="54" width="9.7109375" style="0" customWidth="1"/>
    <col min="55" max="55" width="17.140625" style="0" customWidth="1"/>
    <col min="56" max="56" width="19.421875" style="0" customWidth="1"/>
    <col min="57" max="57" width="17.28125" style="0" customWidth="1"/>
    <col min="58" max="58" width="19.421875" style="0" customWidth="1"/>
    <col min="59" max="59" width="17.421875" style="0" customWidth="1"/>
    <col min="60" max="60" width="19.421875" style="0" customWidth="1"/>
    <col min="61" max="61" width="17.140625" style="0" customWidth="1"/>
    <col min="62" max="62" width="19.421875" style="0" customWidth="1"/>
    <col min="63" max="63" width="19.28125" style="0" customWidth="1"/>
    <col min="64" max="64" width="19.421875" style="0" customWidth="1"/>
    <col min="65" max="65" width="19.57421875" style="0" customWidth="1"/>
    <col min="66" max="66" width="24.140625" style="0" customWidth="1"/>
    <col min="67" max="67" width="19.57421875" style="0" customWidth="1"/>
    <col min="68" max="68" width="24.140625" style="0" customWidth="1"/>
    <col min="69" max="69" width="19.57421875" style="0" customWidth="1"/>
    <col min="70" max="70" width="24.140625" style="0" customWidth="1"/>
    <col min="71" max="71" width="18.57421875" style="0" customWidth="1"/>
    <col min="72" max="72" width="22.140625" style="0" customWidth="1"/>
    <col min="73" max="73" width="17.2812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3" ht="30" customHeight="1">
      <c r="A2" s="10" t="s">
        <v>5</v>
      </c>
      <c r="B2" t="s">
        <v>890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420</v>
      </c>
      <c r="AF2" s="7" t="s">
        <v>421</v>
      </c>
      <c r="AG2" s="7" t="s">
        <v>422</v>
      </c>
      <c r="AH2" s="7" t="s">
        <v>423</v>
      </c>
      <c r="AI2" s="7" t="s">
        <v>424</v>
      </c>
      <c r="AJ2" s="7" t="s">
        <v>425</v>
      </c>
      <c r="AK2" s="7" t="s">
        <v>426</v>
      </c>
      <c r="AL2" s="7" t="s">
        <v>427</v>
      </c>
      <c r="AM2" s="7" t="s">
        <v>428</v>
      </c>
      <c r="AN2" s="7" t="s">
        <v>429</v>
      </c>
      <c r="AO2" s="7" t="s">
        <v>430</v>
      </c>
      <c r="AP2" s="7" t="s">
        <v>431</v>
      </c>
      <c r="AQ2" s="7" t="s">
        <v>432</v>
      </c>
      <c r="AR2" s="7" t="s">
        <v>433</v>
      </c>
      <c r="AS2" s="7" t="s">
        <v>434</v>
      </c>
      <c r="AT2" s="7" t="s">
        <v>435</v>
      </c>
      <c r="AU2" s="7" t="s">
        <v>229</v>
      </c>
      <c r="AV2" s="7" t="s">
        <v>436</v>
      </c>
      <c r="AW2" s="7" t="s">
        <v>437</v>
      </c>
      <c r="AX2" s="7" t="s">
        <v>438</v>
      </c>
      <c r="AY2" s="7" t="s">
        <v>439</v>
      </c>
      <c r="AZ2" s="7" t="s">
        <v>440</v>
      </c>
      <c r="BA2" s="7" t="s">
        <v>441</v>
      </c>
      <c r="BB2" s="7" t="s">
        <v>544</v>
      </c>
      <c r="BC2" s="118" t="s">
        <v>654</v>
      </c>
      <c r="BD2" s="118" t="s">
        <v>657</v>
      </c>
      <c r="BE2" s="118" t="s">
        <v>659</v>
      </c>
      <c r="BF2" s="118" t="s">
        <v>662</v>
      </c>
      <c r="BG2" s="118" t="s">
        <v>665</v>
      </c>
      <c r="BH2" s="118" t="s">
        <v>668</v>
      </c>
      <c r="BI2" s="118" t="s">
        <v>674</v>
      </c>
      <c r="BJ2" s="118" t="s">
        <v>682</v>
      </c>
      <c r="BK2" s="118" t="s">
        <v>686</v>
      </c>
      <c r="BL2" s="118" t="s">
        <v>694</v>
      </c>
      <c r="BM2" s="118" t="s">
        <v>812</v>
      </c>
      <c r="BN2" s="118" t="s">
        <v>813</v>
      </c>
      <c r="BO2" s="118" t="s">
        <v>814</v>
      </c>
      <c r="BP2" s="118" t="s">
        <v>815</v>
      </c>
      <c r="BQ2" s="118" t="s">
        <v>816</v>
      </c>
      <c r="BR2" s="118" t="s">
        <v>817</v>
      </c>
      <c r="BS2" s="118" t="s">
        <v>818</v>
      </c>
      <c r="BT2" s="118" t="s">
        <v>819</v>
      </c>
      <c r="BU2" s="118" t="s">
        <v>821</v>
      </c>
    </row>
    <row r="3" spans="1:73" ht="41.45" customHeight="1">
      <c r="A3" s="46" t="s">
        <v>258</v>
      </c>
      <c r="C3" s="49"/>
      <c r="D3" s="49" t="s">
        <v>64</v>
      </c>
      <c r="E3" s="50">
        <v>162.0216171680654</v>
      </c>
      <c r="F3" s="51"/>
      <c r="G3" s="108" t="str">
        <f>HYPERLINK("https://pbs.twimg.com/profile_images/875829647790964737/mJLoGN7N_normal.jpg")</f>
        <v>https://pbs.twimg.com/profile_images/875829647790964737/mJLoGN7N_normal.jpg</v>
      </c>
      <c r="H3" s="49"/>
      <c r="I3" s="53" t="s">
        <v>258</v>
      </c>
      <c r="J3" s="52"/>
      <c r="K3" s="52"/>
      <c r="L3" s="110" t="s">
        <v>537</v>
      </c>
      <c r="M3" s="55">
        <v>1.0513704025488706</v>
      </c>
      <c r="N3" s="56">
        <v>7524.068359375</v>
      </c>
      <c r="O3" s="56">
        <v>2508.007568359375</v>
      </c>
      <c r="P3" s="54"/>
      <c r="Q3" s="57"/>
      <c r="R3" s="57"/>
      <c r="S3" s="47"/>
      <c r="T3" s="47">
        <v>0</v>
      </c>
      <c r="U3" s="47">
        <v>1</v>
      </c>
      <c r="V3" s="48">
        <v>0</v>
      </c>
      <c r="W3" s="48">
        <v>0.512821</v>
      </c>
      <c r="X3" s="48">
        <v>0.138688</v>
      </c>
      <c r="Y3" s="48">
        <v>0.04158</v>
      </c>
      <c r="Z3" s="48">
        <v>0</v>
      </c>
      <c r="AA3" s="48">
        <v>0</v>
      </c>
      <c r="AB3" s="58">
        <v>3</v>
      </c>
      <c r="AC3" s="58"/>
      <c r="AD3" s="59"/>
      <c r="AE3" s="79" t="s">
        <v>462</v>
      </c>
      <c r="AF3" s="85" t="s">
        <v>483</v>
      </c>
      <c r="AG3" s="79">
        <v>2901</v>
      </c>
      <c r="AH3" s="79">
        <v>615</v>
      </c>
      <c r="AI3" s="79">
        <v>5945</v>
      </c>
      <c r="AJ3" s="79">
        <v>5122</v>
      </c>
      <c r="AK3" s="79"/>
      <c r="AL3" s="79" t="s">
        <v>501</v>
      </c>
      <c r="AM3" s="79" t="s">
        <v>515</v>
      </c>
      <c r="AN3" s="83" t="str">
        <f>HYPERLINK("https://t.co/4HppPNn9xO")</f>
        <v>https://t.co/4HppPNn9xO</v>
      </c>
      <c r="AO3" s="79"/>
      <c r="AP3" s="81">
        <v>41189.115532407406</v>
      </c>
      <c r="AQ3" s="83" t="str">
        <f>HYPERLINK("https://pbs.twimg.com/profile_banners/865662805/1666223950")</f>
        <v>https://pbs.twimg.com/profile_banners/865662805/1666223950</v>
      </c>
      <c r="AR3" s="79" t="b">
        <v>0</v>
      </c>
      <c r="AS3" s="79" t="b">
        <v>0</v>
      </c>
      <c r="AT3" s="79" t="b">
        <v>0</v>
      </c>
      <c r="AU3" s="79"/>
      <c r="AV3" s="79">
        <v>40</v>
      </c>
      <c r="AW3" s="83" t="str">
        <f>HYPERLINK("https://abs.twimg.com/images/themes/theme1/bg.png")</f>
        <v>https://abs.twimg.com/images/themes/theme1/bg.png</v>
      </c>
      <c r="AX3" s="79" t="b">
        <v>0</v>
      </c>
      <c r="AY3" s="79" t="s">
        <v>516</v>
      </c>
      <c r="AZ3" s="83" t="str">
        <f>HYPERLINK("https://twitter.com/daya1angel")</f>
        <v>https://twitter.com/daya1angel</v>
      </c>
      <c r="BA3" s="79" t="s">
        <v>66</v>
      </c>
      <c r="BB3" s="79" t="str">
        <f>REPLACE(INDEX(GroupVertices[Group],MATCH(Vertices[[#This Row],[Vertex]],GroupVertices[Vertex],0)),1,1,"")</f>
        <v>1</v>
      </c>
      <c r="BC3" s="47" t="s">
        <v>548</v>
      </c>
      <c r="BD3" s="47" t="s">
        <v>548</v>
      </c>
      <c r="BE3" s="47" t="s">
        <v>305</v>
      </c>
      <c r="BF3" s="47" t="s">
        <v>305</v>
      </c>
      <c r="BG3" s="47" t="s">
        <v>314</v>
      </c>
      <c r="BH3" s="47" t="s">
        <v>669</v>
      </c>
      <c r="BI3" s="119" t="s">
        <v>675</v>
      </c>
      <c r="BJ3" s="119" t="s">
        <v>675</v>
      </c>
      <c r="BK3" s="119" t="s">
        <v>687</v>
      </c>
      <c r="BL3" s="119" t="s">
        <v>687</v>
      </c>
      <c r="BM3" s="119">
        <v>1</v>
      </c>
      <c r="BN3" s="122">
        <v>4.761904761904762</v>
      </c>
      <c r="BO3" s="119">
        <v>0</v>
      </c>
      <c r="BP3" s="122">
        <v>0</v>
      </c>
      <c r="BQ3" s="119">
        <v>0</v>
      </c>
      <c r="BR3" s="122">
        <v>0</v>
      </c>
      <c r="BS3" s="119">
        <v>14</v>
      </c>
      <c r="BT3" s="122">
        <v>66.66666666666667</v>
      </c>
      <c r="BU3" s="119">
        <v>21</v>
      </c>
    </row>
    <row r="4" spans="1:74" ht="41.45" customHeight="1">
      <c r="A4" s="11" t="s">
        <v>257</v>
      </c>
      <c r="C4" s="12"/>
      <c r="D4" s="12" t="s">
        <v>64</v>
      </c>
      <c r="E4" s="89">
        <v>162.036150331731</v>
      </c>
      <c r="F4" s="75"/>
      <c r="G4" s="108" t="str">
        <f>HYPERLINK("https://pbs.twimg.com/profile_images/1487756429276684289/Kqq9xAOb_normal.png")</f>
        <v>https://pbs.twimg.com/profile_images/1487756429276684289/Kqq9xAOb_normal.png</v>
      </c>
      <c r="H4" s="12"/>
      <c r="I4" s="13" t="s">
        <v>257</v>
      </c>
      <c r="J4" s="63"/>
      <c r="K4" s="63"/>
      <c r="L4" s="110" t="s">
        <v>517</v>
      </c>
      <c r="M4" s="90">
        <v>1.0859065853435503</v>
      </c>
      <c r="N4" s="91">
        <v>4236.287109375</v>
      </c>
      <c r="O4" s="91">
        <v>5019.68603515625</v>
      </c>
      <c r="P4" s="74"/>
      <c r="Q4" s="92"/>
      <c r="R4" s="92"/>
      <c r="S4" s="93"/>
      <c r="T4" s="47">
        <v>10</v>
      </c>
      <c r="U4" s="47">
        <v>14</v>
      </c>
      <c r="V4" s="48">
        <v>374</v>
      </c>
      <c r="W4" s="48">
        <v>1</v>
      </c>
      <c r="X4" s="48">
        <v>0.721647</v>
      </c>
      <c r="Y4" s="48">
        <v>0.154544</v>
      </c>
      <c r="Z4" s="48">
        <v>0.010526315789473684</v>
      </c>
      <c r="AA4" s="48">
        <v>0.1</v>
      </c>
      <c r="AB4" s="76">
        <v>4</v>
      </c>
      <c r="AC4" s="76"/>
      <c r="AD4" s="94"/>
      <c r="AE4" s="79" t="s">
        <v>442</v>
      </c>
      <c r="AF4" s="85" t="s">
        <v>463</v>
      </c>
      <c r="AG4" s="79">
        <v>2052</v>
      </c>
      <c r="AH4" s="79">
        <v>1013</v>
      </c>
      <c r="AI4" s="79">
        <v>20032</v>
      </c>
      <c r="AJ4" s="79">
        <v>10988</v>
      </c>
      <c r="AK4" s="79"/>
      <c r="AL4" s="79" t="s">
        <v>484</v>
      </c>
      <c r="AM4" s="79" t="s">
        <v>502</v>
      </c>
      <c r="AN4" s="83" t="str">
        <f>HYPERLINK("https://t.co/2GIy6jaa6f")</f>
        <v>https://t.co/2GIy6jaa6f</v>
      </c>
      <c r="AO4" s="79"/>
      <c r="AP4" s="81">
        <v>44286.527395833335</v>
      </c>
      <c r="AQ4" s="83" t="str">
        <f>HYPERLINK("https://pbs.twimg.com/profile_banners/1377239026432888832/1662127866")</f>
        <v>https://pbs.twimg.com/profile_banners/1377239026432888832/1662127866</v>
      </c>
      <c r="AR4" s="79" t="b">
        <v>1</v>
      </c>
      <c r="AS4" s="79" t="b">
        <v>0</v>
      </c>
      <c r="AT4" s="79" t="b">
        <v>0</v>
      </c>
      <c r="AU4" s="79"/>
      <c r="AV4" s="79">
        <v>19</v>
      </c>
      <c r="AW4" s="79"/>
      <c r="AX4" s="79" t="b">
        <v>0</v>
      </c>
      <c r="AY4" s="79" t="s">
        <v>516</v>
      </c>
      <c r="AZ4" s="83" t="str">
        <f>HYPERLINK("https://twitter.com/hashtagmarketi7")</f>
        <v>https://twitter.com/hashtagmarketi7</v>
      </c>
      <c r="BA4" s="79" t="s">
        <v>66</v>
      </c>
      <c r="BB4" s="79" t="str">
        <f>REPLACE(INDEX(GroupVertices[Group],MATCH(Vertices[[#This Row],[Vertex]],GroupVertices[Vertex],0)),1,1,"")</f>
        <v>1</v>
      </c>
      <c r="BC4" s="47" t="s">
        <v>655</v>
      </c>
      <c r="BD4" s="47" t="s">
        <v>658</v>
      </c>
      <c r="BE4" s="47" t="s">
        <v>660</v>
      </c>
      <c r="BF4" s="47" t="s">
        <v>663</v>
      </c>
      <c r="BG4" s="47" t="s">
        <v>666</v>
      </c>
      <c r="BH4" s="47" t="s">
        <v>670</v>
      </c>
      <c r="BI4" s="119" t="s">
        <v>676</v>
      </c>
      <c r="BJ4" s="119" t="s">
        <v>683</v>
      </c>
      <c r="BK4" s="119" t="s">
        <v>688</v>
      </c>
      <c r="BL4" s="119" t="s">
        <v>695</v>
      </c>
      <c r="BM4" s="119">
        <v>7</v>
      </c>
      <c r="BN4" s="122">
        <v>1.1844331641285957</v>
      </c>
      <c r="BO4" s="119">
        <v>0</v>
      </c>
      <c r="BP4" s="122">
        <v>0</v>
      </c>
      <c r="BQ4" s="119">
        <v>0</v>
      </c>
      <c r="BR4" s="122">
        <v>0</v>
      </c>
      <c r="BS4" s="119">
        <v>390</v>
      </c>
      <c r="BT4" s="122">
        <v>65.98984771573605</v>
      </c>
      <c r="BU4" s="119">
        <v>591</v>
      </c>
      <c r="BV4" s="2"/>
    </row>
    <row r="5" spans="1:74" ht="41.45" customHeight="1">
      <c r="A5" s="11" t="s">
        <v>249</v>
      </c>
      <c r="C5" s="12"/>
      <c r="D5" s="12" t="s">
        <v>64</v>
      </c>
      <c r="E5" s="89">
        <v>162.00562338493594</v>
      </c>
      <c r="F5" s="75"/>
      <c r="G5" s="108" t="str">
        <f>HYPERLINK("https://pbs.twimg.com/profile_images/1579631275056447489/eB63-C3y_normal.jpg")</f>
        <v>https://pbs.twimg.com/profile_images/1579631275056447489/eB63-C3y_normal.jpg</v>
      </c>
      <c r="H5" s="12"/>
      <c r="I5" s="13" t="s">
        <v>249</v>
      </c>
      <c r="J5" s="63"/>
      <c r="K5" s="63"/>
      <c r="L5" s="110" t="s">
        <v>518</v>
      </c>
      <c r="M5" s="90">
        <v>1.0133632466089968</v>
      </c>
      <c r="N5" s="91">
        <v>8603.791015625</v>
      </c>
      <c r="O5" s="91">
        <v>679.5298461914062</v>
      </c>
      <c r="P5" s="74"/>
      <c r="Q5" s="92"/>
      <c r="R5" s="92"/>
      <c r="S5" s="93"/>
      <c r="T5" s="47">
        <v>0</v>
      </c>
      <c r="U5" s="47">
        <v>3</v>
      </c>
      <c r="V5" s="48">
        <v>0</v>
      </c>
      <c r="W5" s="48">
        <v>0.540541</v>
      </c>
      <c r="X5" s="48">
        <v>0.225271</v>
      </c>
      <c r="Y5" s="48">
        <v>0.0462</v>
      </c>
      <c r="Z5" s="48">
        <v>1</v>
      </c>
      <c r="AA5" s="48">
        <v>0</v>
      </c>
      <c r="AB5" s="76">
        <v>5</v>
      </c>
      <c r="AC5" s="76"/>
      <c r="AD5" s="94"/>
      <c r="AE5" s="79" t="s">
        <v>443</v>
      </c>
      <c r="AF5" s="85" t="s">
        <v>464</v>
      </c>
      <c r="AG5" s="79">
        <v>1202</v>
      </c>
      <c r="AH5" s="79">
        <v>177</v>
      </c>
      <c r="AI5" s="79">
        <v>22057</v>
      </c>
      <c r="AJ5" s="79">
        <v>1036</v>
      </c>
      <c r="AK5" s="79"/>
      <c r="AL5" s="79" t="s">
        <v>485</v>
      </c>
      <c r="AM5" s="79"/>
      <c r="AN5" s="79"/>
      <c r="AO5" s="79"/>
      <c r="AP5" s="81">
        <v>44775.11885416666</v>
      </c>
      <c r="AQ5" s="83" t="str">
        <f>HYPERLINK("https://pbs.twimg.com/profile_banners/1554298610552119296/1663814911")</f>
        <v>https://pbs.twimg.com/profile_banners/1554298610552119296/1663814911</v>
      </c>
      <c r="AR5" s="79" t="b">
        <v>1</v>
      </c>
      <c r="AS5" s="79" t="b">
        <v>0</v>
      </c>
      <c r="AT5" s="79" t="b">
        <v>0</v>
      </c>
      <c r="AU5" s="79"/>
      <c r="AV5" s="79">
        <v>0</v>
      </c>
      <c r="AW5" s="79"/>
      <c r="AX5" s="79" t="b">
        <v>0</v>
      </c>
      <c r="AY5" s="79" t="s">
        <v>516</v>
      </c>
      <c r="AZ5" s="83" t="str">
        <f>HYPERLINK("https://twitter.com/edserhanker190")</f>
        <v>https://twitter.com/edserhanker190</v>
      </c>
      <c r="BA5" s="79" t="s">
        <v>66</v>
      </c>
      <c r="BB5" s="79" t="str">
        <f>REPLACE(INDEX(GroupVertices[Group],MATCH(Vertices[[#This Row],[Vertex]],GroupVertices[Vertex],0)),1,1,"")</f>
        <v>2</v>
      </c>
      <c r="BC5" s="47" t="s">
        <v>549</v>
      </c>
      <c r="BD5" s="47" t="s">
        <v>549</v>
      </c>
      <c r="BE5" s="47" t="s">
        <v>303</v>
      </c>
      <c r="BF5" s="47" t="s">
        <v>303</v>
      </c>
      <c r="BG5" s="47" t="s">
        <v>309</v>
      </c>
      <c r="BH5" s="47" t="s">
        <v>671</v>
      </c>
      <c r="BI5" s="119" t="s">
        <v>677</v>
      </c>
      <c r="BJ5" s="119" t="s">
        <v>677</v>
      </c>
      <c r="BK5" s="119" t="s">
        <v>689</v>
      </c>
      <c r="BL5" s="119" t="s">
        <v>689</v>
      </c>
      <c r="BM5" s="119">
        <v>0</v>
      </c>
      <c r="BN5" s="122">
        <v>0</v>
      </c>
      <c r="BO5" s="119">
        <v>0</v>
      </c>
      <c r="BP5" s="122">
        <v>0</v>
      </c>
      <c r="BQ5" s="119">
        <v>0</v>
      </c>
      <c r="BR5" s="122">
        <v>0</v>
      </c>
      <c r="BS5" s="119">
        <v>10</v>
      </c>
      <c r="BT5" s="122">
        <v>52.63157894736842</v>
      </c>
      <c r="BU5" s="119">
        <v>19</v>
      </c>
      <c r="BV5" s="2"/>
    </row>
    <row r="6" spans="1:74" ht="41.45" customHeight="1">
      <c r="A6" s="11" t="s">
        <v>256</v>
      </c>
      <c r="C6" s="12"/>
      <c r="D6" s="12" t="s">
        <v>64</v>
      </c>
      <c r="E6" s="89">
        <v>162.0134742145543</v>
      </c>
      <c r="F6" s="75"/>
      <c r="G6" s="108" t="str">
        <f>HYPERLINK("https://pbs.twimg.com/profile_images/1501490089041567749/5cItZGxg_normal.jpg")</f>
        <v>https://pbs.twimg.com/profile_images/1501490089041567749/5cItZGxg_normal.jpg</v>
      </c>
      <c r="H6" s="12"/>
      <c r="I6" s="13" t="s">
        <v>256</v>
      </c>
      <c r="J6" s="63"/>
      <c r="K6" s="63"/>
      <c r="L6" s="110" t="s">
        <v>519</v>
      </c>
      <c r="M6" s="90">
        <v>1.0320197272644143</v>
      </c>
      <c r="N6" s="91">
        <v>9714.5458984375</v>
      </c>
      <c r="O6" s="91">
        <v>9319.470703125</v>
      </c>
      <c r="P6" s="74"/>
      <c r="Q6" s="92"/>
      <c r="R6" s="92"/>
      <c r="S6" s="93"/>
      <c r="T6" s="47">
        <v>3</v>
      </c>
      <c r="U6" s="47">
        <v>2</v>
      </c>
      <c r="V6" s="48">
        <v>0</v>
      </c>
      <c r="W6" s="48">
        <v>0.540541</v>
      </c>
      <c r="X6" s="48">
        <v>0.225271</v>
      </c>
      <c r="Y6" s="48">
        <v>0.0462</v>
      </c>
      <c r="Z6" s="48">
        <v>0.6666666666666666</v>
      </c>
      <c r="AA6" s="48">
        <v>0.6666666666666666</v>
      </c>
      <c r="AB6" s="76">
        <v>6</v>
      </c>
      <c r="AC6" s="76"/>
      <c r="AD6" s="94"/>
      <c r="AE6" s="79" t="s">
        <v>444</v>
      </c>
      <c r="AF6" s="85" t="s">
        <v>465</v>
      </c>
      <c r="AG6" s="79">
        <v>757</v>
      </c>
      <c r="AH6" s="79">
        <v>392</v>
      </c>
      <c r="AI6" s="79">
        <v>69810</v>
      </c>
      <c r="AJ6" s="79">
        <v>94380</v>
      </c>
      <c r="AK6" s="79"/>
      <c r="AL6" s="79"/>
      <c r="AM6" s="79"/>
      <c r="AN6" s="79"/>
      <c r="AO6" s="79"/>
      <c r="AP6" s="81">
        <v>42031.90116898148</v>
      </c>
      <c r="AQ6" s="83" t="str">
        <f>HYPERLINK("https://pbs.twimg.com/profile_banners/3002116025/1653945997")</f>
        <v>https://pbs.twimg.com/profile_banners/3002116025/1653945997</v>
      </c>
      <c r="AR6" s="79" t="b">
        <v>1</v>
      </c>
      <c r="AS6" s="79" t="b">
        <v>0</v>
      </c>
      <c r="AT6" s="79" t="b">
        <v>1</v>
      </c>
      <c r="AU6" s="79"/>
      <c r="AV6" s="79">
        <v>1</v>
      </c>
      <c r="AW6" s="83" t="str">
        <f>HYPERLINK("https://abs.twimg.com/images/themes/theme1/bg.png")</f>
        <v>https://abs.twimg.com/images/themes/theme1/bg.png</v>
      </c>
      <c r="AX6" s="79" t="b">
        <v>0</v>
      </c>
      <c r="AY6" s="79" t="s">
        <v>516</v>
      </c>
      <c r="AZ6" s="83" t="str">
        <f>HYPERLINK("https://twitter.com/assuntaigor18")</f>
        <v>https://twitter.com/assuntaigor18</v>
      </c>
      <c r="BA6" s="79" t="s">
        <v>66</v>
      </c>
      <c r="BB6" s="79" t="str">
        <f>REPLACE(INDEX(GroupVertices[Group],MATCH(Vertices[[#This Row],[Vertex]],GroupVertices[Vertex],0)),1,1,"")</f>
        <v>2</v>
      </c>
      <c r="BC6" s="47" t="s">
        <v>549</v>
      </c>
      <c r="BD6" s="47" t="s">
        <v>549</v>
      </c>
      <c r="BE6" s="47" t="s">
        <v>303</v>
      </c>
      <c r="BF6" s="47" t="s">
        <v>303</v>
      </c>
      <c r="BG6" s="47" t="s">
        <v>309</v>
      </c>
      <c r="BH6" s="47" t="s">
        <v>671</v>
      </c>
      <c r="BI6" s="119" t="s">
        <v>678</v>
      </c>
      <c r="BJ6" s="119" t="s">
        <v>684</v>
      </c>
      <c r="BK6" s="119" t="s">
        <v>690</v>
      </c>
      <c r="BL6" s="119" t="s">
        <v>696</v>
      </c>
      <c r="BM6" s="119">
        <v>0</v>
      </c>
      <c r="BN6" s="122">
        <v>0</v>
      </c>
      <c r="BO6" s="119">
        <v>0</v>
      </c>
      <c r="BP6" s="122">
        <v>0</v>
      </c>
      <c r="BQ6" s="119">
        <v>0</v>
      </c>
      <c r="BR6" s="122">
        <v>0</v>
      </c>
      <c r="BS6" s="119">
        <v>18</v>
      </c>
      <c r="BT6" s="122">
        <v>52.94117647058823</v>
      </c>
      <c r="BU6" s="119">
        <v>34</v>
      </c>
      <c r="BV6" s="2"/>
    </row>
    <row r="7" spans="1:74" ht="41.45" customHeight="1">
      <c r="A7" s="11" t="s">
        <v>255</v>
      </c>
      <c r="C7" s="12"/>
      <c r="D7" s="12" t="s">
        <v>64</v>
      </c>
      <c r="E7" s="89">
        <v>162</v>
      </c>
      <c r="F7" s="75"/>
      <c r="G7" s="108" t="str">
        <f>HYPERLINK("https://pbs.twimg.com/profile_images/708058715669307392/e7v2PkQQ_normal.jpg")</f>
        <v>https://pbs.twimg.com/profile_images/708058715669307392/e7v2PkQQ_normal.jpg</v>
      </c>
      <c r="H7" s="12"/>
      <c r="I7" s="13" t="s">
        <v>255</v>
      </c>
      <c r="J7" s="63"/>
      <c r="K7" s="63"/>
      <c r="L7" s="110" t="s">
        <v>520</v>
      </c>
      <c r="M7" s="90">
        <v>1</v>
      </c>
      <c r="N7" s="91">
        <v>9181.119140625</v>
      </c>
      <c r="O7" s="91">
        <v>4999.5</v>
      </c>
      <c r="P7" s="74"/>
      <c r="Q7" s="92"/>
      <c r="R7" s="92"/>
      <c r="S7" s="93"/>
      <c r="T7" s="47">
        <v>3</v>
      </c>
      <c r="U7" s="47">
        <v>2</v>
      </c>
      <c r="V7" s="48">
        <v>0</v>
      </c>
      <c r="W7" s="48">
        <v>0.540541</v>
      </c>
      <c r="X7" s="48">
        <v>0.225271</v>
      </c>
      <c r="Y7" s="48">
        <v>0.0462</v>
      </c>
      <c r="Z7" s="48">
        <v>0.6666666666666666</v>
      </c>
      <c r="AA7" s="48">
        <v>0.6666666666666666</v>
      </c>
      <c r="AB7" s="76">
        <v>7</v>
      </c>
      <c r="AC7" s="76"/>
      <c r="AD7" s="94"/>
      <c r="AE7" s="79" t="s">
        <v>445</v>
      </c>
      <c r="AF7" s="85" t="s">
        <v>466</v>
      </c>
      <c r="AG7" s="79">
        <v>26</v>
      </c>
      <c r="AH7" s="79">
        <v>23</v>
      </c>
      <c r="AI7" s="79">
        <v>1742</v>
      </c>
      <c r="AJ7" s="79">
        <v>0</v>
      </c>
      <c r="AK7" s="79"/>
      <c r="AL7" s="79"/>
      <c r="AM7" s="79"/>
      <c r="AN7" s="79"/>
      <c r="AO7" s="79"/>
      <c r="AP7" s="81">
        <v>42439.93945601852</v>
      </c>
      <c r="AQ7" s="83" t="str">
        <f>HYPERLINK("https://pbs.twimg.com/profile_banners/708058051484450816/1457649402")</f>
        <v>https://pbs.twimg.com/profile_banners/708058051484450816/1457649402</v>
      </c>
      <c r="AR7" s="79" t="b">
        <v>1</v>
      </c>
      <c r="AS7" s="79" t="b">
        <v>0</v>
      </c>
      <c r="AT7" s="79" t="b">
        <v>1</v>
      </c>
      <c r="AU7" s="79"/>
      <c r="AV7" s="79">
        <v>0</v>
      </c>
      <c r="AW7" s="79"/>
      <c r="AX7" s="79" t="b">
        <v>0</v>
      </c>
      <c r="AY7" s="79" t="s">
        <v>516</v>
      </c>
      <c r="AZ7" s="83" t="str">
        <f>HYPERLINK("https://twitter.com/ordencamacho")</f>
        <v>https://twitter.com/ordencamacho</v>
      </c>
      <c r="BA7" s="79" t="s">
        <v>66</v>
      </c>
      <c r="BB7" s="79" t="str">
        <f>REPLACE(INDEX(GroupVertices[Group],MATCH(Vertices[[#This Row],[Vertex]],GroupVertices[Vertex],0)),1,1,"")</f>
        <v>2</v>
      </c>
      <c r="BC7" s="47" t="s">
        <v>549</v>
      </c>
      <c r="BD7" s="47" t="s">
        <v>549</v>
      </c>
      <c r="BE7" s="47" t="s">
        <v>303</v>
      </c>
      <c r="BF7" s="47" t="s">
        <v>303</v>
      </c>
      <c r="BG7" s="47" t="s">
        <v>309</v>
      </c>
      <c r="BH7" s="47" t="s">
        <v>671</v>
      </c>
      <c r="BI7" s="119" t="s">
        <v>677</v>
      </c>
      <c r="BJ7" s="119" t="s">
        <v>677</v>
      </c>
      <c r="BK7" s="119" t="s">
        <v>689</v>
      </c>
      <c r="BL7" s="119" t="s">
        <v>689</v>
      </c>
      <c r="BM7" s="119">
        <v>0</v>
      </c>
      <c r="BN7" s="122">
        <v>0</v>
      </c>
      <c r="BO7" s="119">
        <v>0</v>
      </c>
      <c r="BP7" s="122">
        <v>0</v>
      </c>
      <c r="BQ7" s="119">
        <v>0</v>
      </c>
      <c r="BR7" s="122">
        <v>0</v>
      </c>
      <c r="BS7" s="119">
        <v>10</v>
      </c>
      <c r="BT7" s="122">
        <v>52.63157894736842</v>
      </c>
      <c r="BU7" s="119">
        <v>19</v>
      </c>
      <c r="BV7" s="2"/>
    </row>
    <row r="8" spans="1:74" ht="41.45" customHeight="1">
      <c r="A8" s="11" t="s">
        <v>250</v>
      </c>
      <c r="C8" s="12"/>
      <c r="D8" s="12" t="s">
        <v>64</v>
      </c>
      <c r="E8" s="89">
        <v>162.05707370555106</v>
      </c>
      <c r="F8" s="75"/>
      <c r="G8" s="108" t="str">
        <f>HYPERLINK("https://pbs.twimg.com/profile_images/1058449535112867841/JP-rVYlW_normal.jpg")</f>
        <v>https://pbs.twimg.com/profile_images/1058449535112867841/JP-rVYlW_normal.jpg</v>
      </c>
      <c r="H8" s="12"/>
      <c r="I8" s="13" t="s">
        <v>250</v>
      </c>
      <c r="J8" s="63"/>
      <c r="K8" s="63"/>
      <c r="L8" s="110" t="s">
        <v>521</v>
      </c>
      <c r="M8" s="90">
        <v>1.1356282756484537</v>
      </c>
      <c r="N8" s="91">
        <v>284.45428466796875</v>
      </c>
      <c r="O8" s="91">
        <v>3759.193359375</v>
      </c>
      <c r="P8" s="74"/>
      <c r="Q8" s="92"/>
      <c r="R8" s="92"/>
      <c r="S8" s="93"/>
      <c r="T8" s="47">
        <v>0</v>
      </c>
      <c r="U8" s="47">
        <v>1</v>
      </c>
      <c r="V8" s="48">
        <v>0</v>
      </c>
      <c r="W8" s="48">
        <v>0.512821</v>
      </c>
      <c r="X8" s="48">
        <v>0.138688</v>
      </c>
      <c r="Y8" s="48">
        <v>0.04158</v>
      </c>
      <c r="Z8" s="48">
        <v>0</v>
      </c>
      <c r="AA8" s="48">
        <v>0</v>
      </c>
      <c r="AB8" s="76">
        <v>8</v>
      </c>
      <c r="AC8" s="76"/>
      <c r="AD8" s="94"/>
      <c r="AE8" s="79" t="s">
        <v>446</v>
      </c>
      <c r="AF8" s="85" t="s">
        <v>467</v>
      </c>
      <c r="AG8" s="79">
        <v>2286</v>
      </c>
      <c r="AH8" s="79">
        <v>1586</v>
      </c>
      <c r="AI8" s="79">
        <v>3874</v>
      </c>
      <c r="AJ8" s="79">
        <v>49430</v>
      </c>
      <c r="AK8" s="79"/>
      <c r="AL8" s="79" t="s">
        <v>486</v>
      </c>
      <c r="AM8" s="79" t="s">
        <v>503</v>
      </c>
      <c r="AN8" s="83" t="str">
        <f>HYPERLINK("https://t.co/LhecLereaz")</f>
        <v>https://t.co/LhecLereaz</v>
      </c>
      <c r="AO8" s="79"/>
      <c r="AP8" s="81">
        <v>40167.42626157407</v>
      </c>
      <c r="AQ8" s="83" t="str">
        <f>HYPERLINK("https://pbs.twimg.com/profile_banners/98097823/1538797822")</f>
        <v>https://pbs.twimg.com/profile_banners/98097823/1538797822</v>
      </c>
      <c r="AR8" s="79" t="b">
        <v>1</v>
      </c>
      <c r="AS8" s="79" t="b">
        <v>0</v>
      </c>
      <c r="AT8" s="79" t="b">
        <v>0</v>
      </c>
      <c r="AU8" s="79"/>
      <c r="AV8" s="79">
        <v>139</v>
      </c>
      <c r="AW8" s="83" t="str">
        <f>HYPERLINK("https://abs.twimg.com/images/themes/theme1/bg.png")</f>
        <v>https://abs.twimg.com/images/themes/theme1/bg.png</v>
      </c>
      <c r="AX8" s="79" t="b">
        <v>0</v>
      </c>
      <c r="AY8" s="79" t="s">
        <v>516</v>
      </c>
      <c r="AZ8" s="83" t="str">
        <f>HYPERLINK("https://twitter.com/connectedaction")</f>
        <v>https://twitter.com/connectedaction</v>
      </c>
      <c r="BA8" s="79" t="s">
        <v>66</v>
      </c>
      <c r="BB8" s="79" t="str">
        <f>REPLACE(INDEX(GroupVertices[Group],MATCH(Vertices[[#This Row],[Vertex]],GroupVertices[Vertex],0)),1,1,"")</f>
        <v>1</v>
      </c>
      <c r="BC8" s="47" t="s">
        <v>551</v>
      </c>
      <c r="BD8" s="47" t="s">
        <v>551</v>
      </c>
      <c r="BE8" s="47" t="s">
        <v>304</v>
      </c>
      <c r="BF8" s="47" t="s">
        <v>304</v>
      </c>
      <c r="BG8" s="47" t="s">
        <v>310</v>
      </c>
      <c r="BH8" s="47" t="s">
        <v>672</v>
      </c>
      <c r="BI8" s="119" t="s">
        <v>679</v>
      </c>
      <c r="BJ8" s="119" t="s">
        <v>679</v>
      </c>
      <c r="BK8" s="119" t="s">
        <v>691</v>
      </c>
      <c r="BL8" s="119" t="s">
        <v>691</v>
      </c>
      <c r="BM8" s="119">
        <v>0</v>
      </c>
      <c r="BN8" s="122">
        <v>0</v>
      </c>
      <c r="BO8" s="119">
        <v>0</v>
      </c>
      <c r="BP8" s="122">
        <v>0</v>
      </c>
      <c r="BQ8" s="119">
        <v>0</v>
      </c>
      <c r="BR8" s="122">
        <v>0</v>
      </c>
      <c r="BS8" s="119">
        <v>25</v>
      </c>
      <c r="BT8" s="122">
        <v>71.42857142857143</v>
      </c>
      <c r="BU8" s="119">
        <v>35</v>
      </c>
      <c r="BV8" s="2"/>
    </row>
    <row r="9" spans="1:74" ht="41.45" customHeight="1">
      <c r="A9" s="11" t="s">
        <v>251</v>
      </c>
      <c r="C9" s="12"/>
      <c r="D9" s="12" t="s">
        <v>64</v>
      </c>
      <c r="E9" s="89">
        <v>165.52140746546488</v>
      </c>
      <c r="F9" s="75"/>
      <c r="G9" s="108" t="str">
        <f>HYPERLINK("https://pbs.twimg.com/profile_images/1060178682403266561/Kuf9_hvx_normal.jpg")</f>
        <v>https://pbs.twimg.com/profile_images/1060178682403266561/Kuf9_hvx_normal.jpg</v>
      </c>
      <c r="H9" s="12"/>
      <c r="I9" s="13" t="s">
        <v>251</v>
      </c>
      <c r="J9" s="63"/>
      <c r="K9" s="63"/>
      <c r="L9" s="110" t="s">
        <v>522</v>
      </c>
      <c r="M9" s="90">
        <v>9.368169155748099</v>
      </c>
      <c r="N9" s="91">
        <v>8363.2373046875</v>
      </c>
      <c r="O9" s="91">
        <v>6158.0107421875</v>
      </c>
      <c r="P9" s="74"/>
      <c r="Q9" s="92"/>
      <c r="R9" s="92"/>
      <c r="S9" s="93"/>
      <c r="T9" s="47">
        <v>0</v>
      </c>
      <c r="U9" s="47">
        <v>1</v>
      </c>
      <c r="V9" s="48">
        <v>0</v>
      </c>
      <c r="W9" s="48">
        <v>0.512821</v>
      </c>
      <c r="X9" s="48">
        <v>0.138688</v>
      </c>
      <c r="Y9" s="48">
        <v>0.04158</v>
      </c>
      <c r="Z9" s="48">
        <v>0</v>
      </c>
      <c r="AA9" s="48">
        <v>0</v>
      </c>
      <c r="AB9" s="76">
        <v>9</v>
      </c>
      <c r="AC9" s="76"/>
      <c r="AD9" s="94"/>
      <c r="AE9" s="79" t="s">
        <v>447</v>
      </c>
      <c r="AF9" s="85" t="s">
        <v>468</v>
      </c>
      <c r="AG9" s="79">
        <v>95918</v>
      </c>
      <c r="AH9" s="79">
        <v>96459</v>
      </c>
      <c r="AI9" s="79">
        <v>2128577</v>
      </c>
      <c r="AJ9" s="79">
        <v>1402559</v>
      </c>
      <c r="AK9" s="79"/>
      <c r="AL9" s="79" t="s">
        <v>487</v>
      </c>
      <c r="AM9" s="79"/>
      <c r="AN9" s="79"/>
      <c r="AO9" s="79"/>
      <c r="AP9" s="81">
        <v>41374.39542824074</v>
      </c>
      <c r="AQ9" s="83" t="str">
        <f>HYPERLINK("https://pbs.twimg.com/profile_banners/1341462944/1638569733")</f>
        <v>https://pbs.twimg.com/profile_banners/1341462944/1638569733</v>
      </c>
      <c r="AR9" s="79" t="b">
        <v>1</v>
      </c>
      <c r="AS9" s="79" t="b">
        <v>0</v>
      </c>
      <c r="AT9" s="79" t="b">
        <v>1</v>
      </c>
      <c r="AU9" s="79"/>
      <c r="AV9" s="79">
        <v>6670</v>
      </c>
      <c r="AW9" s="83" t="str">
        <f>HYPERLINK("https://abs.twimg.com/images/themes/theme1/bg.png")</f>
        <v>https://abs.twimg.com/images/themes/theme1/bg.png</v>
      </c>
      <c r="AX9" s="79" t="b">
        <v>0</v>
      </c>
      <c r="AY9" s="79" t="s">
        <v>516</v>
      </c>
      <c r="AZ9" s="83" t="str">
        <f>HYPERLINK("https://twitter.com/paoloigna1")</f>
        <v>https://twitter.com/paoloigna1</v>
      </c>
      <c r="BA9" s="79" t="s">
        <v>66</v>
      </c>
      <c r="BB9" s="79" t="str">
        <f>REPLACE(INDEX(GroupVertices[Group],MATCH(Vertices[[#This Row],[Vertex]],GroupVertices[Vertex],0)),1,1,"")</f>
        <v>1</v>
      </c>
      <c r="BC9" s="47" t="s">
        <v>656</v>
      </c>
      <c r="BD9" s="47" t="s">
        <v>656</v>
      </c>
      <c r="BE9" s="47" t="s">
        <v>661</v>
      </c>
      <c r="BF9" s="47" t="s">
        <v>664</v>
      </c>
      <c r="BG9" s="47" t="s">
        <v>667</v>
      </c>
      <c r="BH9" s="47" t="s">
        <v>673</v>
      </c>
      <c r="BI9" s="119" t="s">
        <v>680</v>
      </c>
      <c r="BJ9" s="119" t="s">
        <v>685</v>
      </c>
      <c r="BK9" s="119" t="s">
        <v>692</v>
      </c>
      <c r="BL9" s="119" t="s">
        <v>692</v>
      </c>
      <c r="BM9" s="119">
        <v>0</v>
      </c>
      <c r="BN9" s="122">
        <v>0</v>
      </c>
      <c r="BO9" s="119">
        <v>0</v>
      </c>
      <c r="BP9" s="122">
        <v>0</v>
      </c>
      <c r="BQ9" s="119">
        <v>0</v>
      </c>
      <c r="BR9" s="122">
        <v>0</v>
      </c>
      <c r="BS9" s="119">
        <v>41</v>
      </c>
      <c r="BT9" s="122">
        <v>65.07936507936508</v>
      </c>
      <c r="BU9" s="119">
        <v>63</v>
      </c>
      <c r="BV9" s="2"/>
    </row>
    <row r="10" spans="1:74" ht="41.45" customHeight="1">
      <c r="A10" s="11" t="s">
        <v>252</v>
      </c>
      <c r="C10" s="12"/>
      <c r="D10" s="12" t="s">
        <v>64</v>
      </c>
      <c r="E10" s="89">
        <v>163.15042040523736</v>
      </c>
      <c r="F10" s="75"/>
      <c r="G10" s="108" t="str">
        <f>HYPERLINK("https://pbs.twimg.com/profile_images/1575211829978071041/Dv1L40sv_normal.jpg")</f>
        <v>https://pbs.twimg.com/profile_images/1575211829978071041/Dv1L40sv_normal.jpg</v>
      </c>
      <c r="H10" s="12"/>
      <c r="I10" s="13" t="s">
        <v>252</v>
      </c>
      <c r="J10" s="63"/>
      <c r="K10" s="63"/>
      <c r="L10" s="110" t="s">
        <v>523</v>
      </c>
      <c r="M10" s="90">
        <v>3.7338252234833864</v>
      </c>
      <c r="N10" s="91">
        <v>7292.20068359375</v>
      </c>
      <c r="O10" s="91">
        <v>8093.18310546875</v>
      </c>
      <c r="P10" s="74"/>
      <c r="Q10" s="92"/>
      <c r="R10" s="92"/>
      <c r="S10" s="93"/>
      <c r="T10" s="47">
        <v>0</v>
      </c>
      <c r="U10" s="47">
        <v>1</v>
      </c>
      <c r="V10" s="48">
        <v>0</v>
      </c>
      <c r="W10" s="48">
        <v>0.512821</v>
      </c>
      <c r="X10" s="48">
        <v>0.138688</v>
      </c>
      <c r="Y10" s="48">
        <v>0.04158</v>
      </c>
      <c r="Z10" s="48">
        <v>0</v>
      </c>
      <c r="AA10" s="48">
        <v>0</v>
      </c>
      <c r="AB10" s="76">
        <v>10</v>
      </c>
      <c r="AC10" s="76"/>
      <c r="AD10" s="94"/>
      <c r="AE10" s="79" t="s">
        <v>448</v>
      </c>
      <c r="AF10" s="85" t="s">
        <v>469</v>
      </c>
      <c r="AG10" s="79">
        <v>29564</v>
      </c>
      <c r="AH10" s="79">
        <v>31528</v>
      </c>
      <c r="AI10" s="79">
        <v>170857</v>
      </c>
      <c r="AJ10" s="79">
        <v>329578</v>
      </c>
      <c r="AK10" s="79"/>
      <c r="AL10" s="79" t="s">
        <v>488</v>
      </c>
      <c r="AM10" s="79" t="s">
        <v>504</v>
      </c>
      <c r="AN10" s="83" t="str">
        <f>HYPERLINK("https://t.co/2aYdmav4mi")</f>
        <v>https://t.co/2aYdmav4mi</v>
      </c>
      <c r="AO10" s="79"/>
      <c r="AP10" s="81">
        <v>41395.72697916667</v>
      </c>
      <c r="AQ10" s="83" t="str">
        <f>HYPERLINK("https://pbs.twimg.com/profile_banners/1395144847/1667337856")</f>
        <v>https://pbs.twimg.com/profile_banners/1395144847/1667337856</v>
      </c>
      <c r="AR10" s="79" t="b">
        <v>0</v>
      </c>
      <c r="AS10" s="79" t="b">
        <v>0</v>
      </c>
      <c r="AT10" s="79" t="b">
        <v>1</v>
      </c>
      <c r="AU10" s="79"/>
      <c r="AV10" s="79">
        <v>390</v>
      </c>
      <c r="AW10" s="83" t="str">
        <f>HYPERLINK("https://abs.twimg.com/images/themes/theme6/bg.gif")</f>
        <v>https://abs.twimg.com/images/themes/theme6/bg.gif</v>
      </c>
      <c r="AX10" s="79" t="b">
        <v>0</v>
      </c>
      <c r="AY10" s="79" t="s">
        <v>516</v>
      </c>
      <c r="AZ10" s="83" t="str">
        <f>HYPERLINK("https://twitter.com/iosu_blanco")</f>
        <v>https://twitter.com/iosu_blanco</v>
      </c>
      <c r="BA10" s="79" t="s">
        <v>66</v>
      </c>
      <c r="BB10" s="79" t="str">
        <f>REPLACE(INDEX(GroupVertices[Group],MATCH(Vertices[[#This Row],[Vertex]],GroupVertices[Vertex],0)),1,1,"")</f>
        <v>1</v>
      </c>
      <c r="BC10" s="47" t="s">
        <v>550</v>
      </c>
      <c r="BD10" s="47" t="s">
        <v>550</v>
      </c>
      <c r="BE10" s="47" t="s">
        <v>306</v>
      </c>
      <c r="BF10" s="47" t="s">
        <v>306</v>
      </c>
      <c r="BG10" s="47" t="s">
        <v>312</v>
      </c>
      <c r="BH10" s="47" t="s">
        <v>312</v>
      </c>
      <c r="BI10" s="119" t="s">
        <v>681</v>
      </c>
      <c r="BJ10" s="119" t="s">
        <v>681</v>
      </c>
      <c r="BK10" s="119" t="s">
        <v>693</v>
      </c>
      <c r="BL10" s="119" t="s">
        <v>693</v>
      </c>
      <c r="BM10" s="119">
        <v>0</v>
      </c>
      <c r="BN10" s="122">
        <v>0</v>
      </c>
      <c r="BO10" s="119">
        <v>0</v>
      </c>
      <c r="BP10" s="122">
        <v>0</v>
      </c>
      <c r="BQ10" s="119">
        <v>0</v>
      </c>
      <c r="BR10" s="122">
        <v>0</v>
      </c>
      <c r="BS10" s="119">
        <v>23</v>
      </c>
      <c r="BT10" s="122">
        <v>62.16216216216216</v>
      </c>
      <c r="BU10" s="119">
        <v>37</v>
      </c>
      <c r="BV10" s="2"/>
    </row>
    <row r="11" spans="1:74" ht="41.45" customHeight="1">
      <c r="A11" s="11" t="s">
        <v>253</v>
      </c>
      <c r="C11" s="12"/>
      <c r="D11" s="12" t="s">
        <v>64</v>
      </c>
      <c r="E11" s="89">
        <v>162.0505739489368</v>
      </c>
      <c r="F11" s="75"/>
      <c r="G11" s="108" t="str">
        <f>HYPERLINK("https://pbs.twimg.com/profile_images/864997760621174784/AUqwmm07_normal.jpg")</f>
        <v>https://pbs.twimg.com/profile_images/864997760621174784/AUqwmm07_normal.jpg</v>
      </c>
      <c r="H11" s="12"/>
      <c r="I11" s="13" t="s">
        <v>253</v>
      </c>
      <c r="J11" s="63"/>
      <c r="K11" s="63"/>
      <c r="L11" s="110" t="s">
        <v>524</v>
      </c>
      <c r="M11" s="90">
        <v>1.1201824451523406</v>
      </c>
      <c r="N11" s="91">
        <v>3794.52490234375</v>
      </c>
      <c r="O11" s="91">
        <v>2810.735595703125</v>
      </c>
      <c r="P11" s="74"/>
      <c r="Q11" s="92"/>
      <c r="R11" s="92"/>
      <c r="S11" s="93"/>
      <c r="T11" s="47">
        <v>0</v>
      </c>
      <c r="U11" s="47">
        <v>1</v>
      </c>
      <c r="V11" s="48">
        <v>0</v>
      </c>
      <c r="W11" s="48">
        <v>0.512821</v>
      </c>
      <c r="X11" s="48">
        <v>0.138688</v>
      </c>
      <c r="Y11" s="48">
        <v>0.04158</v>
      </c>
      <c r="Z11" s="48">
        <v>0</v>
      </c>
      <c r="AA11" s="48">
        <v>0</v>
      </c>
      <c r="AB11" s="76">
        <v>11</v>
      </c>
      <c r="AC11" s="76"/>
      <c r="AD11" s="94"/>
      <c r="AE11" s="79" t="s">
        <v>449</v>
      </c>
      <c r="AF11" s="85" t="s">
        <v>470</v>
      </c>
      <c r="AG11" s="79">
        <v>3852</v>
      </c>
      <c r="AH11" s="79">
        <v>1408</v>
      </c>
      <c r="AI11" s="79">
        <v>1860</v>
      </c>
      <c r="AJ11" s="79">
        <v>45922</v>
      </c>
      <c r="AK11" s="79"/>
      <c r="AL11" s="79" t="s">
        <v>489</v>
      </c>
      <c r="AM11" s="79" t="s">
        <v>505</v>
      </c>
      <c r="AN11" s="83" t="str">
        <f>HYPERLINK("https://t.co/xNaNFEMqth")</f>
        <v>https://t.co/xNaNFEMqth</v>
      </c>
      <c r="AO11" s="79"/>
      <c r="AP11" s="81">
        <v>42873.005266203705</v>
      </c>
      <c r="AQ11" s="83" t="str">
        <f>HYPERLINK("https://pbs.twimg.com/profile_banners/864995845673897984/1495066628")</f>
        <v>https://pbs.twimg.com/profile_banners/864995845673897984/1495066628</v>
      </c>
      <c r="AR11" s="79" t="b">
        <v>1</v>
      </c>
      <c r="AS11" s="79" t="b">
        <v>0</v>
      </c>
      <c r="AT11" s="79" t="b">
        <v>0</v>
      </c>
      <c r="AU11" s="79"/>
      <c r="AV11" s="79">
        <v>40</v>
      </c>
      <c r="AW11" s="79"/>
      <c r="AX11" s="79" t="b">
        <v>0</v>
      </c>
      <c r="AY11" s="79" t="s">
        <v>516</v>
      </c>
      <c r="AZ11" s="83" t="str">
        <f>HYPERLINK("https://twitter.com/nodexl_mktng")</f>
        <v>https://twitter.com/nodexl_mktng</v>
      </c>
      <c r="BA11" s="79" t="s">
        <v>66</v>
      </c>
      <c r="BB11" s="79" t="str">
        <f>REPLACE(INDEX(GroupVertices[Group],MATCH(Vertices[[#This Row],[Vertex]],GroupVertices[Vertex],0)),1,1,"")</f>
        <v>1</v>
      </c>
      <c r="BC11" s="47" t="s">
        <v>551</v>
      </c>
      <c r="BD11" s="47" t="s">
        <v>551</v>
      </c>
      <c r="BE11" s="47" t="s">
        <v>304</v>
      </c>
      <c r="BF11" s="47" t="s">
        <v>304</v>
      </c>
      <c r="BG11" s="47" t="s">
        <v>310</v>
      </c>
      <c r="BH11" s="47" t="s">
        <v>672</v>
      </c>
      <c r="BI11" s="119" t="s">
        <v>679</v>
      </c>
      <c r="BJ11" s="119" t="s">
        <v>679</v>
      </c>
      <c r="BK11" s="119" t="s">
        <v>691</v>
      </c>
      <c r="BL11" s="119" t="s">
        <v>691</v>
      </c>
      <c r="BM11" s="119">
        <v>0</v>
      </c>
      <c r="BN11" s="122">
        <v>0</v>
      </c>
      <c r="BO11" s="119">
        <v>0</v>
      </c>
      <c r="BP11" s="122">
        <v>0</v>
      </c>
      <c r="BQ11" s="119">
        <v>0</v>
      </c>
      <c r="BR11" s="122">
        <v>0</v>
      </c>
      <c r="BS11" s="119">
        <v>25</v>
      </c>
      <c r="BT11" s="122">
        <v>71.42857142857143</v>
      </c>
      <c r="BU11" s="119">
        <v>35</v>
      </c>
      <c r="BV11" s="2"/>
    </row>
    <row r="12" spans="1:74" ht="41.45" customHeight="1">
      <c r="A12" s="11" t="s">
        <v>254</v>
      </c>
      <c r="C12" s="12"/>
      <c r="D12" s="12" t="s">
        <v>64</v>
      </c>
      <c r="E12" s="89">
        <v>162.15186790875677</v>
      </c>
      <c r="F12" s="75"/>
      <c r="G12" s="108" t="str">
        <f>HYPERLINK("https://pbs.twimg.com/profile_images/1573610605356978176/aPKVs--g_normal.jpg")</f>
        <v>https://pbs.twimg.com/profile_images/1573610605356978176/aPKVs--g_normal.jpg</v>
      </c>
      <c r="H12" s="12"/>
      <c r="I12" s="13" t="s">
        <v>254</v>
      </c>
      <c r="J12" s="63"/>
      <c r="K12" s="63"/>
      <c r="L12" s="110" t="s">
        <v>525</v>
      </c>
      <c r="M12" s="90">
        <v>1.360894432771541</v>
      </c>
      <c r="N12" s="91">
        <v>8212.443359375</v>
      </c>
      <c r="O12" s="91">
        <v>4129.78857421875</v>
      </c>
      <c r="P12" s="74"/>
      <c r="Q12" s="92"/>
      <c r="R12" s="92"/>
      <c r="S12" s="93"/>
      <c r="T12" s="47">
        <v>0</v>
      </c>
      <c r="U12" s="47">
        <v>1</v>
      </c>
      <c r="V12" s="48">
        <v>0</v>
      </c>
      <c r="W12" s="48">
        <v>0.512821</v>
      </c>
      <c r="X12" s="48">
        <v>0.138688</v>
      </c>
      <c r="Y12" s="48">
        <v>0.04158</v>
      </c>
      <c r="Z12" s="48">
        <v>0</v>
      </c>
      <c r="AA12" s="48">
        <v>0</v>
      </c>
      <c r="AB12" s="76">
        <v>12</v>
      </c>
      <c r="AC12" s="76"/>
      <c r="AD12" s="94"/>
      <c r="AE12" s="79" t="s">
        <v>450</v>
      </c>
      <c r="AF12" s="85" t="s">
        <v>471</v>
      </c>
      <c r="AG12" s="79">
        <v>3317</v>
      </c>
      <c r="AH12" s="79">
        <v>4182</v>
      </c>
      <c r="AI12" s="79">
        <v>22975</v>
      </c>
      <c r="AJ12" s="79">
        <v>44557</v>
      </c>
      <c r="AK12" s="79"/>
      <c r="AL12" s="79" t="s">
        <v>490</v>
      </c>
      <c r="AM12" s="79" t="s">
        <v>506</v>
      </c>
      <c r="AN12" s="83" t="str">
        <f>HYPERLINK("https://t.co/Pa9Oh8ePxu")</f>
        <v>https://t.co/Pa9Oh8ePxu</v>
      </c>
      <c r="AO12" s="79"/>
      <c r="AP12" s="81">
        <v>41433.39509259259</v>
      </c>
      <c r="AQ12" s="83" t="str">
        <f>HYPERLINK("https://pbs.twimg.com/profile_banners/1492463263/1601413078")</f>
        <v>https://pbs.twimg.com/profile_banners/1492463263/1601413078</v>
      </c>
      <c r="AR12" s="79" t="b">
        <v>1</v>
      </c>
      <c r="AS12" s="79" t="b">
        <v>0</v>
      </c>
      <c r="AT12" s="79" t="b">
        <v>1</v>
      </c>
      <c r="AU12" s="79"/>
      <c r="AV12" s="79">
        <v>338</v>
      </c>
      <c r="AW12" s="83" t="str">
        <f>HYPERLINK("https://abs.twimg.com/images/themes/theme1/bg.png")</f>
        <v>https://abs.twimg.com/images/themes/theme1/bg.png</v>
      </c>
      <c r="AX12" s="79" t="b">
        <v>0</v>
      </c>
      <c r="AY12" s="79" t="s">
        <v>516</v>
      </c>
      <c r="AZ12" s="83" t="str">
        <f>HYPERLINK("https://twitter.com/emiliobarredam")</f>
        <v>https://twitter.com/emiliobarredam</v>
      </c>
      <c r="BA12" s="79" t="s">
        <v>66</v>
      </c>
      <c r="BB12" s="79" t="str">
        <f>REPLACE(INDEX(GroupVertices[Group],MATCH(Vertices[[#This Row],[Vertex]],GroupVertices[Vertex],0)),1,1,"")</f>
        <v>1</v>
      </c>
      <c r="BC12" s="47" t="s">
        <v>550</v>
      </c>
      <c r="BD12" s="47" t="s">
        <v>550</v>
      </c>
      <c r="BE12" s="47" t="s">
        <v>306</v>
      </c>
      <c r="BF12" s="47" t="s">
        <v>306</v>
      </c>
      <c r="BG12" s="47" t="s">
        <v>312</v>
      </c>
      <c r="BH12" s="47" t="s">
        <v>312</v>
      </c>
      <c r="BI12" s="119" t="s">
        <v>681</v>
      </c>
      <c r="BJ12" s="119" t="s">
        <v>681</v>
      </c>
      <c r="BK12" s="119" t="s">
        <v>693</v>
      </c>
      <c r="BL12" s="119" t="s">
        <v>693</v>
      </c>
      <c r="BM12" s="119">
        <v>0</v>
      </c>
      <c r="BN12" s="122">
        <v>0</v>
      </c>
      <c r="BO12" s="119">
        <v>0</v>
      </c>
      <c r="BP12" s="122">
        <v>0</v>
      </c>
      <c r="BQ12" s="119">
        <v>0</v>
      </c>
      <c r="BR12" s="122">
        <v>0</v>
      </c>
      <c r="BS12" s="119">
        <v>23</v>
      </c>
      <c r="BT12" s="122">
        <v>62.16216216216216</v>
      </c>
      <c r="BU12" s="119">
        <v>37</v>
      </c>
      <c r="BV12" s="2"/>
    </row>
    <row r="13" spans="1:74" ht="41.45" customHeight="1">
      <c r="A13" s="11" t="s">
        <v>259</v>
      </c>
      <c r="C13" s="12"/>
      <c r="D13" s="12" t="s">
        <v>64</v>
      </c>
      <c r="E13" s="89">
        <v>167.0006863429945</v>
      </c>
      <c r="F13" s="75"/>
      <c r="G13" s="108" t="str">
        <f>HYPERLINK("https://pbs.twimg.com/profile_images/1518675528072318976/DoryveDH_normal.jpg")</f>
        <v>https://pbs.twimg.com/profile_images/1518675528072318976/DoryveDH_normal.jpg</v>
      </c>
      <c r="H13" s="12"/>
      <c r="I13" s="13" t="s">
        <v>259</v>
      </c>
      <c r="J13" s="63"/>
      <c r="K13" s="63"/>
      <c r="L13" s="110" t="s">
        <v>526</v>
      </c>
      <c r="M13" s="90">
        <v>12.883483982871903</v>
      </c>
      <c r="N13" s="91">
        <v>1230.5888671875</v>
      </c>
      <c r="O13" s="91">
        <v>2280.055419921875</v>
      </c>
      <c r="P13" s="74"/>
      <c r="Q13" s="92"/>
      <c r="R13" s="92"/>
      <c r="S13" s="93"/>
      <c r="T13" s="47">
        <v>1</v>
      </c>
      <c r="U13" s="47">
        <v>0</v>
      </c>
      <c r="V13" s="48">
        <v>0</v>
      </c>
      <c r="W13" s="48">
        <v>0.512821</v>
      </c>
      <c r="X13" s="48">
        <v>0.138688</v>
      </c>
      <c r="Y13" s="48">
        <v>0.04158</v>
      </c>
      <c r="Z13" s="48">
        <v>0</v>
      </c>
      <c r="AA13" s="48">
        <v>0</v>
      </c>
      <c r="AB13" s="76">
        <v>13</v>
      </c>
      <c r="AC13" s="76"/>
      <c r="AD13" s="94"/>
      <c r="AE13" s="79" t="s">
        <v>451</v>
      </c>
      <c r="AF13" s="85" t="s">
        <v>472</v>
      </c>
      <c r="AG13" s="79">
        <v>5595</v>
      </c>
      <c r="AH13" s="79">
        <v>136970</v>
      </c>
      <c r="AI13" s="79">
        <v>84167</v>
      </c>
      <c r="AJ13" s="79">
        <v>157056</v>
      </c>
      <c r="AK13" s="79"/>
      <c r="AL13" s="79" t="s">
        <v>491</v>
      </c>
      <c r="AM13" s="79" t="s">
        <v>507</v>
      </c>
      <c r="AN13" s="83" t="str">
        <f>HYPERLINK("https://t.co/dPkeF2DNJB")</f>
        <v>https://t.co/dPkeF2DNJB</v>
      </c>
      <c r="AO13" s="79"/>
      <c r="AP13" s="81">
        <v>40169.2999537037</v>
      </c>
      <c r="AQ13" s="83" t="str">
        <f>HYPERLINK("https://pbs.twimg.com/profile_banners/98575337/1667977081")</f>
        <v>https://pbs.twimg.com/profile_banners/98575337/1667977081</v>
      </c>
      <c r="AR13" s="79" t="b">
        <v>0</v>
      </c>
      <c r="AS13" s="79" t="b">
        <v>0</v>
      </c>
      <c r="AT13" s="79" t="b">
        <v>1</v>
      </c>
      <c r="AU13" s="79"/>
      <c r="AV13" s="79">
        <v>1</v>
      </c>
      <c r="AW13" s="83" t="str">
        <f>HYPERLINK("https://abs.twimg.com/images/themes/theme1/bg.png")</f>
        <v>https://abs.twimg.com/images/themes/theme1/bg.png</v>
      </c>
      <c r="AX13" s="79" t="b">
        <v>0</v>
      </c>
      <c r="AY13" s="79" t="s">
        <v>516</v>
      </c>
      <c r="AZ13" s="83" t="str">
        <f>HYPERLINK("https://twitter.com/chadloder")</f>
        <v>https://twitter.com/chadloder</v>
      </c>
      <c r="BA13" s="79" t="s">
        <v>65</v>
      </c>
      <c r="BB13" s="79" t="str">
        <f>REPLACE(INDEX(GroupVertices[Group],MATCH(Vertices[[#This Row],[Vertex]],GroupVertices[Vertex],0)),1,1,"")</f>
        <v>1</v>
      </c>
      <c r="BC13" s="47"/>
      <c r="BD13" s="47"/>
      <c r="BE13" s="47"/>
      <c r="BF13" s="47"/>
      <c r="BG13" s="47"/>
      <c r="BH13" s="47"/>
      <c r="BI13" s="47"/>
      <c r="BJ13" s="47"/>
      <c r="BK13" s="47"/>
      <c r="BL13" s="47"/>
      <c r="BM13" s="47"/>
      <c r="BN13" s="48"/>
      <c r="BO13" s="47"/>
      <c r="BP13" s="48"/>
      <c r="BQ13" s="47"/>
      <c r="BR13" s="48"/>
      <c r="BS13" s="47"/>
      <c r="BT13" s="48"/>
      <c r="BU13" s="47"/>
      <c r="BV13" s="2"/>
    </row>
    <row r="14" spans="1:74" ht="41.45" customHeight="1">
      <c r="A14" s="11" t="s">
        <v>260</v>
      </c>
      <c r="C14" s="12"/>
      <c r="D14" s="12" t="s">
        <v>64</v>
      </c>
      <c r="E14" s="89">
        <v>162.04140856180095</v>
      </c>
      <c r="F14" s="75"/>
      <c r="G14" s="108" t="str">
        <f>HYPERLINK("https://pbs.twimg.com/profile_images/1485116242902061056/HnR7nkuy_normal.jpg")</f>
        <v>https://pbs.twimg.com/profile_images/1485116242902061056/HnR7nkuy_normal.jpg</v>
      </c>
      <c r="H14" s="12"/>
      <c r="I14" s="13" t="s">
        <v>260</v>
      </c>
      <c r="J14" s="63"/>
      <c r="K14" s="63"/>
      <c r="L14" s="110" t="s">
        <v>527</v>
      </c>
      <c r="M14" s="90">
        <v>1.0984020886662484</v>
      </c>
      <c r="N14" s="91">
        <v>3019.071044921875</v>
      </c>
      <c r="O14" s="91">
        <v>7046.3759765625</v>
      </c>
      <c r="P14" s="74"/>
      <c r="Q14" s="92"/>
      <c r="R14" s="92"/>
      <c r="S14" s="93"/>
      <c r="T14" s="47">
        <v>1</v>
      </c>
      <c r="U14" s="47">
        <v>0</v>
      </c>
      <c r="V14" s="48">
        <v>0</v>
      </c>
      <c r="W14" s="48">
        <v>0.512821</v>
      </c>
      <c r="X14" s="48">
        <v>0.138688</v>
      </c>
      <c r="Y14" s="48">
        <v>0.04158</v>
      </c>
      <c r="Z14" s="48">
        <v>0</v>
      </c>
      <c r="AA14" s="48">
        <v>0</v>
      </c>
      <c r="AB14" s="76">
        <v>14</v>
      </c>
      <c r="AC14" s="76"/>
      <c r="AD14" s="94"/>
      <c r="AE14" s="79" t="s">
        <v>452</v>
      </c>
      <c r="AF14" s="85" t="s">
        <v>473</v>
      </c>
      <c r="AG14" s="79">
        <v>1980</v>
      </c>
      <c r="AH14" s="79">
        <v>1157</v>
      </c>
      <c r="AI14" s="79">
        <v>10600</v>
      </c>
      <c r="AJ14" s="79">
        <v>27628</v>
      </c>
      <c r="AK14" s="79"/>
      <c r="AL14" s="79" t="s">
        <v>492</v>
      </c>
      <c r="AM14" s="79" t="s">
        <v>508</v>
      </c>
      <c r="AN14" s="79"/>
      <c r="AO14" s="79"/>
      <c r="AP14" s="81">
        <v>43261.15733796296</v>
      </c>
      <c r="AQ14" s="83" t="str">
        <f>HYPERLINK("https://pbs.twimg.com/profile_banners/1005657448831692800/1648344955")</f>
        <v>https://pbs.twimg.com/profile_banners/1005657448831692800/1648344955</v>
      </c>
      <c r="AR14" s="79" t="b">
        <v>1</v>
      </c>
      <c r="AS14" s="79" t="b">
        <v>0</v>
      </c>
      <c r="AT14" s="79" t="b">
        <v>0</v>
      </c>
      <c r="AU14" s="79"/>
      <c r="AV14" s="79">
        <v>5</v>
      </c>
      <c r="AW14" s="79"/>
      <c r="AX14" s="79" t="b">
        <v>0</v>
      </c>
      <c r="AY14" s="79" t="s">
        <v>516</v>
      </c>
      <c r="AZ14" s="83" t="str">
        <f>HYPERLINK("https://twitter.com/drodbone")</f>
        <v>https://twitter.com/drodbone</v>
      </c>
      <c r="BA14" s="79" t="s">
        <v>65</v>
      </c>
      <c r="BB14" s="79" t="str">
        <f>REPLACE(INDEX(GroupVertices[Group],MATCH(Vertices[[#This Row],[Vertex]],GroupVertices[Vertex],0)),1,1,"")</f>
        <v>1</v>
      </c>
      <c r="BC14" s="47"/>
      <c r="BD14" s="47"/>
      <c r="BE14" s="47"/>
      <c r="BF14" s="47"/>
      <c r="BG14" s="47"/>
      <c r="BH14" s="47"/>
      <c r="BI14" s="47"/>
      <c r="BJ14" s="47"/>
      <c r="BK14" s="47"/>
      <c r="BL14" s="47"/>
      <c r="BM14" s="47"/>
      <c r="BN14" s="48"/>
      <c r="BO14" s="47"/>
      <c r="BP14" s="48"/>
      <c r="BQ14" s="47"/>
      <c r="BR14" s="48"/>
      <c r="BS14" s="47"/>
      <c r="BT14" s="48"/>
      <c r="BU14" s="47"/>
      <c r="BV14" s="2"/>
    </row>
    <row r="15" spans="1:74" ht="41.45" customHeight="1">
      <c r="A15" s="11" t="s">
        <v>261</v>
      </c>
      <c r="C15" s="12"/>
      <c r="D15" s="12" t="s">
        <v>64</v>
      </c>
      <c r="E15" s="89">
        <v>198.502304506303</v>
      </c>
      <c r="F15" s="75"/>
      <c r="G15" s="108" t="str">
        <f>HYPERLINK("https://pbs.twimg.com/profile_images/1009932396333031424/8FzKlCfB_normal.jpg")</f>
        <v>https://pbs.twimg.com/profile_images/1009932396333031424/8FzKlCfB_normal.jpg</v>
      </c>
      <c r="H15" s="12"/>
      <c r="I15" s="13" t="s">
        <v>261</v>
      </c>
      <c r="J15" s="63"/>
      <c r="K15" s="63"/>
      <c r="L15" s="110" t="s">
        <v>528</v>
      </c>
      <c r="M15" s="90">
        <v>87.74300309721342</v>
      </c>
      <c r="N15" s="91">
        <v>5708.4130859375</v>
      </c>
      <c r="O15" s="91">
        <v>9020.4423828125</v>
      </c>
      <c r="P15" s="74"/>
      <c r="Q15" s="92"/>
      <c r="R15" s="92"/>
      <c r="S15" s="93"/>
      <c r="T15" s="47">
        <v>1</v>
      </c>
      <c r="U15" s="47">
        <v>0</v>
      </c>
      <c r="V15" s="48">
        <v>0</v>
      </c>
      <c r="W15" s="48">
        <v>0.512821</v>
      </c>
      <c r="X15" s="48">
        <v>0.138688</v>
      </c>
      <c r="Y15" s="48">
        <v>0.04158</v>
      </c>
      <c r="Z15" s="48">
        <v>0</v>
      </c>
      <c r="AA15" s="48">
        <v>0</v>
      </c>
      <c r="AB15" s="76">
        <v>15</v>
      </c>
      <c r="AC15" s="76"/>
      <c r="AD15" s="94"/>
      <c r="AE15" s="79" t="s">
        <v>453</v>
      </c>
      <c r="AF15" s="85" t="s">
        <v>474</v>
      </c>
      <c r="AG15" s="79">
        <v>117</v>
      </c>
      <c r="AH15" s="79">
        <v>999662</v>
      </c>
      <c r="AI15" s="79">
        <v>29052</v>
      </c>
      <c r="AJ15" s="79">
        <v>17121</v>
      </c>
      <c r="AK15" s="79"/>
      <c r="AL15" s="79" t="s">
        <v>493</v>
      </c>
      <c r="AM15" s="79"/>
      <c r="AN15" s="83" t="str">
        <f>HYPERLINK("https://t.co/ffCHQu1hps")</f>
        <v>https://t.co/ffCHQu1hps</v>
      </c>
      <c r="AO15" s="79"/>
      <c r="AP15" s="81">
        <v>43271.97546296296</v>
      </c>
      <c r="AQ15" s="83" t="str">
        <f>HYPERLINK("https://pbs.twimg.com/profile_banners/1009577803304656896/1537733095")</f>
        <v>https://pbs.twimg.com/profile_banners/1009577803304656896/1537733095</v>
      </c>
      <c r="AR15" s="79" t="b">
        <v>0</v>
      </c>
      <c r="AS15" s="79" t="b">
        <v>0</v>
      </c>
      <c r="AT15" s="79" t="b">
        <v>0</v>
      </c>
      <c r="AU15" s="79"/>
      <c r="AV15" s="79">
        <v>3145</v>
      </c>
      <c r="AW15" s="83" t="str">
        <f>HYPERLINK("https://abs.twimg.com/images/themes/theme1/bg.png")</f>
        <v>https://abs.twimg.com/images/themes/theme1/bg.png</v>
      </c>
      <c r="AX15" s="79" t="b">
        <v>0</v>
      </c>
      <c r="AY15" s="79" t="s">
        <v>516</v>
      </c>
      <c r="AZ15" s="83" t="str">
        <f>HYPERLINK("https://twitter.com/itsjefftiedrich")</f>
        <v>https://twitter.com/itsjefftiedrich</v>
      </c>
      <c r="BA15" s="79" t="s">
        <v>65</v>
      </c>
      <c r="BB15" s="79" t="str">
        <f>REPLACE(INDEX(GroupVertices[Group],MATCH(Vertices[[#This Row],[Vertex]],GroupVertices[Vertex],0)),1,1,"")</f>
        <v>1</v>
      </c>
      <c r="BC15" s="47"/>
      <c r="BD15" s="47"/>
      <c r="BE15" s="47"/>
      <c r="BF15" s="47"/>
      <c r="BG15" s="47"/>
      <c r="BH15" s="47"/>
      <c r="BI15" s="47"/>
      <c r="BJ15" s="47"/>
      <c r="BK15" s="47"/>
      <c r="BL15" s="47"/>
      <c r="BM15" s="47"/>
      <c r="BN15" s="48"/>
      <c r="BO15" s="47"/>
      <c r="BP15" s="48"/>
      <c r="BQ15" s="47"/>
      <c r="BR15" s="48"/>
      <c r="BS15" s="47"/>
      <c r="BT15" s="48"/>
      <c r="BU15" s="47"/>
      <c r="BV15" s="2"/>
    </row>
    <row r="16" spans="1:74" ht="41.45" customHeight="1">
      <c r="A16" s="11" t="s">
        <v>262</v>
      </c>
      <c r="C16" s="12"/>
      <c r="D16" s="12" t="s">
        <v>64</v>
      </c>
      <c r="E16" s="89">
        <v>162.46721565100816</v>
      </c>
      <c r="F16" s="75"/>
      <c r="G16" s="108" t="str">
        <f>HYPERLINK("https://pbs.twimg.com/profile_images/1062082997082603520/VLncuX1K_normal.jpg")</f>
        <v>https://pbs.twimg.com/profile_images/1062082997082603520/VLncuX1K_normal.jpg</v>
      </c>
      <c r="H16" s="12"/>
      <c r="I16" s="13" t="s">
        <v>262</v>
      </c>
      <c r="J16" s="63"/>
      <c r="K16" s="63"/>
      <c r="L16" s="110" t="s">
        <v>529</v>
      </c>
      <c r="M16" s="90">
        <v>2.1102775348189153</v>
      </c>
      <c r="N16" s="91">
        <v>2570.100341796875</v>
      </c>
      <c r="O16" s="91">
        <v>902.0503540039062</v>
      </c>
      <c r="P16" s="74"/>
      <c r="Q16" s="92"/>
      <c r="R16" s="92"/>
      <c r="S16" s="93"/>
      <c r="T16" s="47">
        <v>1</v>
      </c>
      <c r="U16" s="47">
        <v>0</v>
      </c>
      <c r="V16" s="48">
        <v>0</v>
      </c>
      <c r="W16" s="48">
        <v>0.512821</v>
      </c>
      <c r="X16" s="48">
        <v>0.138688</v>
      </c>
      <c r="Y16" s="48">
        <v>0.04158</v>
      </c>
      <c r="Z16" s="48">
        <v>0</v>
      </c>
      <c r="AA16" s="48">
        <v>0</v>
      </c>
      <c r="AB16" s="76">
        <v>16</v>
      </c>
      <c r="AC16" s="76"/>
      <c r="AD16" s="94"/>
      <c r="AE16" s="79" t="s">
        <v>454</v>
      </c>
      <c r="AF16" s="85" t="s">
        <v>475</v>
      </c>
      <c r="AG16" s="79">
        <v>290</v>
      </c>
      <c r="AH16" s="79">
        <v>12818</v>
      </c>
      <c r="AI16" s="79">
        <v>5677</v>
      </c>
      <c r="AJ16" s="79">
        <v>0</v>
      </c>
      <c r="AK16" s="79"/>
      <c r="AL16" s="79" t="s">
        <v>494</v>
      </c>
      <c r="AM16" s="79" t="s">
        <v>509</v>
      </c>
      <c r="AN16" s="83" t="str">
        <f>HYPERLINK("http://t.co/cB1ODt5Gf9")</f>
        <v>http://t.co/cB1ODt5Gf9</v>
      </c>
      <c r="AO16" s="79"/>
      <c r="AP16" s="81">
        <v>40982.629016203704</v>
      </c>
      <c r="AQ16" s="83" t="str">
        <f>HYPERLINK("https://pbs.twimg.com/profile_banners/524434283/1542055310")</f>
        <v>https://pbs.twimg.com/profile_banners/524434283/1542055310</v>
      </c>
      <c r="AR16" s="79" t="b">
        <v>0</v>
      </c>
      <c r="AS16" s="79" t="b">
        <v>0</v>
      </c>
      <c r="AT16" s="79" t="b">
        <v>0</v>
      </c>
      <c r="AU16" s="79"/>
      <c r="AV16" s="79">
        <v>362</v>
      </c>
      <c r="AW16" s="83" t="str">
        <f>HYPERLINK("https://abs.twimg.com/images/themes/theme1/bg.png")</f>
        <v>https://abs.twimg.com/images/themes/theme1/bg.png</v>
      </c>
      <c r="AX16" s="79" t="b">
        <v>1</v>
      </c>
      <c r="AY16" s="79" t="s">
        <v>516</v>
      </c>
      <c r="AZ16" s="83" t="str">
        <f>HYPERLINK("https://twitter.com/rspolitics")</f>
        <v>https://twitter.com/rspolitics</v>
      </c>
      <c r="BA16" s="79" t="s">
        <v>65</v>
      </c>
      <c r="BB16" s="79" t="str">
        <f>REPLACE(INDEX(GroupVertices[Group],MATCH(Vertices[[#This Row],[Vertex]],GroupVertices[Vertex],0)),1,1,"")</f>
        <v>1</v>
      </c>
      <c r="BC16" s="47"/>
      <c r="BD16" s="47"/>
      <c r="BE16" s="47"/>
      <c r="BF16" s="47"/>
      <c r="BG16" s="47"/>
      <c r="BH16" s="47"/>
      <c r="BI16" s="47"/>
      <c r="BJ16" s="47"/>
      <c r="BK16" s="47"/>
      <c r="BL16" s="47"/>
      <c r="BM16" s="47"/>
      <c r="BN16" s="48"/>
      <c r="BO16" s="47"/>
      <c r="BP16" s="48"/>
      <c r="BQ16" s="47"/>
      <c r="BR16" s="48"/>
      <c r="BS16" s="47"/>
      <c r="BT16" s="48"/>
      <c r="BU16" s="47"/>
      <c r="BV16" s="2"/>
    </row>
    <row r="17" spans="1:74" ht="41.45" customHeight="1">
      <c r="A17" s="11" t="s">
        <v>263</v>
      </c>
      <c r="C17" s="12"/>
      <c r="D17" s="12" t="s">
        <v>64</v>
      </c>
      <c r="E17" s="89">
        <v>182.46528704070175</v>
      </c>
      <c r="F17" s="75"/>
      <c r="G17" s="108" t="str">
        <f>HYPERLINK("https://pbs.twimg.com/profile_images/1586376822677176320/pYeKA0BV_normal.jpg")</f>
        <v>https://pbs.twimg.com/profile_images/1586376822677176320/pYeKA0BV_normal.jpg</v>
      </c>
      <c r="H17" s="12"/>
      <c r="I17" s="13" t="s">
        <v>263</v>
      </c>
      <c r="J17" s="63"/>
      <c r="K17" s="63"/>
      <c r="L17" s="110" t="s">
        <v>530</v>
      </c>
      <c r="M17" s="90">
        <v>49.63310635224191</v>
      </c>
      <c r="N17" s="91">
        <v>539.4703979492188</v>
      </c>
      <c r="O17" s="91">
        <v>7212.0869140625</v>
      </c>
      <c r="P17" s="74"/>
      <c r="Q17" s="92"/>
      <c r="R17" s="92"/>
      <c r="S17" s="93"/>
      <c r="T17" s="47">
        <v>1</v>
      </c>
      <c r="U17" s="47">
        <v>0</v>
      </c>
      <c r="V17" s="48">
        <v>0</v>
      </c>
      <c r="W17" s="48">
        <v>0.512821</v>
      </c>
      <c r="X17" s="48">
        <v>0.138688</v>
      </c>
      <c r="Y17" s="48">
        <v>0.04158</v>
      </c>
      <c r="Z17" s="48">
        <v>0</v>
      </c>
      <c r="AA17" s="48">
        <v>0</v>
      </c>
      <c r="AB17" s="76">
        <v>17</v>
      </c>
      <c r="AC17" s="76"/>
      <c r="AD17" s="94"/>
      <c r="AE17" s="79" t="s">
        <v>455</v>
      </c>
      <c r="AF17" s="85" t="s">
        <v>476</v>
      </c>
      <c r="AG17" s="79">
        <v>7200</v>
      </c>
      <c r="AH17" s="79">
        <v>560478</v>
      </c>
      <c r="AI17" s="79">
        <v>76023</v>
      </c>
      <c r="AJ17" s="79">
        <v>130431</v>
      </c>
      <c r="AK17" s="79"/>
      <c r="AL17" s="79" t="s">
        <v>495</v>
      </c>
      <c r="AM17" s="79" t="s">
        <v>510</v>
      </c>
      <c r="AN17" s="83" t="str">
        <f>HYPERLINK("https://t.co/FvfKeAXUbB")</f>
        <v>https://t.co/FvfKeAXUbB</v>
      </c>
      <c r="AO17" s="79"/>
      <c r="AP17" s="81">
        <v>40430.6771875</v>
      </c>
      <c r="AQ17" s="83" t="str">
        <f>HYPERLINK("https://pbs.twimg.com/profile_banners/188793260/1660754648")</f>
        <v>https://pbs.twimg.com/profile_banners/188793260/1660754648</v>
      </c>
      <c r="AR17" s="79" t="b">
        <v>0</v>
      </c>
      <c r="AS17" s="79" t="b">
        <v>0</v>
      </c>
      <c r="AT17" s="79" t="b">
        <v>1</v>
      </c>
      <c r="AU17" s="79"/>
      <c r="AV17" s="79">
        <v>3370</v>
      </c>
      <c r="AW17" s="83" t="str">
        <f>HYPERLINK("https://abs.twimg.com/images/themes/theme1/bg.png")</f>
        <v>https://abs.twimg.com/images/themes/theme1/bg.png</v>
      </c>
      <c r="AX17" s="79" t="b">
        <v>1</v>
      </c>
      <c r="AY17" s="79" t="s">
        <v>516</v>
      </c>
      <c r="AZ17" s="83" t="str">
        <f>HYPERLINK("https://twitter.com/ninaturner")</f>
        <v>https://twitter.com/ninaturner</v>
      </c>
      <c r="BA17" s="79" t="s">
        <v>65</v>
      </c>
      <c r="BB17" s="79" t="str">
        <f>REPLACE(INDEX(GroupVertices[Group],MATCH(Vertices[[#This Row],[Vertex]],GroupVertices[Vertex],0)),1,1,"")</f>
        <v>1</v>
      </c>
      <c r="BC17" s="47"/>
      <c r="BD17" s="47"/>
      <c r="BE17" s="47"/>
      <c r="BF17" s="47"/>
      <c r="BG17" s="47"/>
      <c r="BH17" s="47"/>
      <c r="BI17" s="47"/>
      <c r="BJ17" s="47"/>
      <c r="BK17" s="47"/>
      <c r="BL17" s="47"/>
      <c r="BM17" s="47"/>
      <c r="BN17" s="48"/>
      <c r="BO17" s="47"/>
      <c r="BP17" s="48"/>
      <c r="BQ17" s="47"/>
      <c r="BR17" s="48"/>
      <c r="BS17" s="47"/>
      <c r="BT17" s="48"/>
      <c r="BU17" s="47"/>
      <c r="BV17" s="2"/>
    </row>
    <row r="18" spans="1:74" ht="41.45" customHeight="1">
      <c r="A18" s="11" t="s">
        <v>264</v>
      </c>
      <c r="C18" s="12"/>
      <c r="D18" s="12" t="s">
        <v>64</v>
      </c>
      <c r="E18" s="89">
        <v>169.25953434388273</v>
      </c>
      <c r="F18" s="75"/>
      <c r="G18" s="108" t="str">
        <f>HYPERLINK("https://pbs.twimg.com/profile_images/1484902152644571139/u98buGwP_normal.jpg")</f>
        <v>https://pbs.twimg.com/profile_images/1484902152644571139/u98buGwP_normal.jpg</v>
      </c>
      <c r="H18" s="12"/>
      <c r="I18" s="13" t="s">
        <v>264</v>
      </c>
      <c r="J18" s="63"/>
      <c r="K18" s="63"/>
      <c r="L18" s="110" t="s">
        <v>531</v>
      </c>
      <c r="M18" s="90">
        <v>18.25134395191435</v>
      </c>
      <c r="N18" s="91">
        <v>6265.705078125</v>
      </c>
      <c r="O18" s="91">
        <v>1418.2847900390625</v>
      </c>
      <c r="P18" s="74"/>
      <c r="Q18" s="92"/>
      <c r="R18" s="92"/>
      <c r="S18" s="93"/>
      <c r="T18" s="47">
        <v>1</v>
      </c>
      <c r="U18" s="47">
        <v>0</v>
      </c>
      <c r="V18" s="48">
        <v>0</v>
      </c>
      <c r="W18" s="48">
        <v>0.512821</v>
      </c>
      <c r="X18" s="48">
        <v>0.138688</v>
      </c>
      <c r="Y18" s="48">
        <v>0.04158</v>
      </c>
      <c r="Z18" s="48">
        <v>0</v>
      </c>
      <c r="AA18" s="48">
        <v>0</v>
      </c>
      <c r="AB18" s="76">
        <v>18</v>
      </c>
      <c r="AC18" s="76"/>
      <c r="AD18" s="94"/>
      <c r="AE18" s="79" t="s">
        <v>456</v>
      </c>
      <c r="AF18" s="85" t="s">
        <v>477</v>
      </c>
      <c r="AG18" s="79">
        <v>999</v>
      </c>
      <c r="AH18" s="79">
        <v>198830</v>
      </c>
      <c r="AI18" s="79">
        <v>26161</v>
      </c>
      <c r="AJ18" s="79">
        <v>48080</v>
      </c>
      <c r="AK18" s="79"/>
      <c r="AL18" s="79" t="s">
        <v>496</v>
      </c>
      <c r="AM18" s="79" t="s">
        <v>511</v>
      </c>
      <c r="AN18" s="83" t="str">
        <f>HYPERLINK("https://t.co/2CKnduXHQS")</f>
        <v>https://t.co/2CKnduXHQS</v>
      </c>
      <c r="AO18" s="79"/>
      <c r="AP18" s="81">
        <v>40503.677303240744</v>
      </c>
      <c r="AQ18" s="83" t="str">
        <f>HYPERLINK("https://pbs.twimg.com/profile_banners/218166083/1586125204")</f>
        <v>https://pbs.twimg.com/profile_banners/218166083/1586125204</v>
      </c>
      <c r="AR18" s="79" t="b">
        <v>0</v>
      </c>
      <c r="AS18" s="79" t="b">
        <v>0</v>
      </c>
      <c r="AT18" s="79" t="b">
        <v>1</v>
      </c>
      <c r="AU18" s="79"/>
      <c r="AV18" s="79">
        <v>641</v>
      </c>
      <c r="AW18" s="83" t="str">
        <f>HYPERLINK("https://abs.twimg.com/images/themes/theme1/bg.png")</f>
        <v>https://abs.twimg.com/images/themes/theme1/bg.png</v>
      </c>
      <c r="AX18" s="79" t="b">
        <v>0</v>
      </c>
      <c r="AY18" s="79" t="s">
        <v>516</v>
      </c>
      <c r="AZ18" s="83" t="str">
        <f>HYPERLINK("https://twitter.com/mnateshyamalan")</f>
        <v>https://twitter.com/mnateshyamalan</v>
      </c>
      <c r="BA18" s="79" t="s">
        <v>65</v>
      </c>
      <c r="BB18" s="79" t="str">
        <f>REPLACE(INDEX(GroupVertices[Group],MATCH(Vertices[[#This Row],[Vertex]],GroupVertices[Vertex],0)),1,1,"")</f>
        <v>1</v>
      </c>
      <c r="BC18" s="47"/>
      <c r="BD18" s="47"/>
      <c r="BE18" s="47"/>
      <c r="BF18" s="47"/>
      <c r="BG18" s="47"/>
      <c r="BH18" s="47"/>
      <c r="BI18" s="47"/>
      <c r="BJ18" s="47"/>
      <c r="BK18" s="47"/>
      <c r="BL18" s="47"/>
      <c r="BM18" s="47"/>
      <c r="BN18" s="48"/>
      <c r="BO18" s="47"/>
      <c r="BP18" s="48"/>
      <c r="BQ18" s="47"/>
      <c r="BR18" s="48"/>
      <c r="BS18" s="47"/>
      <c r="BT18" s="48"/>
      <c r="BU18" s="47"/>
      <c r="BV18" s="2"/>
    </row>
    <row r="19" spans="1:74" ht="41.45" customHeight="1">
      <c r="A19" s="11" t="s">
        <v>265</v>
      </c>
      <c r="C19" s="12"/>
      <c r="D19" s="12" t="s">
        <v>64</v>
      </c>
      <c r="E19" s="89">
        <v>1000</v>
      </c>
      <c r="F19" s="75"/>
      <c r="G19" s="108" t="str">
        <f>HYPERLINK("https://pbs.twimg.com/profile_images/1459143267673677853/xtIvtfZp_normal.jpg")</f>
        <v>https://pbs.twimg.com/profile_images/1459143267673677853/xtIvtfZp_normal.jpg</v>
      </c>
      <c r="H19" s="12"/>
      <c r="I19" s="13" t="s">
        <v>265</v>
      </c>
      <c r="J19" s="63"/>
      <c r="K19" s="63"/>
      <c r="L19" s="110" t="s">
        <v>532</v>
      </c>
      <c r="M19" s="90">
        <v>1992.3985590392813</v>
      </c>
      <c r="N19" s="91">
        <v>4658.66259765625</v>
      </c>
      <c r="O19" s="91">
        <v>1270.94580078125</v>
      </c>
      <c r="P19" s="74"/>
      <c r="Q19" s="92"/>
      <c r="R19" s="92"/>
      <c r="S19" s="93"/>
      <c r="T19" s="47">
        <v>1</v>
      </c>
      <c r="U19" s="47">
        <v>0</v>
      </c>
      <c r="V19" s="48">
        <v>0</v>
      </c>
      <c r="W19" s="48">
        <v>0.512821</v>
      </c>
      <c r="X19" s="48">
        <v>0.138688</v>
      </c>
      <c r="Y19" s="48">
        <v>0.04158</v>
      </c>
      <c r="Z19" s="48">
        <v>0</v>
      </c>
      <c r="AA19" s="48">
        <v>0</v>
      </c>
      <c r="AB19" s="76">
        <v>19</v>
      </c>
      <c r="AC19" s="76"/>
      <c r="AD19" s="94"/>
      <c r="AE19" s="79" t="s">
        <v>457</v>
      </c>
      <c r="AF19" s="85" t="s">
        <v>478</v>
      </c>
      <c r="AG19" s="79">
        <v>261</v>
      </c>
      <c r="AH19" s="79">
        <v>22949190</v>
      </c>
      <c r="AI19" s="79">
        <v>507670</v>
      </c>
      <c r="AJ19" s="79">
        <v>4</v>
      </c>
      <c r="AK19" s="79"/>
      <c r="AL19" s="79" t="s">
        <v>497</v>
      </c>
      <c r="AM19" s="79" t="s">
        <v>512</v>
      </c>
      <c r="AN19" s="83" t="str">
        <f>HYPERLINK("https://t.co/s4jEId5Aef")</f>
        <v>https://t.co/s4jEId5Aef</v>
      </c>
      <c r="AO19" s="79"/>
      <c r="AP19" s="81">
        <v>39158.792662037034</v>
      </c>
      <c r="AQ19" s="83" t="str">
        <f>HYPERLINK("https://pbs.twimg.com/profile_banners/1367531/1492649996")</f>
        <v>https://pbs.twimg.com/profile_banners/1367531/1492649996</v>
      </c>
      <c r="AR19" s="79" t="b">
        <v>0</v>
      </c>
      <c r="AS19" s="79" t="b">
        <v>0</v>
      </c>
      <c r="AT19" s="79" t="b">
        <v>1</v>
      </c>
      <c r="AU19" s="79"/>
      <c r="AV19" s="79">
        <v>73249</v>
      </c>
      <c r="AW19" s="83" t="str">
        <f>HYPERLINK("https://abs.twimg.com/images/themes/theme1/bg.png")</f>
        <v>https://abs.twimg.com/images/themes/theme1/bg.png</v>
      </c>
      <c r="AX19" s="79" t="b">
        <v>1</v>
      </c>
      <c r="AY19" s="79" t="s">
        <v>516</v>
      </c>
      <c r="AZ19" s="83" t="str">
        <f>HYPERLINK("https://twitter.com/foxnews")</f>
        <v>https://twitter.com/foxnews</v>
      </c>
      <c r="BA19" s="79" t="s">
        <v>65</v>
      </c>
      <c r="BB19" s="79" t="str">
        <f>REPLACE(INDEX(GroupVertices[Group],MATCH(Vertices[[#This Row],[Vertex]],GroupVertices[Vertex],0)),1,1,"")</f>
        <v>1</v>
      </c>
      <c r="BC19" s="47"/>
      <c r="BD19" s="47"/>
      <c r="BE19" s="47"/>
      <c r="BF19" s="47"/>
      <c r="BG19" s="47"/>
      <c r="BH19" s="47"/>
      <c r="BI19" s="47"/>
      <c r="BJ19" s="47"/>
      <c r="BK19" s="47"/>
      <c r="BL19" s="47"/>
      <c r="BM19" s="47"/>
      <c r="BN19" s="48"/>
      <c r="BO19" s="47"/>
      <c r="BP19" s="48"/>
      <c r="BQ19" s="47"/>
      <c r="BR19" s="48"/>
      <c r="BS19" s="47"/>
      <c r="BT19" s="48"/>
      <c r="BU19" s="47"/>
      <c r="BV19" s="2"/>
    </row>
    <row r="20" spans="1:74" ht="41.45" customHeight="1">
      <c r="A20" s="11" t="s">
        <v>266</v>
      </c>
      <c r="C20" s="12"/>
      <c r="D20" s="12" t="s">
        <v>64</v>
      </c>
      <c r="E20" s="89">
        <v>171.3646886616843</v>
      </c>
      <c r="F20" s="75"/>
      <c r="G20" s="108" t="str">
        <f>HYPERLINK("https://pbs.twimg.com/profile_images/1396551859897311240/3b3IGsql_normal.jpg")</f>
        <v>https://pbs.twimg.com/profile_images/1396551859897311240/3b3IGsql_normal.jpg</v>
      </c>
      <c r="H20" s="12"/>
      <c r="I20" s="13" t="s">
        <v>266</v>
      </c>
      <c r="J20" s="63"/>
      <c r="K20" s="63"/>
      <c r="L20" s="110" t="s">
        <v>533</v>
      </c>
      <c r="M20" s="90">
        <v>23.253970771753764</v>
      </c>
      <c r="N20" s="91">
        <v>580.6258544921875</v>
      </c>
      <c r="O20" s="91">
        <v>5415.755859375</v>
      </c>
      <c r="P20" s="74"/>
      <c r="Q20" s="92"/>
      <c r="R20" s="92"/>
      <c r="S20" s="93"/>
      <c r="T20" s="47">
        <v>1</v>
      </c>
      <c r="U20" s="47">
        <v>0</v>
      </c>
      <c r="V20" s="48">
        <v>0</v>
      </c>
      <c r="W20" s="48">
        <v>0.512821</v>
      </c>
      <c r="X20" s="48">
        <v>0.138688</v>
      </c>
      <c r="Y20" s="48">
        <v>0.04158</v>
      </c>
      <c r="Z20" s="48">
        <v>0</v>
      </c>
      <c r="AA20" s="48">
        <v>0</v>
      </c>
      <c r="AB20" s="76">
        <v>20</v>
      </c>
      <c r="AC20" s="76"/>
      <c r="AD20" s="94"/>
      <c r="AE20" s="79" t="s">
        <v>458</v>
      </c>
      <c r="AF20" s="85" t="s">
        <v>479</v>
      </c>
      <c r="AG20" s="79">
        <v>199</v>
      </c>
      <c r="AH20" s="79">
        <v>256481</v>
      </c>
      <c r="AI20" s="79">
        <v>18015</v>
      </c>
      <c r="AJ20" s="79">
        <v>208212</v>
      </c>
      <c r="AK20" s="79"/>
      <c r="AL20" s="79" t="s">
        <v>498</v>
      </c>
      <c r="AM20" s="79" t="s">
        <v>513</v>
      </c>
      <c r="AN20" s="83" t="str">
        <f>HYPERLINK("https://t.co/OHIC5lYe6R")</f>
        <v>https://t.co/OHIC5lYe6R</v>
      </c>
      <c r="AO20" s="79"/>
      <c r="AP20" s="81">
        <v>40624.07806712963</v>
      </c>
      <c r="AQ20" s="83" t="str">
        <f>HYPERLINK("https://pbs.twimg.com/profile_banners/270132611/1653756001")</f>
        <v>https://pbs.twimg.com/profile_banners/270132611/1653756001</v>
      </c>
      <c r="AR20" s="79" t="b">
        <v>0</v>
      </c>
      <c r="AS20" s="79" t="b">
        <v>0</v>
      </c>
      <c r="AT20" s="79" t="b">
        <v>1</v>
      </c>
      <c r="AU20" s="79"/>
      <c r="AV20" s="79">
        <v>1036</v>
      </c>
      <c r="AW20" s="83" t="str">
        <f>HYPERLINK("https://abs.twimg.com/images/themes/theme13/bg.gif")</f>
        <v>https://abs.twimg.com/images/themes/theme13/bg.gif</v>
      </c>
      <c r="AX20" s="79" t="b">
        <v>0</v>
      </c>
      <c r="AY20" s="79" t="s">
        <v>516</v>
      </c>
      <c r="AZ20" s="83" t="str">
        <f>HYPERLINK("https://twitter.com/lindyli")</f>
        <v>https://twitter.com/lindyli</v>
      </c>
      <c r="BA20" s="79" t="s">
        <v>65</v>
      </c>
      <c r="BB20" s="79" t="str">
        <f>REPLACE(INDEX(GroupVertices[Group],MATCH(Vertices[[#This Row],[Vertex]],GroupVertices[Vertex],0)),1,1,"")</f>
        <v>1</v>
      </c>
      <c r="BC20" s="47"/>
      <c r="BD20" s="47"/>
      <c r="BE20" s="47"/>
      <c r="BF20" s="47"/>
      <c r="BG20" s="47"/>
      <c r="BH20" s="47"/>
      <c r="BI20" s="47"/>
      <c r="BJ20" s="47"/>
      <c r="BK20" s="47"/>
      <c r="BL20" s="47"/>
      <c r="BM20" s="47"/>
      <c r="BN20" s="48"/>
      <c r="BO20" s="47"/>
      <c r="BP20" s="48"/>
      <c r="BQ20" s="47"/>
      <c r="BR20" s="48"/>
      <c r="BS20" s="47"/>
      <c r="BT20" s="48"/>
      <c r="BU20" s="47"/>
      <c r="BV20" s="2"/>
    </row>
    <row r="21" spans="1:74" ht="41.45" customHeight="1">
      <c r="A21" s="11" t="s">
        <v>267</v>
      </c>
      <c r="C21" s="12"/>
      <c r="D21" s="12" t="s">
        <v>64</v>
      </c>
      <c r="E21" s="89">
        <v>168.29680353975374</v>
      </c>
      <c r="F21" s="75"/>
      <c r="G21" s="108" t="str">
        <f>HYPERLINK("https://abs.twimg.com/sticky/default_profile_images/default_profile_normal.png")</f>
        <v>https://abs.twimg.com/sticky/default_profile_images/default_profile_normal.png</v>
      </c>
      <c r="H21" s="12"/>
      <c r="I21" s="13" t="s">
        <v>267</v>
      </c>
      <c r="J21" s="63"/>
      <c r="K21" s="63"/>
      <c r="L21" s="110" t="s">
        <v>534</v>
      </c>
      <c r="M21" s="90">
        <v>15.963538777588386</v>
      </c>
      <c r="N21" s="91">
        <v>6285.6201171875</v>
      </c>
      <c r="O21" s="91">
        <v>5910.3037109375</v>
      </c>
      <c r="P21" s="74"/>
      <c r="Q21" s="92"/>
      <c r="R21" s="92"/>
      <c r="S21" s="93"/>
      <c r="T21" s="47">
        <v>1</v>
      </c>
      <c r="U21" s="47">
        <v>0</v>
      </c>
      <c r="V21" s="48">
        <v>0</v>
      </c>
      <c r="W21" s="48">
        <v>0.512821</v>
      </c>
      <c r="X21" s="48">
        <v>0.138688</v>
      </c>
      <c r="Y21" s="48">
        <v>0.04158</v>
      </c>
      <c r="Z21" s="48">
        <v>0</v>
      </c>
      <c r="AA21" s="48">
        <v>0</v>
      </c>
      <c r="AB21" s="76">
        <v>21</v>
      </c>
      <c r="AC21" s="76"/>
      <c r="AD21" s="94"/>
      <c r="AE21" s="79" t="s">
        <v>459</v>
      </c>
      <c r="AF21" s="85" t="s">
        <v>480</v>
      </c>
      <c r="AG21" s="79">
        <v>5493</v>
      </c>
      <c r="AH21" s="79">
        <v>172465</v>
      </c>
      <c r="AI21" s="79">
        <v>146633</v>
      </c>
      <c r="AJ21" s="79">
        <v>784508</v>
      </c>
      <c r="AK21" s="79"/>
      <c r="AL21" s="79" t="s">
        <v>459</v>
      </c>
      <c r="AM21" s="79" t="s">
        <v>514</v>
      </c>
      <c r="AN21" s="83" t="str">
        <f>HYPERLINK("https://t.co/fR6atZVFH2")</f>
        <v>https://t.co/fR6atZVFH2</v>
      </c>
      <c r="AO21" s="79"/>
      <c r="AP21" s="81">
        <v>39938.90721064815</v>
      </c>
      <c r="AQ21" s="83" t="str">
        <f>HYPERLINK("https://pbs.twimg.com/profile_banners/38029205/1649281013")</f>
        <v>https://pbs.twimg.com/profile_banners/38029205/1649281013</v>
      </c>
      <c r="AR21" s="79" t="b">
        <v>0</v>
      </c>
      <c r="AS21" s="79" t="b">
        <v>1</v>
      </c>
      <c r="AT21" s="79" t="b">
        <v>1</v>
      </c>
      <c r="AU21" s="79"/>
      <c r="AV21" s="79">
        <v>1081</v>
      </c>
      <c r="AW21" s="83" t="str">
        <f>HYPERLINK("https://abs.twimg.com/images/themes/theme14/bg.gif")</f>
        <v>https://abs.twimg.com/images/themes/theme14/bg.gif</v>
      </c>
      <c r="AX21" s="79" t="b">
        <v>1</v>
      </c>
      <c r="AY21" s="79" t="s">
        <v>516</v>
      </c>
      <c r="AZ21" s="83" t="str">
        <f>HYPERLINK("https://twitter.com/williamlegate")</f>
        <v>https://twitter.com/williamlegate</v>
      </c>
      <c r="BA21" s="79" t="s">
        <v>65</v>
      </c>
      <c r="BB21" s="79" t="str">
        <f>REPLACE(INDEX(GroupVertices[Group],MATCH(Vertices[[#This Row],[Vertex]],GroupVertices[Vertex],0)),1,1,"")</f>
        <v>1</v>
      </c>
      <c r="BC21" s="47"/>
      <c r="BD21" s="47"/>
      <c r="BE21" s="47"/>
      <c r="BF21" s="47"/>
      <c r="BG21" s="47"/>
      <c r="BH21" s="47"/>
      <c r="BI21" s="47"/>
      <c r="BJ21" s="47"/>
      <c r="BK21" s="47"/>
      <c r="BL21" s="47"/>
      <c r="BM21" s="47"/>
      <c r="BN21" s="48"/>
      <c r="BO21" s="47"/>
      <c r="BP21" s="48"/>
      <c r="BQ21" s="47"/>
      <c r="BR21" s="48"/>
      <c r="BS21" s="47"/>
      <c r="BT21" s="48"/>
      <c r="BU21" s="47"/>
      <c r="BV21" s="2"/>
    </row>
    <row r="22" spans="1:74" ht="41.45" customHeight="1">
      <c r="A22" s="11" t="s">
        <v>268</v>
      </c>
      <c r="C22" s="12"/>
      <c r="D22" s="12" t="s">
        <v>64</v>
      </c>
      <c r="E22" s="89">
        <v>1000</v>
      </c>
      <c r="F22" s="75"/>
      <c r="G22" s="108" t="str">
        <f>HYPERLINK("https://pbs.twimg.com/profile_images/1587290337587904512/Y4s_eu5O_normal.jpg")</f>
        <v>https://pbs.twimg.com/profile_images/1587290337587904512/Y4s_eu5O_normal.jpg</v>
      </c>
      <c r="H22" s="12"/>
      <c r="I22" s="13" t="s">
        <v>268</v>
      </c>
      <c r="J22" s="63"/>
      <c r="K22" s="63"/>
      <c r="L22" s="110" t="s">
        <v>535</v>
      </c>
      <c r="M22" s="90">
        <v>9999</v>
      </c>
      <c r="N22" s="91">
        <v>1980.7213134765625</v>
      </c>
      <c r="O22" s="91">
        <v>8728.0546875</v>
      </c>
      <c r="P22" s="74"/>
      <c r="Q22" s="92"/>
      <c r="R22" s="92"/>
      <c r="S22" s="93"/>
      <c r="T22" s="47">
        <v>1</v>
      </c>
      <c r="U22" s="47">
        <v>0</v>
      </c>
      <c r="V22" s="48">
        <v>0</v>
      </c>
      <c r="W22" s="48">
        <v>0.512821</v>
      </c>
      <c r="X22" s="48">
        <v>0.138688</v>
      </c>
      <c r="Y22" s="48">
        <v>0.04158</v>
      </c>
      <c r="Z22" s="48">
        <v>0</v>
      </c>
      <c r="AA22" s="48">
        <v>0</v>
      </c>
      <c r="AB22" s="76">
        <v>22</v>
      </c>
      <c r="AC22" s="76"/>
      <c r="AD22" s="94"/>
      <c r="AE22" s="79" t="s">
        <v>460</v>
      </c>
      <c r="AF22" s="85" t="s">
        <v>481</v>
      </c>
      <c r="AG22" s="79">
        <v>130</v>
      </c>
      <c r="AH22" s="79">
        <v>115218431</v>
      </c>
      <c r="AI22" s="79">
        <v>20184</v>
      </c>
      <c r="AJ22" s="79">
        <v>15092</v>
      </c>
      <c r="AK22" s="79"/>
      <c r="AL22" s="79" t="s">
        <v>499</v>
      </c>
      <c r="AM22" s="79"/>
      <c r="AN22" s="79"/>
      <c r="AO22" s="79"/>
      <c r="AP22" s="81">
        <v>39966.842002314814</v>
      </c>
      <c r="AQ22" s="83" t="str">
        <f>HYPERLINK("https://pbs.twimg.com/profile_banners/44196397/1576183471")</f>
        <v>https://pbs.twimg.com/profile_banners/44196397/1576183471</v>
      </c>
      <c r="AR22" s="79" t="b">
        <v>0</v>
      </c>
      <c r="AS22" s="79" t="b">
        <v>0</v>
      </c>
      <c r="AT22" s="79" t="b">
        <v>0</v>
      </c>
      <c r="AU22" s="79"/>
      <c r="AV22" s="79">
        <v>101719</v>
      </c>
      <c r="AW22" s="83" t="str">
        <f>HYPERLINK("https://abs.twimg.com/images/themes/theme1/bg.png")</f>
        <v>https://abs.twimg.com/images/themes/theme1/bg.png</v>
      </c>
      <c r="AX22" s="79" t="b">
        <v>1</v>
      </c>
      <c r="AY22" s="79" t="s">
        <v>516</v>
      </c>
      <c r="AZ22" s="83" t="str">
        <f>HYPERLINK("https://twitter.com/elonmusk")</f>
        <v>https://twitter.com/elonmusk</v>
      </c>
      <c r="BA22" s="79" t="s">
        <v>65</v>
      </c>
      <c r="BB22" s="79" t="str">
        <f>REPLACE(INDEX(GroupVertices[Group],MATCH(Vertices[[#This Row],[Vertex]],GroupVertices[Vertex],0)),1,1,"")</f>
        <v>1</v>
      </c>
      <c r="BC22" s="47"/>
      <c r="BD22" s="47"/>
      <c r="BE22" s="47"/>
      <c r="BF22" s="47"/>
      <c r="BG22" s="47"/>
      <c r="BH22" s="47"/>
      <c r="BI22" s="47"/>
      <c r="BJ22" s="47"/>
      <c r="BK22" s="47"/>
      <c r="BL22" s="47"/>
      <c r="BM22" s="47"/>
      <c r="BN22" s="48"/>
      <c r="BO22" s="47"/>
      <c r="BP22" s="48"/>
      <c r="BQ22" s="47"/>
      <c r="BR22" s="48"/>
      <c r="BS22" s="47"/>
      <c r="BT22" s="48"/>
      <c r="BU22" s="47"/>
      <c r="BV22" s="2"/>
    </row>
    <row r="23" spans="1:74" ht="41.45" customHeight="1">
      <c r="A23" s="95" t="s">
        <v>269</v>
      </c>
      <c r="C23" s="96"/>
      <c r="D23" s="96" t="s">
        <v>64</v>
      </c>
      <c r="E23" s="97">
        <v>162.3909713149937</v>
      </c>
      <c r="F23" s="98"/>
      <c r="G23" s="109" t="str">
        <f>HYPERLINK("https://pbs.twimg.com/profile_images/849132774661308416/pa2Uplq1_normal.jpg")</f>
        <v>https://pbs.twimg.com/profile_images/849132774661308416/pa2Uplq1_normal.jpg</v>
      </c>
      <c r="H23" s="96"/>
      <c r="I23" s="99" t="s">
        <v>269</v>
      </c>
      <c r="J23" s="100"/>
      <c r="K23" s="100"/>
      <c r="L23" s="111" t="s">
        <v>536</v>
      </c>
      <c r="M23" s="101">
        <v>1.9290927366397912</v>
      </c>
      <c r="N23" s="102">
        <v>3984.705810546875</v>
      </c>
      <c r="O23" s="102">
        <v>9319.470703125</v>
      </c>
      <c r="P23" s="103"/>
      <c r="Q23" s="104"/>
      <c r="R23" s="104"/>
      <c r="S23" s="105"/>
      <c r="T23" s="47">
        <v>1</v>
      </c>
      <c r="U23" s="47">
        <v>0</v>
      </c>
      <c r="V23" s="48">
        <v>0</v>
      </c>
      <c r="W23" s="48">
        <v>0.512821</v>
      </c>
      <c r="X23" s="48">
        <v>0.138688</v>
      </c>
      <c r="Y23" s="48">
        <v>0.04158</v>
      </c>
      <c r="Z23" s="48">
        <v>0</v>
      </c>
      <c r="AA23" s="48">
        <v>0</v>
      </c>
      <c r="AB23" s="106">
        <v>23</v>
      </c>
      <c r="AC23" s="106"/>
      <c r="AD23" s="107"/>
      <c r="AE23" s="79" t="s">
        <v>461</v>
      </c>
      <c r="AF23" s="85" t="s">
        <v>482</v>
      </c>
      <c r="AG23" s="79">
        <v>4310</v>
      </c>
      <c r="AH23" s="79">
        <v>10730</v>
      </c>
      <c r="AI23" s="79">
        <v>9968</v>
      </c>
      <c r="AJ23" s="79">
        <v>58873</v>
      </c>
      <c r="AK23" s="79"/>
      <c r="AL23" s="79" t="s">
        <v>500</v>
      </c>
      <c r="AM23" s="79" t="s">
        <v>505</v>
      </c>
      <c r="AN23" s="83" t="str">
        <f>HYPERLINK("https://t.co/eUJLtrtePs")</f>
        <v>https://t.co/eUJLtrtePs</v>
      </c>
      <c r="AO23" s="79"/>
      <c r="AP23" s="81">
        <v>40122.1453587963</v>
      </c>
      <c r="AQ23" s="83" t="str">
        <f>HYPERLINK("https://pbs.twimg.com/profile_banners/87606674/1405285356")</f>
        <v>https://pbs.twimg.com/profile_banners/87606674/1405285356</v>
      </c>
      <c r="AR23" s="79" t="b">
        <v>0</v>
      </c>
      <c r="AS23" s="79" t="b">
        <v>0</v>
      </c>
      <c r="AT23" s="79" t="b">
        <v>1</v>
      </c>
      <c r="AU23" s="79"/>
      <c r="AV23" s="79">
        <v>820</v>
      </c>
      <c r="AW23" s="83" t="str">
        <f>HYPERLINK("https://abs.twimg.com/images/themes/theme19/bg.gif")</f>
        <v>https://abs.twimg.com/images/themes/theme19/bg.gif</v>
      </c>
      <c r="AX23" s="79" t="b">
        <v>1</v>
      </c>
      <c r="AY23" s="79" t="s">
        <v>516</v>
      </c>
      <c r="AZ23" s="83" t="str">
        <f>HYPERLINK("https://twitter.com/nodexl")</f>
        <v>https://twitter.com/nodexl</v>
      </c>
      <c r="BA23" s="79" t="s">
        <v>65</v>
      </c>
      <c r="BB23" s="79" t="str">
        <f>REPLACE(INDEX(GroupVertices[Group],MATCH(Vertices[[#This Row],[Vertex]],GroupVertices[Vertex],0)),1,1,"")</f>
        <v>1</v>
      </c>
      <c r="BC23" s="47"/>
      <c r="BD23" s="47"/>
      <c r="BE23" s="47"/>
      <c r="BF23" s="47"/>
      <c r="BG23" s="47"/>
      <c r="BH23" s="47"/>
      <c r="BI23" s="47"/>
      <c r="BJ23" s="47"/>
      <c r="BK23" s="47"/>
      <c r="BL23" s="47"/>
      <c r="BM23" s="47"/>
      <c r="BN23" s="48"/>
      <c r="BO23" s="47"/>
      <c r="BP23" s="48"/>
      <c r="BQ23" s="47"/>
      <c r="BR23" s="48"/>
      <c r="BS23" s="47"/>
      <c r="BT23" s="48"/>
      <c r="BU23" s="47"/>
      <c r="BV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28125" style="0" bestFit="1" customWidth="1"/>
    <col min="28" max="28" width="13.140625" style="0" bestFit="1" customWidth="1"/>
    <col min="29" max="29" width="15.7109375" style="0" bestFit="1" customWidth="1"/>
    <col min="30" max="30" width="14.57421875" style="0" bestFit="1" customWidth="1"/>
    <col min="31" max="31" width="17.28125" style="0" bestFit="1" customWidth="1"/>
    <col min="32" max="32" width="11.57421875" style="0" bestFit="1" customWidth="1"/>
    <col min="33" max="33" width="19.57421875" style="0" bestFit="1" customWidth="1"/>
    <col min="34" max="34" width="24.140625" style="0" bestFit="1" customWidth="1"/>
    <col min="35" max="35" width="19.57421875" style="0" bestFit="1" customWidth="1"/>
    <col min="36" max="36" width="24.140625" style="0" bestFit="1" customWidth="1"/>
    <col min="37" max="37" width="19.57421875" style="0" bestFit="1" customWidth="1"/>
    <col min="38" max="38" width="24.140625" style="0" bestFit="1" customWidth="1"/>
    <col min="39" max="39" width="18.57421875" style="0" bestFit="1" customWidth="1"/>
    <col min="40" max="40" width="22.140625" style="0" bestFit="1" customWidth="1"/>
    <col min="41" max="41" width="16.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567</v>
      </c>
      <c r="Z2" s="7" t="s">
        <v>572</v>
      </c>
      <c r="AA2" s="7" t="s">
        <v>588</v>
      </c>
      <c r="AB2" s="7" t="s">
        <v>610</v>
      </c>
      <c r="AC2" s="7" t="s">
        <v>635</v>
      </c>
      <c r="AD2" s="7" t="s">
        <v>644</v>
      </c>
      <c r="AE2" s="7" t="s">
        <v>645</v>
      </c>
      <c r="AF2" s="7" t="s">
        <v>651</v>
      </c>
      <c r="AG2" s="64" t="s">
        <v>812</v>
      </c>
      <c r="AH2" s="64" t="s">
        <v>813</v>
      </c>
      <c r="AI2" s="64" t="s">
        <v>814</v>
      </c>
      <c r="AJ2" s="64" t="s">
        <v>815</v>
      </c>
      <c r="AK2" s="64" t="s">
        <v>816</v>
      </c>
      <c r="AL2" s="64" t="s">
        <v>817</v>
      </c>
      <c r="AM2" s="64" t="s">
        <v>818</v>
      </c>
      <c r="AN2" s="64" t="s">
        <v>819</v>
      </c>
      <c r="AO2" s="64" t="s">
        <v>822</v>
      </c>
    </row>
    <row r="3" spans="1:41" ht="15">
      <c r="A3" s="78" t="s">
        <v>540</v>
      </c>
      <c r="B3" s="115" t="s">
        <v>542</v>
      </c>
      <c r="C3" s="115" t="s">
        <v>56</v>
      </c>
      <c r="D3" s="113"/>
      <c r="E3" s="12"/>
      <c r="F3" s="13" t="s">
        <v>887</v>
      </c>
      <c r="G3" s="74"/>
      <c r="H3" s="74"/>
      <c r="I3" s="114">
        <v>3</v>
      </c>
      <c r="J3" s="60"/>
      <c r="K3" s="47">
        <v>18</v>
      </c>
      <c r="L3" s="47">
        <v>16</v>
      </c>
      <c r="M3" s="47">
        <v>30</v>
      </c>
      <c r="N3" s="47">
        <v>46</v>
      </c>
      <c r="O3" s="47">
        <v>28</v>
      </c>
      <c r="P3" s="48">
        <v>0</v>
      </c>
      <c r="Q3" s="48">
        <v>0</v>
      </c>
      <c r="R3" s="47">
        <v>1</v>
      </c>
      <c r="S3" s="47">
        <v>0</v>
      </c>
      <c r="T3" s="47">
        <v>18</v>
      </c>
      <c r="U3" s="47">
        <v>46</v>
      </c>
      <c r="V3" s="47">
        <v>2</v>
      </c>
      <c r="W3" s="48">
        <v>1.783951</v>
      </c>
      <c r="X3" s="48">
        <v>0.05555555555555555</v>
      </c>
      <c r="Y3" s="79" t="s">
        <v>568</v>
      </c>
      <c r="Z3" s="79" t="s">
        <v>573</v>
      </c>
      <c r="AA3" s="79" t="s">
        <v>589</v>
      </c>
      <c r="AB3" s="85" t="s">
        <v>611</v>
      </c>
      <c r="AC3" s="85" t="s">
        <v>636</v>
      </c>
      <c r="AD3" s="85"/>
      <c r="AE3" s="85" t="s">
        <v>646</v>
      </c>
      <c r="AF3" s="85" t="s">
        <v>652</v>
      </c>
      <c r="AG3" s="119">
        <v>8</v>
      </c>
      <c r="AH3" s="122">
        <v>0.9768009768009768</v>
      </c>
      <c r="AI3" s="119">
        <v>0</v>
      </c>
      <c r="AJ3" s="122">
        <v>0</v>
      </c>
      <c r="AK3" s="119">
        <v>0</v>
      </c>
      <c r="AL3" s="122">
        <v>0</v>
      </c>
      <c r="AM3" s="119">
        <v>541</v>
      </c>
      <c r="AN3" s="122">
        <v>66.05616605616606</v>
      </c>
      <c r="AO3" s="119">
        <v>819</v>
      </c>
    </row>
    <row r="4" spans="1:41" ht="15">
      <c r="A4" s="78" t="s">
        <v>541</v>
      </c>
      <c r="B4" s="115" t="s">
        <v>543</v>
      </c>
      <c r="C4" s="115" t="s">
        <v>56</v>
      </c>
      <c r="D4" s="113"/>
      <c r="E4" s="12"/>
      <c r="F4" s="13" t="s">
        <v>888</v>
      </c>
      <c r="G4" s="74"/>
      <c r="H4" s="74"/>
      <c r="I4" s="114">
        <v>4</v>
      </c>
      <c r="J4" s="76"/>
      <c r="K4" s="47">
        <v>3</v>
      </c>
      <c r="L4" s="47">
        <v>4</v>
      </c>
      <c r="M4" s="47">
        <v>0</v>
      </c>
      <c r="N4" s="47">
        <v>4</v>
      </c>
      <c r="O4" s="47">
        <v>0</v>
      </c>
      <c r="P4" s="48">
        <v>0.3333333333333333</v>
      </c>
      <c r="Q4" s="48">
        <v>0.5</v>
      </c>
      <c r="R4" s="47">
        <v>1</v>
      </c>
      <c r="S4" s="47">
        <v>0</v>
      </c>
      <c r="T4" s="47">
        <v>3</v>
      </c>
      <c r="U4" s="47">
        <v>4</v>
      </c>
      <c r="V4" s="47">
        <v>1</v>
      </c>
      <c r="W4" s="48">
        <v>0.666667</v>
      </c>
      <c r="X4" s="48">
        <v>0.6666666666666666</v>
      </c>
      <c r="Y4" s="79" t="s">
        <v>549</v>
      </c>
      <c r="Z4" s="79" t="s">
        <v>303</v>
      </c>
      <c r="AA4" s="79" t="s">
        <v>309</v>
      </c>
      <c r="AB4" s="85" t="s">
        <v>612</v>
      </c>
      <c r="AC4" s="85" t="s">
        <v>637</v>
      </c>
      <c r="AD4" s="85"/>
      <c r="AE4" s="85" t="s">
        <v>647</v>
      </c>
      <c r="AF4" s="85" t="s">
        <v>653</v>
      </c>
      <c r="AG4" s="119">
        <v>0</v>
      </c>
      <c r="AH4" s="122">
        <v>0</v>
      </c>
      <c r="AI4" s="119">
        <v>0</v>
      </c>
      <c r="AJ4" s="122">
        <v>0</v>
      </c>
      <c r="AK4" s="119">
        <v>0</v>
      </c>
      <c r="AL4" s="122">
        <v>0</v>
      </c>
      <c r="AM4" s="119">
        <v>38</v>
      </c>
      <c r="AN4" s="122">
        <v>52.77777777777778</v>
      </c>
      <c r="AO4" s="119">
        <v>72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540</v>
      </c>
      <c r="B2" s="85" t="s">
        <v>257</v>
      </c>
      <c r="C2" s="79">
        <f>VLOOKUP(GroupVertices[[#This Row],[Vertex]],Vertices[],MATCH("ID",Vertices[[#Headers],[Vertex]:[Vertex Content Word Count]],0),FALSE)</f>
        <v>4</v>
      </c>
    </row>
    <row r="3" spans="1:3" ht="15">
      <c r="A3" s="80" t="s">
        <v>540</v>
      </c>
      <c r="B3" s="85" t="s">
        <v>269</v>
      </c>
      <c r="C3" s="79">
        <f>VLOOKUP(GroupVertices[[#This Row],[Vertex]],Vertices[],MATCH("ID",Vertices[[#Headers],[Vertex]:[Vertex Content Word Count]],0),FALSE)</f>
        <v>23</v>
      </c>
    </row>
    <row r="4" spans="1:3" ht="15">
      <c r="A4" s="80" t="s">
        <v>540</v>
      </c>
      <c r="B4" s="85" t="s">
        <v>268</v>
      </c>
      <c r="C4" s="79">
        <f>VLOOKUP(GroupVertices[[#This Row],[Vertex]],Vertices[],MATCH("ID",Vertices[[#Headers],[Vertex]:[Vertex Content Word Count]],0),FALSE)</f>
        <v>22</v>
      </c>
    </row>
    <row r="5" spans="1:3" ht="15">
      <c r="A5" s="80" t="s">
        <v>540</v>
      </c>
      <c r="B5" s="85" t="s">
        <v>267</v>
      </c>
      <c r="C5" s="79">
        <f>VLOOKUP(GroupVertices[[#This Row],[Vertex]],Vertices[],MATCH("ID",Vertices[[#Headers],[Vertex]:[Vertex Content Word Count]],0),FALSE)</f>
        <v>21</v>
      </c>
    </row>
    <row r="6" spans="1:3" ht="15">
      <c r="A6" s="80" t="s">
        <v>540</v>
      </c>
      <c r="B6" s="85" t="s">
        <v>266</v>
      </c>
      <c r="C6" s="79">
        <f>VLOOKUP(GroupVertices[[#This Row],[Vertex]],Vertices[],MATCH("ID",Vertices[[#Headers],[Vertex]:[Vertex Content Word Count]],0),FALSE)</f>
        <v>20</v>
      </c>
    </row>
    <row r="7" spans="1:3" ht="15">
      <c r="A7" s="80" t="s">
        <v>540</v>
      </c>
      <c r="B7" s="85" t="s">
        <v>265</v>
      </c>
      <c r="C7" s="79">
        <f>VLOOKUP(GroupVertices[[#This Row],[Vertex]],Vertices[],MATCH("ID",Vertices[[#Headers],[Vertex]:[Vertex Content Word Count]],0),FALSE)</f>
        <v>19</v>
      </c>
    </row>
    <row r="8" spans="1:3" ht="15">
      <c r="A8" s="80" t="s">
        <v>540</v>
      </c>
      <c r="B8" s="85" t="s">
        <v>264</v>
      </c>
      <c r="C8" s="79">
        <f>VLOOKUP(GroupVertices[[#This Row],[Vertex]],Vertices[],MATCH("ID",Vertices[[#Headers],[Vertex]:[Vertex Content Word Count]],0),FALSE)</f>
        <v>18</v>
      </c>
    </row>
    <row r="9" spans="1:3" ht="15">
      <c r="A9" s="80" t="s">
        <v>540</v>
      </c>
      <c r="B9" s="85" t="s">
        <v>263</v>
      </c>
      <c r="C9" s="79">
        <f>VLOOKUP(GroupVertices[[#This Row],[Vertex]],Vertices[],MATCH("ID",Vertices[[#Headers],[Vertex]:[Vertex Content Word Count]],0),FALSE)</f>
        <v>17</v>
      </c>
    </row>
    <row r="10" spans="1:3" ht="15">
      <c r="A10" s="80" t="s">
        <v>540</v>
      </c>
      <c r="B10" s="85" t="s">
        <v>262</v>
      </c>
      <c r="C10" s="79">
        <f>VLOOKUP(GroupVertices[[#This Row],[Vertex]],Vertices[],MATCH("ID",Vertices[[#Headers],[Vertex]:[Vertex Content Word Count]],0),FALSE)</f>
        <v>16</v>
      </c>
    </row>
    <row r="11" spans="1:3" ht="15">
      <c r="A11" s="80" t="s">
        <v>540</v>
      </c>
      <c r="B11" s="85" t="s">
        <v>261</v>
      </c>
      <c r="C11" s="79">
        <f>VLOOKUP(GroupVertices[[#This Row],[Vertex]],Vertices[],MATCH("ID",Vertices[[#Headers],[Vertex]:[Vertex Content Word Count]],0),FALSE)</f>
        <v>15</v>
      </c>
    </row>
    <row r="12" spans="1:3" ht="15">
      <c r="A12" s="80" t="s">
        <v>540</v>
      </c>
      <c r="B12" s="85" t="s">
        <v>260</v>
      </c>
      <c r="C12" s="79">
        <f>VLOOKUP(GroupVertices[[#This Row],[Vertex]],Vertices[],MATCH("ID",Vertices[[#Headers],[Vertex]:[Vertex Content Word Count]],0),FALSE)</f>
        <v>14</v>
      </c>
    </row>
    <row r="13" spans="1:3" ht="15">
      <c r="A13" s="80" t="s">
        <v>540</v>
      </c>
      <c r="B13" s="85" t="s">
        <v>259</v>
      </c>
      <c r="C13" s="79">
        <f>VLOOKUP(GroupVertices[[#This Row],[Vertex]],Vertices[],MATCH("ID",Vertices[[#Headers],[Vertex]:[Vertex Content Word Count]],0),FALSE)</f>
        <v>13</v>
      </c>
    </row>
    <row r="14" spans="1:3" ht="15">
      <c r="A14" s="80" t="s">
        <v>540</v>
      </c>
      <c r="B14" s="85" t="s">
        <v>254</v>
      </c>
      <c r="C14" s="79">
        <f>VLOOKUP(GroupVertices[[#This Row],[Vertex]],Vertices[],MATCH("ID",Vertices[[#Headers],[Vertex]:[Vertex Content Word Count]],0),FALSE)</f>
        <v>12</v>
      </c>
    </row>
    <row r="15" spans="1:3" ht="15">
      <c r="A15" s="80" t="s">
        <v>540</v>
      </c>
      <c r="B15" s="85" t="s">
        <v>253</v>
      </c>
      <c r="C15" s="79">
        <f>VLOOKUP(GroupVertices[[#This Row],[Vertex]],Vertices[],MATCH("ID",Vertices[[#Headers],[Vertex]:[Vertex Content Word Count]],0),FALSE)</f>
        <v>11</v>
      </c>
    </row>
    <row r="16" spans="1:3" ht="15">
      <c r="A16" s="80" t="s">
        <v>540</v>
      </c>
      <c r="B16" s="85" t="s">
        <v>252</v>
      </c>
      <c r="C16" s="79">
        <f>VLOOKUP(GroupVertices[[#This Row],[Vertex]],Vertices[],MATCH("ID",Vertices[[#Headers],[Vertex]:[Vertex Content Word Count]],0),FALSE)</f>
        <v>10</v>
      </c>
    </row>
    <row r="17" spans="1:3" ht="15">
      <c r="A17" s="80" t="s">
        <v>540</v>
      </c>
      <c r="B17" s="85" t="s">
        <v>251</v>
      </c>
      <c r="C17" s="79">
        <f>VLOOKUP(GroupVertices[[#This Row],[Vertex]],Vertices[],MATCH("ID",Vertices[[#Headers],[Vertex]:[Vertex Content Word Count]],0),FALSE)</f>
        <v>9</v>
      </c>
    </row>
    <row r="18" spans="1:3" ht="15">
      <c r="A18" s="80" t="s">
        <v>540</v>
      </c>
      <c r="B18" s="85" t="s">
        <v>250</v>
      </c>
      <c r="C18" s="79">
        <f>VLOOKUP(GroupVertices[[#This Row],[Vertex]],Vertices[],MATCH("ID",Vertices[[#Headers],[Vertex]:[Vertex Content Word Count]],0),FALSE)</f>
        <v>8</v>
      </c>
    </row>
    <row r="19" spans="1:3" ht="15">
      <c r="A19" s="80" t="s">
        <v>540</v>
      </c>
      <c r="B19" s="85" t="s">
        <v>258</v>
      </c>
      <c r="C19" s="79">
        <f>VLOOKUP(GroupVertices[[#This Row],[Vertex]],Vertices[],MATCH("ID",Vertices[[#Headers],[Vertex]:[Vertex Content Word Count]],0),FALSE)</f>
        <v>3</v>
      </c>
    </row>
    <row r="20" spans="1:3" ht="15">
      <c r="A20" s="80" t="s">
        <v>541</v>
      </c>
      <c r="B20" s="85" t="s">
        <v>255</v>
      </c>
      <c r="C20" s="79">
        <f>VLOOKUP(GroupVertices[[#This Row],[Vertex]],Vertices[],MATCH("ID",Vertices[[#Headers],[Vertex]:[Vertex Content Word Count]],0),FALSE)</f>
        <v>7</v>
      </c>
    </row>
    <row r="21" spans="1:3" ht="15">
      <c r="A21" s="80" t="s">
        <v>541</v>
      </c>
      <c r="B21" s="85" t="s">
        <v>256</v>
      </c>
      <c r="C21" s="79">
        <f>VLOOKUP(GroupVertices[[#This Row],[Vertex]],Vertices[],MATCH("ID",Vertices[[#Headers],[Vertex]:[Vertex Content Word Count]],0),FALSE)</f>
        <v>6</v>
      </c>
    </row>
    <row r="22" spans="1:3" ht="15">
      <c r="A22" s="80" t="s">
        <v>541</v>
      </c>
      <c r="B22" s="85" t="s">
        <v>249</v>
      </c>
      <c r="C22" s="79">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826</v>
      </c>
      <c r="B2" s="32" t="s">
        <v>538</v>
      </c>
      <c r="D2" s="30">
        <f>MIN(Vertices[Degree])</f>
        <v>0</v>
      </c>
      <c r="E2">
        <f>COUNTIF(Vertices[Degree],"&gt;= "&amp;D2)-COUNTIF(Vertices[Degree],"&gt;="&amp;D3)</f>
        <v>0</v>
      </c>
      <c r="F2" s="35">
        <f>MIN(Vertices[In-Degree])</f>
        <v>0</v>
      </c>
      <c r="G2" s="36">
        <f>COUNTIF(Vertices[In-Degree],"&gt;= "&amp;F2)-COUNTIF(Vertices[In-Degree],"&gt;="&amp;F3)</f>
        <v>7</v>
      </c>
      <c r="H2" s="35">
        <f>MIN(Vertices[Out-Degree])</f>
        <v>0</v>
      </c>
      <c r="I2" s="36">
        <f>COUNTIF(Vertices[Out-Degree],"&gt;= "&amp;H2)-COUNTIF(Vertices[Out-Degree],"&gt;="&amp;H3)</f>
        <v>11</v>
      </c>
      <c r="J2" s="35">
        <f>MIN(Vertices[Betweenness Centrality])</f>
        <v>0</v>
      </c>
      <c r="K2" s="36">
        <f>COUNTIF(Vertices[Betweenness Centrality],"&gt;= "&amp;J2)-COUNTIF(Vertices[Betweenness Centrality],"&gt;="&amp;J3)</f>
        <v>20</v>
      </c>
      <c r="L2" s="35">
        <f>MIN(Vertices[Closeness Centrality])</f>
        <v>0.512821</v>
      </c>
      <c r="M2" s="36">
        <f>COUNTIF(Vertices[Closeness Centrality],"&gt;= "&amp;L2)-COUNTIF(Vertices[Closeness Centrality],"&gt;="&amp;L3)</f>
        <v>17</v>
      </c>
      <c r="N2" s="35">
        <f>MIN(Vertices[Eigenvector Centrality])</f>
        <v>0.138688</v>
      </c>
      <c r="O2" s="36">
        <f>COUNTIF(Vertices[Eigenvector Centrality],"&gt;= "&amp;N2)-COUNTIF(Vertices[Eigenvector Centrality],"&gt;="&amp;N3)</f>
        <v>17</v>
      </c>
      <c r="P2" s="35">
        <f>MIN(Vertices[PageRank])</f>
        <v>0.04158</v>
      </c>
      <c r="Q2" s="36">
        <f>COUNTIF(Vertices[PageRank],"&gt;= "&amp;P2)-COUNTIF(Vertices[PageRank],"&gt;="&amp;P3)</f>
        <v>17</v>
      </c>
      <c r="R2" s="35">
        <f>MIN(Vertices[Clustering Coefficient])</f>
        <v>0</v>
      </c>
      <c r="S2" s="41">
        <f>COUNTIF(Vertices[Clustering Coefficient],"&gt;= "&amp;R2)-COUNTIF(Vertices[Clustering Coefficient],"&gt;="&amp;R3)</f>
        <v>18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0.29411764705882354</v>
      </c>
      <c r="G3" s="38">
        <f>COUNTIF(Vertices[In-Degree],"&gt;= "&amp;F3)-COUNTIF(Vertices[In-Degree],"&gt;="&amp;F4)</f>
        <v>0</v>
      </c>
      <c r="H3" s="37">
        <f aca="true" t="shared" si="3" ref="H3:H35">H2+($H$36-$H$2)/BinDivisor</f>
        <v>0.4117647058823529</v>
      </c>
      <c r="I3" s="38">
        <f>COUNTIF(Vertices[Out-Degree],"&gt;= "&amp;H3)-COUNTIF(Vertices[Out-Degree],"&gt;="&amp;H4)</f>
        <v>0</v>
      </c>
      <c r="J3" s="37">
        <f aca="true" t="shared" si="4" ref="J3:J35">J2+($J$36-$J$2)/BinDivisor</f>
        <v>11</v>
      </c>
      <c r="K3" s="38">
        <f>COUNTIF(Vertices[Betweenness Centrality],"&gt;= "&amp;J3)-COUNTIF(Vertices[Betweenness Centrality],"&gt;="&amp;J4)</f>
        <v>0</v>
      </c>
      <c r="L3" s="37">
        <f aca="true" t="shared" si="5" ref="L3:L35">L2+($L$36-$L$2)/BinDivisor</f>
        <v>0.5271497941176471</v>
      </c>
      <c r="M3" s="38">
        <f>COUNTIF(Vertices[Closeness Centrality],"&gt;= "&amp;L3)-COUNTIF(Vertices[Closeness Centrality],"&gt;="&amp;L4)</f>
        <v>3</v>
      </c>
      <c r="N3" s="37">
        <f aca="true" t="shared" si="6" ref="N3:N35">N2+($N$36-$N$2)/BinDivisor</f>
        <v>0.15583385294117647</v>
      </c>
      <c r="O3" s="38">
        <f>COUNTIF(Vertices[Eigenvector Centrality],"&gt;= "&amp;N3)-COUNTIF(Vertices[Eigenvector Centrality],"&gt;="&amp;N4)</f>
        <v>0</v>
      </c>
      <c r="P3" s="37">
        <f aca="true" t="shared" si="7" ref="P3:P35">P2+($P$36-$P$2)/BinDivisor</f>
        <v>0.044902470588235294</v>
      </c>
      <c r="Q3" s="38">
        <f>COUNTIF(Vertices[PageRank],"&gt;= "&amp;P3)-COUNTIF(Vertices[PageRank],"&gt;="&amp;P4)</f>
        <v>3</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21</v>
      </c>
      <c r="D4" s="30">
        <f t="shared" si="1"/>
        <v>0</v>
      </c>
      <c r="E4">
        <f>COUNTIF(Vertices[Degree],"&gt;= "&amp;D4)-COUNTIF(Vertices[Degree],"&gt;="&amp;D5)</f>
        <v>0</v>
      </c>
      <c r="F4" s="35">
        <f t="shared" si="2"/>
        <v>0.5882352941176471</v>
      </c>
      <c r="G4" s="36">
        <f>COUNTIF(Vertices[In-Degree],"&gt;= "&amp;F4)-COUNTIF(Vertices[In-Degree],"&gt;="&amp;F5)</f>
        <v>0</v>
      </c>
      <c r="H4" s="35">
        <f t="shared" si="3"/>
        <v>0.8235294117647058</v>
      </c>
      <c r="I4" s="36">
        <f>COUNTIF(Vertices[Out-Degree],"&gt;= "&amp;H4)-COUNTIF(Vertices[Out-Degree],"&gt;="&amp;H5)</f>
        <v>6</v>
      </c>
      <c r="J4" s="35">
        <f t="shared" si="4"/>
        <v>22</v>
      </c>
      <c r="K4" s="36">
        <f>COUNTIF(Vertices[Betweenness Centrality],"&gt;= "&amp;J4)-COUNTIF(Vertices[Betweenness Centrality],"&gt;="&amp;J5)</f>
        <v>0</v>
      </c>
      <c r="L4" s="35">
        <f t="shared" si="5"/>
        <v>0.5414785882352942</v>
      </c>
      <c r="M4" s="36">
        <f>COUNTIF(Vertices[Closeness Centrality],"&gt;= "&amp;L4)-COUNTIF(Vertices[Closeness Centrality],"&gt;="&amp;L5)</f>
        <v>0</v>
      </c>
      <c r="N4" s="35">
        <f t="shared" si="6"/>
        <v>0.17297970588235292</v>
      </c>
      <c r="O4" s="36">
        <f>COUNTIF(Vertices[Eigenvector Centrality],"&gt;= "&amp;N4)-COUNTIF(Vertices[Eigenvector Centrality],"&gt;="&amp;N5)</f>
        <v>0</v>
      </c>
      <c r="P4" s="35">
        <f t="shared" si="7"/>
        <v>0.04822494117647059</v>
      </c>
      <c r="Q4" s="36">
        <f>COUNTIF(Vertices[PageRank],"&gt;= "&amp;P4)-COUNTIF(Vertices[PageRank],"&gt;="&amp;P5)</f>
        <v>0</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0.8823529411764706</v>
      </c>
      <c r="G5" s="38">
        <f>COUNTIF(Vertices[In-Degree],"&gt;= "&amp;F5)-COUNTIF(Vertices[In-Degree],"&gt;="&amp;F6)</f>
        <v>11</v>
      </c>
      <c r="H5" s="37">
        <f t="shared" si="3"/>
        <v>1.2352941176470589</v>
      </c>
      <c r="I5" s="38">
        <f>COUNTIF(Vertices[Out-Degree],"&gt;= "&amp;H5)-COUNTIF(Vertices[Out-Degree],"&gt;="&amp;H6)</f>
        <v>0</v>
      </c>
      <c r="J5" s="37">
        <f t="shared" si="4"/>
        <v>33</v>
      </c>
      <c r="K5" s="38">
        <f>COUNTIF(Vertices[Betweenness Centrality],"&gt;= "&amp;J5)-COUNTIF(Vertices[Betweenness Centrality],"&gt;="&amp;J6)</f>
        <v>0</v>
      </c>
      <c r="L5" s="37">
        <f t="shared" si="5"/>
        <v>0.5558073823529412</v>
      </c>
      <c r="M5" s="38">
        <f>COUNTIF(Vertices[Closeness Centrality],"&gt;= "&amp;L5)-COUNTIF(Vertices[Closeness Centrality],"&gt;="&amp;L6)</f>
        <v>0</v>
      </c>
      <c r="N5" s="37">
        <f t="shared" si="6"/>
        <v>0.19012555882352938</v>
      </c>
      <c r="O5" s="38">
        <f>COUNTIF(Vertices[Eigenvector Centrality],"&gt;= "&amp;N5)-COUNTIF(Vertices[Eigenvector Centrality],"&gt;="&amp;N6)</f>
        <v>0</v>
      </c>
      <c r="P5" s="37">
        <f t="shared" si="7"/>
        <v>0.05154741176470588</v>
      </c>
      <c r="Q5" s="38">
        <f>COUNTIF(Vertices[PageRank],"&gt;= "&amp;P5)-COUNTIF(Vertices[PageRank],"&gt;="&amp;P6)</f>
        <v>0</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24</v>
      </c>
      <c r="D6" s="30">
        <f t="shared" si="1"/>
        <v>0</v>
      </c>
      <c r="E6">
        <f>COUNTIF(Vertices[Degree],"&gt;= "&amp;D6)-COUNTIF(Vertices[Degree],"&gt;="&amp;D7)</f>
        <v>0</v>
      </c>
      <c r="F6" s="35">
        <f t="shared" si="2"/>
        <v>1.1764705882352942</v>
      </c>
      <c r="G6" s="36">
        <f>COUNTIF(Vertices[In-Degree],"&gt;= "&amp;F6)-COUNTIF(Vertices[In-Degree],"&gt;="&amp;F7)</f>
        <v>0</v>
      </c>
      <c r="H6" s="35">
        <f t="shared" si="3"/>
        <v>1.6470588235294117</v>
      </c>
      <c r="I6" s="36">
        <f>COUNTIF(Vertices[Out-Degree],"&gt;= "&amp;H6)-COUNTIF(Vertices[Out-Degree],"&gt;="&amp;H7)</f>
        <v>2</v>
      </c>
      <c r="J6" s="35">
        <f t="shared" si="4"/>
        <v>44</v>
      </c>
      <c r="K6" s="36">
        <f>COUNTIF(Vertices[Betweenness Centrality],"&gt;= "&amp;J6)-COUNTIF(Vertices[Betweenness Centrality],"&gt;="&amp;J7)</f>
        <v>0</v>
      </c>
      <c r="L6" s="35">
        <f t="shared" si="5"/>
        <v>0.5701361764705883</v>
      </c>
      <c r="M6" s="36">
        <f>COUNTIF(Vertices[Closeness Centrality],"&gt;= "&amp;L6)-COUNTIF(Vertices[Closeness Centrality],"&gt;="&amp;L7)</f>
        <v>0</v>
      </c>
      <c r="N6" s="35">
        <f t="shared" si="6"/>
        <v>0.20727141176470584</v>
      </c>
      <c r="O6" s="36">
        <f>COUNTIF(Vertices[Eigenvector Centrality],"&gt;= "&amp;N6)-COUNTIF(Vertices[Eigenvector Centrality],"&gt;="&amp;N7)</f>
        <v>0</v>
      </c>
      <c r="P6" s="35">
        <f t="shared" si="7"/>
        <v>0.05486988235294118</v>
      </c>
      <c r="Q6" s="36">
        <f>COUNTIF(Vertices[PageRank],"&gt;= "&amp;P6)-COUNTIF(Vertices[PageRank],"&gt;="&amp;P7)</f>
        <v>0</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32</v>
      </c>
      <c r="D7" s="30">
        <f t="shared" si="1"/>
        <v>0</v>
      </c>
      <c r="E7">
        <f>COUNTIF(Vertices[Degree],"&gt;= "&amp;D7)-COUNTIF(Vertices[Degree],"&gt;="&amp;D8)</f>
        <v>0</v>
      </c>
      <c r="F7" s="37">
        <f t="shared" si="2"/>
        <v>1.4705882352941178</v>
      </c>
      <c r="G7" s="38">
        <f>COUNTIF(Vertices[In-Degree],"&gt;= "&amp;F7)-COUNTIF(Vertices[In-Degree],"&gt;="&amp;F8)</f>
        <v>0</v>
      </c>
      <c r="H7" s="37">
        <f t="shared" si="3"/>
        <v>2.0588235294117645</v>
      </c>
      <c r="I7" s="38">
        <f>COUNTIF(Vertices[Out-Degree],"&gt;= "&amp;H7)-COUNTIF(Vertices[Out-Degree],"&gt;="&amp;H8)</f>
        <v>0</v>
      </c>
      <c r="J7" s="37">
        <f t="shared" si="4"/>
        <v>55</v>
      </c>
      <c r="K7" s="38">
        <f>COUNTIF(Vertices[Betweenness Centrality],"&gt;= "&amp;J7)-COUNTIF(Vertices[Betweenness Centrality],"&gt;="&amp;J8)</f>
        <v>0</v>
      </c>
      <c r="L7" s="37">
        <f t="shared" si="5"/>
        <v>0.5844649705882354</v>
      </c>
      <c r="M7" s="38">
        <f>COUNTIF(Vertices[Closeness Centrality],"&gt;= "&amp;L7)-COUNTIF(Vertices[Closeness Centrality],"&gt;="&amp;L8)</f>
        <v>0</v>
      </c>
      <c r="N7" s="37">
        <f t="shared" si="6"/>
        <v>0.2244172647058823</v>
      </c>
      <c r="O7" s="38">
        <f>COUNTIF(Vertices[Eigenvector Centrality],"&gt;= "&amp;N7)-COUNTIF(Vertices[Eigenvector Centrality],"&gt;="&amp;N8)</f>
        <v>3</v>
      </c>
      <c r="P7" s="37">
        <f t="shared" si="7"/>
        <v>0.05819235294117647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56</v>
      </c>
      <c r="D8" s="30">
        <f t="shared" si="1"/>
        <v>0</v>
      </c>
      <c r="E8">
        <f>COUNTIF(Vertices[Degree],"&gt;= "&amp;D8)-COUNTIF(Vertices[Degree],"&gt;="&amp;D9)</f>
        <v>0</v>
      </c>
      <c r="F8" s="35">
        <f t="shared" si="2"/>
        <v>1.7647058823529413</v>
      </c>
      <c r="G8" s="36">
        <f>COUNTIF(Vertices[In-Degree],"&gt;= "&amp;F8)-COUNTIF(Vertices[In-Degree],"&gt;="&amp;F9)</f>
        <v>0</v>
      </c>
      <c r="H8" s="35">
        <f t="shared" si="3"/>
        <v>2.4705882352941173</v>
      </c>
      <c r="I8" s="36">
        <f>COUNTIF(Vertices[Out-Degree],"&gt;= "&amp;H8)-COUNTIF(Vertices[Out-Degree],"&gt;="&amp;H9)</f>
        <v>0</v>
      </c>
      <c r="J8" s="35">
        <f t="shared" si="4"/>
        <v>66</v>
      </c>
      <c r="K8" s="36">
        <f>COUNTIF(Vertices[Betweenness Centrality],"&gt;= "&amp;J8)-COUNTIF(Vertices[Betweenness Centrality],"&gt;="&amp;J9)</f>
        <v>0</v>
      </c>
      <c r="L8" s="35">
        <f t="shared" si="5"/>
        <v>0.5987937647058825</v>
      </c>
      <c r="M8" s="36">
        <f>COUNTIF(Vertices[Closeness Centrality],"&gt;= "&amp;L8)-COUNTIF(Vertices[Closeness Centrality],"&gt;="&amp;L9)</f>
        <v>0</v>
      </c>
      <c r="N8" s="35">
        <f t="shared" si="6"/>
        <v>0.24156311764705876</v>
      </c>
      <c r="O8" s="36">
        <f>COUNTIF(Vertices[Eigenvector Centrality],"&gt;= "&amp;N8)-COUNTIF(Vertices[Eigenvector Centrality],"&gt;="&amp;N9)</f>
        <v>0</v>
      </c>
      <c r="P8" s="35">
        <f t="shared" si="7"/>
        <v>0.06151482352941177</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2.058823529411765</v>
      </c>
      <c r="G9" s="38">
        <f>COUNTIF(Vertices[In-Degree],"&gt;= "&amp;F9)-COUNTIF(Vertices[In-Degree],"&gt;="&amp;F10)</f>
        <v>0</v>
      </c>
      <c r="H9" s="37">
        <f t="shared" si="3"/>
        <v>2.88235294117647</v>
      </c>
      <c r="I9" s="38">
        <f>COUNTIF(Vertices[Out-Degree],"&gt;= "&amp;H9)-COUNTIF(Vertices[Out-Degree],"&gt;="&amp;H10)</f>
        <v>1</v>
      </c>
      <c r="J9" s="37">
        <f t="shared" si="4"/>
        <v>77</v>
      </c>
      <c r="K9" s="38">
        <f>COUNTIF(Vertices[Betweenness Centrality],"&gt;= "&amp;J9)-COUNTIF(Vertices[Betweenness Centrality],"&gt;="&amp;J10)</f>
        <v>0</v>
      </c>
      <c r="L9" s="37">
        <f t="shared" si="5"/>
        <v>0.6131225588235296</v>
      </c>
      <c r="M9" s="38">
        <f>COUNTIF(Vertices[Closeness Centrality],"&gt;= "&amp;L9)-COUNTIF(Vertices[Closeness Centrality],"&gt;="&amp;L10)</f>
        <v>0</v>
      </c>
      <c r="N9" s="37">
        <f t="shared" si="6"/>
        <v>0.2587089705882352</v>
      </c>
      <c r="O9" s="38">
        <f>COUNTIF(Vertices[Eigenvector Centrality],"&gt;= "&amp;N9)-COUNTIF(Vertices[Eigenvector Centrality],"&gt;="&amp;N10)</f>
        <v>0</v>
      </c>
      <c r="P9" s="37">
        <f t="shared" si="7"/>
        <v>0.06483729411764706</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827</v>
      </c>
      <c r="B10" s="32">
        <v>4</v>
      </c>
      <c r="D10" s="30">
        <f t="shared" si="1"/>
        <v>0</v>
      </c>
      <c r="E10">
        <f>COUNTIF(Vertices[Degree],"&gt;= "&amp;D10)-COUNTIF(Vertices[Degree],"&gt;="&amp;D11)</f>
        <v>0</v>
      </c>
      <c r="F10" s="35">
        <f t="shared" si="2"/>
        <v>2.3529411764705883</v>
      </c>
      <c r="G10" s="36">
        <f>COUNTIF(Vertices[In-Degree],"&gt;= "&amp;F10)-COUNTIF(Vertices[In-Degree],"&gt;="&amp;F11)</f>
        <v>0</v>
      </c>
      <c r="H10" s="35">
        <f t="shared" si="3"/>
        <v>3.294117647058823</v>
      </c>
      <c r="I10" s="36">
        <f>COUNTIF(Vertices[Out-Degree],"&gt;= "&amp;H10)-COUNTIF(Vertices[Out-Degree],"&gt;="&amp;H11)</f>
        <v>0</v>
      </c>
      <c r="J10" s="35">
        <f t="shared" si="4"/>
        <v>88</v>
      </c>
      <c r="K10" s="36">
        <f>COUNTIF(Vertices[Betweenness Centrality],"&gt;= "&amp;J10)-COUNTIF(Vertices[Betweenness Centrality],"&gt;="&amp;J11)</f>
        <v>0</v>
      </c>
      <c r="L10" s="35">
        <f t="shared" si="5"/>
        <v>0.6274513529411767</v>
      </c>
      <c r="M10" s="36">
        <f>COUNTIF(Vertices[Closeness Centrality],"&gt;= "&amp;L10)-COUNTIF(Vertices[Closeness Centrality],"&gt;="&amp;L11)</f>
        <v>0</v>
      </c>
      <c r="N10" s="35">
        <f t="shared" si="6"/>
        <v>0.2758548235294117</v>
      </c>
      <c r="O10" s="36">
        <f>COUNTIF(Vertices[Eigenvector Centrality],"&gt;= "&amp;N10)-COUNTIF(Vertices[Eigenvector Centrality],"&gt;="&amp;N11)</f>
        <v>0</v>
      </c>
      <c r="P10" s="35">
        <f t="shared" si="7"/>
        <v>0.06815976470588235</v>
      </c>
      <c r="Q10" s="36">
        <f>COUNTIF(Vertices[PageRank],"&gt;= "&amp;P10)-COUNTIF(Vertices[PageRank],"&gt;="&amp;P11)</f>
        <v>0</v>
      </c>
      <c r="R10" s="35">
        <f t="shared" si="8"/>
        <v>0.23529411764705885</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2.6470588235294117</v>
      </c>
      <c r="G11" s="38">
        <f>COUNTIF(Vertices[In-Degree],"&gt;= "&amp;F11)-COUNTIF(Vertices[In-Degree],"&gt;="&amp;F12)</f>
        <v>0</v>
      </c>
      <c r="H11" s="37">
        <f t="shared" si="3"/>
        <v>3.7058823529411757</v>
      </c>
      <c r="I11" s="38">
        <f>COUNTIF(Vertices[Out-Degree],"&gt;= "&amp;H11)-COUNTIF(Vertices[Out-Degree],"&gt;="&amp;H12)</f>
        <v>0</v>
      </c>
      <c r="J11" s="37">
        <f t="shared" si="4"/>
        <v>99</v>
      </c>
      <c r="K11" s="38">
        <f>COUNTIF(Vertices[Betweenness Centrality],"&gt;= "&amp;J11)-COUNTIF(Vertices[Betweenness Centrality],"&gt;="&amp;J12)</f>
        <v>0</v>
      </c>
      <c r="L11" s="37">
        <f t="shared" si="5"/>
        <v>0.6417801470588238</v>
      </c>
      <c r="M11" s="38">
        <f>COUNTIF(Vertices[Closeness Centrality],"&gt;= "&amp;L11)-COUNTIF(Vertices[Closeness Centrality],"&gt;="&amp;L12)</f>
        <v>0</v>
      </c>
      <c r="N11" s="37">
        <f t="shared" si="6"/>
        <v>0.2930006764705882</v>
      </c>
      <c r="O11" s="38">
        <f>COUNTIF(Vertices[Eigenvector Centrality],"&gt;= "&amp;N11)-COUNTIF(Vertices[Eigenvector Centrality],"&gt;="&amp;N12)</f>
        <v>0</v>
      </c>
      <c r="P11" s="37">
        <f t="shared" si="7"/>
        <v>0.07148223529411764</v>
      </c>
      <c r="Q11" s="38">
        <f>COUNTIF(Vertices[PageRank],"&gt;= "&amp;P11)-COUNTIF(Vertices[PageRank],"&gt;="&amp;P12)</f>
        <v>0</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272</v>
      </c>
      <c r="B12" s="32">
        <v>13</v>
      </c>
      <c r="D12" s="30">
        <f t="shared" si="1"/>
        <v>0</v>
      </c>
      <c r="E12">
        <f>COUNTIF(Vertices[Degree],"&gt;= "&amp;D12)-COUNTIF(Vertices[Degree],"&gt;="&amp;D13)</f>
        <v>0</v>
      </c>
      <c r="F12" s="35">
        <f t="shared" si="2"/>
        <v>2.941176470588235</v>
      </c>
      <c r="G12" s="36">
        <f>COUNTIF(Vertices[In-Degree],"&gt;= "&amp;F12)-COUNTIF(Vertices[In-Degree],"&gt;="&amp;F13)</f>
        <v>2</v>
      </c>
      <c r="H12" s="35">
        <f t="shared" si="3"/>
        <v>4.117647058823529</v>
      </c>
      <c r="I12" s="36">
        <f>COUNTIF(Vertices[Out-Degree],"&gt;= "&amp;H12)-COUNTIF(Vertices[Out-Degree],"&gt;="&amp;H13)</f>
        <v>0</v>
      </c>
      <c r="J12" s="35">
        <f t="shared" si="4"/>
        <v>110</v>
      </c>
      <c r="K12" s="36">
        <f>COUNTIF(Vertices[Betweenness Centrality],"&gt;= "&amp;J12)-COUNTIF(Vertices[Betweenness Centrality],"&gt;="&amp;J13)</f>
        <v>0</v>
      </c>
      <c r="L12" s="35">
        <f t="shared" si="5"/>
        <v>0.6561089411764709</v>
      </c>
      <c r="M12" s="36">
        <f>COUNTIF(Vertices[Closeness Centrality],"&gt;= "&amp;L12)-COUNTIF(Vertices[Closeness Centrality],"&gt;="&amp;L13)</f>
        <v>0</v>
      </c>
      <c r="N12" s="35">
        <f t="shared" si="6"/>
        <v>0.3101465294117647</v>
      </c>
      <c r="O12" s="36">
        <f>COUNTIF(Vertices[Eigenvector Centrality],"&gt;= "&amp;N12)-COUNTIF(Vertices[Eigenvector Centrality],"&gt;="&amp;N13)</f>
        <v>0</v>
      </c>
      <c r="P12" s="35">
        <f t="shared" si="7"/>
        <v>0.07480470588235293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271</v>
      </c>
      <c r="B13" s="32">
        <v>11</v>
      </c>
      <c r="D13" s="30">
        <f t="shared" si="1"/>
        <v>0</v>
      </c>
      <c r="E13">
        <f>COUNTIF(Vertices[Degree],"&gt;= "&amp;D13)-COUNTIF(Vertices[Degree],"&gt;="&amp;D14)</f>
        <v>0</v>
      </c>
      <c r="F13" s="37">
        <f t="shared" si="2"/>
        <v>3.2352941176470584</v>
      </c>
      <c r="G13" s="38">
        <f>COUNTIF(Vertices[In-Degree],"&gt;= "&amp;F13)-COUNTIF(Vertices[In-Degree],"&gt;="&amp;F14)</f>
        <v>0</v>
      </c>
      <c r="H13" s="37">
        <f t="shared" si="3"/>
        <v>4.529411764705882</v>
      </c>
      <c r="I13" s="38">
        <f>COUNTIF(Vertices[Out-Degree],"&gt;= "&amp;H13)-COUNTIF(Vertices[Out-Degree],"&gt;="&amp;H14)</f>
        <v>0</v>
      </c>
      <c r="J13" s="37">
        <f t="shared" si="4"/>
        <v>121</v>
      </c>
      <c r="K13" s="38">
        <f>COUNTIF(Vertices[Betweenness Centrality],"&gt;= "&amp;J13)-COUNTIF(Vertices[Betweenness Centrality],"&gt;="&amp;J14)</f>
        <v>0</v>
      </c>
      <c r="L13" s="37">
        <f t="shared" si="5"/>
        <v>0.670437735294118</v>
      </c>
      <c r="M13" s="38">
        <f>COUNTIF(Vertices[Closeness Centrality],"&gt;= "&amp;L13)-COUNTIF(Vertices[Closeness Centrality],"&gt;="&amp;L14)</f>
        <v>0</v>
      </c>
      <c r="N13" s="37">
        <f t="shared" si="6"/>
        <v>0.32729238235294117</v>
      </c>
      <c r="O13" s="38">
        <f>COUNTIF(Vertices[Eigenvector Centrality],"&gt;= "&amp;N13)-COUNTIF(Vertices[Eigenvector Centrality],"&gt;="&amp;N14)</f>
        <v>0</v>
      </c>
      <c r="P13" s="37">
        <f t="shared" si="7"/>
        <v>0.07812717647058821</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270</v>
      </c>
      <c r="B14" s="32">
        <v>4</v>
      </c>
      <c r="D14" s="30">
        <f t="shared" si="1"/>
        <v>0</v>
      </c>
      <c r="E14">
        <f>COUNTIF(Vertices[Degree],"&gt;= "&amp;D14)-COUNTIF(Vertices[Degree],"&gt;="&amp;D15)</f>
        <v>0</v>
      </c>
      <c r="F14" s="35">
        <f t="shared" si="2"/>
        <v>3.529411764705882</v>
      </c>
      <c r="G14" s="36">
        <f>COUNTIF(Vertices[In-Degree],"&gt;= "&amp;F14)-COUNTIF(Vertices[In-Degree],"&gt;="&amp;F15)</f>
        <v>0</v>
      </c>
      <c r="H14" s="35">
        <f t="shared" si="3"/>
        <v>4.9411764705882355</v>
      </c>
      <c r="I14" s="36">
        <f>COUNTIF(Vertices[Out-Degree],"&gt;= "&amp;H14)-COUNTIF(Vertices[Out-Degree],"&gt;="&amp;H15)</f>
        <v>0</v>
      </c>
      <c r="J14" s="35">
        <f t="shared" si="4"/>
        <v>132</v>
      </c>
      <c r="K14" s="36">
        <f>COUNTIF(Vertices[Betweenness Centrality],"&gt;= "&amp;J14)-COUNTIF(Vertices[Betweenness Centrality],"&gt;="&amp;J15)</f>
        <v>0</v>
      </c>
      <c r="L14" s="35">
        <f t="shared" si="5"/>
        <v>0.6847665294117651</v>
      </c>
      <c r="M14" s="36">
        <f>COUNTIF(Vertices[Closeness Centrality],"&gt;= "&amp;L14)-COUNTIF(Vertices[Closeness Centrality],"&gt;="&amp;L15)</f>
        <v>0</v>
      </c>
      <c r="N14" s="35">
        <f t="shared" si="6"/>
        <v>0.34443823529411766</v>
      </c>
      <c r="O14" s="36">
        <f>COUNTIF(Vertices[Eigenvector Centrality],"&gt;= "&amp;N14)-COUNTIF(Vertices[Eigenvector Centrality],"&gt;="&amp;N15)</f>
        <v>0</v>
      </c>
      <c r="P14" s="35">
        <f t="shared" si="7"/>
        <v>0.0814496470588235</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211</v>
      </c>
      <c r="B15" s="32">
        <v>28</v>
      </c>
      <c r="D15" s="30">
        <f t="shared" si="1"/>
        <v>0</v>
      </c>
      <c r="E15">
        <f>COUNTIF(Vertices[Degree],"&gt;= "&amp;D15)-COUNTIF(Vertices[Degree],"&gt;="&amp;D16)</f>
        <v>0</v>
      </c>
      <c r="F15" s="37">
        <f t="shared" si="2"/>
        <v>3.823529411764705</v>
      </c>
      <c r="G15" s="38">
        <f>COUNTIF(Vertices[In-Degree],"&gt;= "&amp;F15)-COUNTIF(Vertices[In-Degree],"&gt;="&amp;F16)</f>
        <v>0</v>
      </c>
      <c r="H15" s="37">
        <f t="shared" si="3"/>
        <v>5.352941176470589</v>
      </c>
      <c r="I15" s="38">
        <f>COUNTIF(Vertices[Out-Degree],"&gt;= "&amp;H15)-COUNTIF(Vertices[Out-Degree],"&gt;="&amp;H16)</f>
        <v>0</v>
      </c>
      <c r="J15" s="37">
        <f t="shared" si="4"/>
        <v>143</v>
      </c>
      <c r="K15" s="38">
        <f>COUNTIF(Vertices[Betweenness Centrality],"&gt;= "&amp;J15)-COUNTIF(Vertices[Betweenness Centrality],"&gt;="&amp;J16)</f>
        <v>0</v>
      </c>
      <c r="L15" s="37">
        <f t="shared" si="5"/>
        <v>0.6990953235294122</v>
      </c>
      <c r="M15" s="38">
        <f>COUNTIF(Vertices[Closeness Centrality],"&gt;= "&amp;L15)-COUNTIF(Vertices[Closeness Centrality],"&gt;="&amp;L16)</f>
        <v>0</v>
      </c>
      <c r="N15" s="37">
        <f t="shared" si="6"/>
        <v>0.36158408823529414</v>
      </c>
      <c r="O15" s="38">
        <f>COUNTIF(Vertices[Eigenvector Centrality],"&gt;= "&amp;N15)-COUNTIF(Vertices[Eigenvector Centrality],"&gt;="&amp;N16)</f>
        <v>0</v>
      </c>
      <c r="P15" s="37">
        <f t="shared" si="7"/>
        <v>0.08477211764705879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125"/>
      <c r="B16" s="125"/>
      <c r="D16" s="30">
        <f t="shared" si="1"/>
        <v>0</v>
      </c>
      <c r="E16">
        <f>COUNTIF(Vertices[Degree],"&gt;= "&amp;D16)-COUNTIF(Vertices[Degree],"&gt;="&amp;D17)</f>
        <v>0</v>
      </c>
      <c r="F16" s="35">
        <f t="shared" si="2"/>
        <v>4.117647058823529</v>
      </c>
      <c r="G16" s="36">
        <f>COUNTIF(Vertices[In-Degree],"&gt;= "&amp;F16)-COUNTIF(Vertices[In-Degree],"&gt;="&amp;F17)</f>
        <v>0</v>
      </c>
      <c r="H16" s="35">
        <f t="shared" si="3"/>
        <v>5.764705882352942</v>
      </c>
      <c r="I16" s="36">
        <f>COUNTIF(Vertices[Out-Degree],"&gt;= "&amp;H16)-COUNTIF(Vertices[Out-Degree],"&gt;="&amp;H17)</f>
        <v>0</v>
      </c>
      <c r="J16" s="35">
        <f t="shared" si="4"/>
        <v>154</v>
      </c>
      <c r="K16" s="36">
        <f>COUNTIF(Vertices[Betweenness Centrality],"&gt;= "&amp;J16)-COUNTIF(Vertices[Betweenness Centrality],"&gt;="&amp;J17)</f>
        <v>0</v>
      </c>
      <c r="L16" s="35">
        <f t="shared" si="5"/>
        <v>0.7134241176470593</v>
      </c>
      <c r="M16" s="36">
        <f>COUNTIF(Vertices[Closeness Centrality],"&gt;= "&amp;L16)-COUNTIF(Vertices[Closeness Centrality],"&gt;="&amp;L17)</f>
        <v>0</v>
      </c>
      <c r="N16" s="35">
        <f t="shared" si="6"/>
        <v>0.37872994117647063</v>
      </c>
      <c r="O16" s="36">
        <f>COUNTIF(Vertices[Eigenvector Centrality],"&gt;= "&amp;N16)-COUNTIF(Vertices[Eigenvector Centrality],"&gt;="&amp;N17)</f>
        <v>0</v>
      </c>
      <c r="P16" s="35">
        <f t="shared" si="7"/>
        <v>0.08809458823529408</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151</v>
      </c>
      <c r="B17" s="32">
        <v>28</v>
      </c>
      <c r="D17" s="30">
        <f t="shared" si="1"/>
        <v>0</v>
      </c>
      <c r="E17">
        <f>COUNTIF(Vertices[Degree],"&gt;= "&amp;D17)-COUNTIF(Vertices[Degree],"&gt;="&amp;D18)</f>
        <v>0</v>
      </c>
      <c r="F17" s="37">
        <f t="shared" si="2"/>
        <v>4.411764705882352</v>
      </c>
      <c r="G17" s="38">
        <f>COUNTIF(Vertices[In-Degree],"&gt;= "&amp;F17)-COUNTIF(Vertices[In-Degree],"&gt;="&amp;F18)</f>
        <v>0</v>
      </c>
      <c r="H17" s="37">
        <f t="shared" si="3"/>
        <v>6.176470588235295</v>
      </c>
      <c r="I17" s="38">
        <f>COUNTIF(Vertices[Out-Degree],"&gt;= "&amp;H17)-COUNTIF(Vertices[Out-Degree],"&gt;="&amp;H18)</f>
        <v>0</v>
      </c>
      <c r="J17" s="37">
        <f t="shared" si="4"/>
        <v>165</v>
      </c>
      <c r="K17" s="38">
        <f>COUNTIF(Vertices[Betweenness Centrality],"&gt;= "&amp;J17)-COUNTIF(Vertices[Betweenness Centrality],"&gt;="&amp;J18)</f>
        <v>0</v>
      </c>
      <c r="L17" s="37">
        <f t="shared" si="5"/>
        <v>0.7277529117647064</v>
      </c>
      <c r="M17" s="38">
        <f>COUNTIF(Vertices[Closeness Centrality],"&gt;= "&amp;L17)-COUNTIF(Vertices[Closeness Centrality],"&gt;="&amp;L18)</f>
        <v>0</v>
      </c>
      <c r="N17" s="37">
        <f t="shared" si="6"/>
        <v>0.3958757941176471</v>
      </c>
      <c r="O17" s="38">
        <f>COUNTIF(Vertices[Eigenvector Centrality],"&gt;= "&amp;N17)-COUNTIF(Vertices[Eigenvector Centrality],"&gt;="&amp;N18)</f>
        <v>0</v>
      </c>
      <c r="P17" s="37">
        <f t="shared" si="7"/>
        <v>0.09141705882352937</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4.705882352941176</v>
      </c>
      <c r="G18" s="36">
        <f>COUNTIF(Vertices[In-Degree],"&gt;= "&amp;F18)-COUNTIF(Vertices[In-Degree],"&gt;="&amp;F19)</f>
        <v>0</v>
      </c>
      <c r="H18" s="35">
        <f t="shared" si="3"/>
        <v>6.5882352941176485</v>
      </c>
      <c r="I18" s="36">
        <f>COUNTIF(Vertices[Out-Degree],"&gt;= "&amp;H18)-COUNTIF(Vertices[Out-Degree],"&gt;="&amp;H19)</f>
        <v>0</v>
      </c>
      <c r="J18" s="35">
        <f t="shared" si="4"/>
        <v>176</v>
      </c>
      <c r="K18" s="36">
        <f>COUNTIF(Vertices[Betweenness Centrality],"&gt;= "&amp;J18)-COUNTIF(Vertices[Betweenness Centrality],"&gt;="&amp;J19)</f>
        <v>0</v>
      </c>
      <c r="L18" s="35">
        <f t="shared" si="5"/>
        <v>0.7420817058823534</v>
      </c>
      <c r="M18" s="36">
        <f>COUNTIF(Vertices[Closeness Centrality],"&gt;= "&amp;L18)-COUNTIF(Vertices[Closeness Centrality],"&gt;="&amp;L19)</f>
        <v>0</v>
      </c>
      <c r="N18" s="35">
        <f t="shared" si="6"/>
        <v>0.4130216470588236</v>
      </c>
      <c r="O18" s="36">
        <f>COUNTIF(Vertices[Eigenvector Centrality],"&gt;= "&amp;N18)-COUNTIF(Vertices[Eigenvector Centrality],"&gt;="&amp;N19)</f>
        <v>0</v>
      </c>
      <c r="P18" s="35">
        <f t="shared" si="7"/>
        <v>0.09473952941176465</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170</v>
      </c>
      <c r="B19" s="32">
        <v>0.13043478260869565</v>
      </c>
      <c r="D19" s="30">
        <f t="shared" si="1"/>
        <v>0</v>
      </c>
      <c r="E19">
        <f>COUNTIF(Vertices[Degree],"&gt;= "&amp;D19)-COUNTIF(Vertices[Degree],"&gt;="&amp;D20)</f>
        <v>0</v>
      </c>
      <c r="F19" s="37">
        <f t="shared" si="2"/>
        <v>4.999999999999999</v>
      </c>
      <c r="G19" s="38">
        <f>COUNTIF(Vertices[In-Degree],"&gt;= "&amp;F19)-COUNTIF(Vertices[In-Degree],"&gt;="&amp;F20)</f>
        <v>0</v>
      </c>
      <c r="H19" s="37">
        <f t="shared" si="3"/>
        <v>7.000000000000002</v>
      </c>
      <c r="I19" s="38">
        <f>COUNTIF(Vertices[Out-Degree],"&gt;= "&amp;H19)-COUNTIF(Vertices[Out-Degree],"&gt;="&amp;H20)</f>
        <v>0</v>
      </c>
      <c r="J19" s="37">
        <f t="shared" si="4"/>
        <v>187</v>
      </c>
      <c r="K19" s="38">
        <f>COUNTIF(Vertices[Betweenness Centrality],"&gt;= "&amp;J19)-COUNTIF(Vertices[Betweenness Centrality],"&gt;="&amp;J20)</f>
        <v>0</v>
      </c>
      <c r="L19" s="37">
        <f t="shared" si="5"/>
        <v>0.7564105000000005</v>
      </c>
      <c r="M19" s="38">
        <f>COUNTIF(Vertices[Closeness Centrality],"&gt;= "&amp;L19)-COUNTIF(Vertices[Closeness Centrality],"&gt;="&amp;L20)</f>
        <v>0</v>
      </c>
      <c r="N19" s="37">
        <f t="shared" si="6"/>
        <v>0.4301675000000001</v>
      </c>
      <c r="O19" s="38">
        <f>COUNTIF(Vertices[Eigenvector Centrality],"&gt;= "&amp;N19)-COUNTIF(Vertices[Eigenvector Centrality],"&gt;="&amp;N20)</f>
        <v>0</v>
      </c>
      <c r="P19" s="37">
        <f t="shared" si="7"/>
        <v>0.09806199999999994</v>
      </c>
      <c r="Q19" s="38">
        <f>COUNTIF(Vertices[PageRank],"&gt;= "&amp;P19)-COUNTIF(Vertices[PageRank],"&gt;="&amp;P20)</f>
        <v>0</v>
      </c>
      <c r="R19" s="37">
        <f t="shared" si="8"/>
        <v>0.5</v>
      </c>
      <c r="S19" s="42">
        <f>COUNTIF(Vertices[Clustering Coefficient],"&gt;= "&amp;R19)-COUNTIF(Vertices[Clustering Coefficient],"&gt;="&amp;R20)</f>
        <v>0</v>
      </c>
      <c r="T19" s="37" t="e">
        <f ca="1" t="shared" si="9"/>
        <v>#REF!</v>
      </c>
      <c r="U19" s="38" t="e">
        <f ca="1" t="shared" si="0"/>
        <v>#REF!</v>
      </c>
    </row>
    <row r="20" spans="1:21" ht="15">
      <c r="A20" s="32" t="s">
        <v>171</v>
      </c>
      <c r="B20" s="32">
        <v>0.23076923076923078</v>
      </c>
      <c r="D20" s="30">
        <f t="shared" si="1"/>
        <v>0</v>
      </c>
      <c r="E20">
        <f>COUNTIF(Vertices[Degree],"&gt;= "&amp;D20)-COUNTIF(Vertices[Degree],"&gt;="&amp;D21)</f>
        <v>0</v>
      </c>
      <c r="F20" s="35">
        <f t="shared" si="2"/>
        <v>5.2941176470588225</v>
      </c>
      <c r="G20" s="36">
        <f>COUNTIF(Vertices[In-Degree],"&gt;= "&amp;F20)-COUNTIF(Vertices[In-Degree],"&gt;="&amp;F21)</f>
        <v>0</v>
      </c>
      <c r="H20" s="35">
        <f t="shared" si="3"/>
        <v>7.411764705882355</v>
      </c>
      <c r="I20" s="36">
        <f>COUNTIF(Vertices[Out-Degree],"&gt;= "&amp;H20)-COUNTIF(Vertices[Out-Degree],"&gt;="&amp;H21)</f>
        <v>0</v>
      </c>
      <c r="J20" s="35">
        <f t="shared" si="4"/>
        <v>198</v>
      </c>
      <c r="K20" s="36">
        <f>COUNTIF(Vertices[Betweenness Centrality],"&gt;= "&amp;J20)-COUNTIF(Vertices[Betweenness Centrality],"&gt;="&amp;J21)</f>
        <v>0</v>
      </c>
      <c r="L20" s="35">
        <f t="shared" si="5"/>
        <v>0.7707392941176476</v>
      </c>
      <c r="M20" s="36">
        <f>COUNTIF(Vertices[Closeness Centrality],"&gt;= "&amp;L20)-COUNTIF(Vertices[Closeness Centrality],"&gt;="&amp;L21)</f>
        <v>0</v>
      </c>
      <c r="N20" s="35">
        <f t="shared" si="6"/>
        <v>0.4473133529411766</v>
      </c>
      <c r="O20" s="36">
        <f>COUNTIF(Vertices[Eigenvector Centrality],"&gt;= "&amp;N20)-COUNTIF(Vertices[Eigenvector Centrality],"&gt;="&amp;N21)</f>
        <v>0</v>
      </c>
      <c r="P20" s="35">
        <f t="shared" si="7"/>
        <v>0.10138447058823523</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125"/>
      <c r="B21" s="125"/>
      <c r="D21" s="30">
        <f t="shared" si="1"/>
        <v>0</v>
      </c>
      <c r="E21">
        <f>COUNTIF(Vertices[Degree],"&gt;= "&amp;D21)-COUNTIF(Vertices[Degree],"&gt;="&amp;D22)</f>
        <v>0</v>
      </c>
      <c r="F21" s="37">
        <f t="shared" si="2"/>
        <v>5.588235294117646</v>
      </c>
      <c r="G21" s="38">
        <f>COUNTIF(Vertices[In-Degree],"&gt;= "&amp;F21)-COUNTIF(Vertices[In-Degree],"&gt;="&amp;F22)</f>
        <v>0</v>
      </c>
      <c r="H21" s="37">
        <f t="shared" si="3"/>
        <v>7.823529411764708</v>
      </c>
      <c r="I21" s="38">
        <f>COUNTIF(Vertices[Out-Degree],"&gt;= "&amp;H21)-COUNTIF(Vertices[Out-Degree],"&gt;="&amp;H22)</f>
        <v>0</v>
      </c>
      <c r="J21" s="37">
        <f t="shared" si="4"/>
        <v>209</v>
      </c>
      <c r="K21" s="38">
        <f>COUNTIF(Vertices[Betweenness Centrality],"&gt;= "&amp;J21)-COUNTIF(Vertices[Betweenness Centrality],"&gt;="&amp;J22)</f>
        <v>0</v>
      </c>
      <c r="L21" s="37">
        <f t="shared" si="5"/>
        <v>0.7850680882352947</v>
      </c>
      <c r="M21" s="38">
        <f>COUNTIF(Vertices[Closeness Centrality],"&gt;= "&amp;L21)-COUNTIF(Vertices[Closeness Centrality],"&gt;="&amp;L22)</f>
        <v>0</v>
      </c>
      <c r="N21" s="37">
        <f t="shared" si="6"/>
        <v>0.46445920588235307</v>
      </c>
      <c r="O21" s="38">
        <f>COUNTIF(Vertices[Eigenvector Centrality],"&gt;= "&amp;N21)-COUNTIF(Vertices[Eigenvector Centrality],"&gt;="&amp;N22)</f>
        <v>0</v>
      </c>
      <c r="P21" s="37">
        <f t="shared" si="7"/>
        <v>0.10470694117647052</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5.882352941176469</v>
      </c>
      <c r="G22" s="36">
        <f>COUNTIF(Vertices[In-Degree],"&gt;= "&amp;F22)-COUNTIF(Vertices[In-Degree],"&gt;="&amp;F23)</f>
        <v>0</v>
      </c>
      <c r="H22" s="35">
        <f t="shared" si="3"/>
        <v>8.235294117647062</v>
      </c>
      <c r="I22" s="36">
        <f>COUNTIF(Vertices[Out-Degree],"&gt;= "&amp;H22)-COUNTIF(Vertices[Out-Degree],"&gt;="&amp;H23)</f>
        <v>0</v>
      </c>
      <c r="J22" s="35">
        <f t="shared" si="4"/>
        <v>220</v>
      </c>
      <c r="K22" s="36">
        <f>COUNTIF(Vertices[Betweenness Centrality],"&gt;= "&amp;J22)-COUNTIF(Vertices[Betweenness Centrality],"&gt;="&amp;J23)</f>
        <v>0</v>
      </c>
      <c r="L22" s="35">
        <f t="shared" si="5"/>
        <v>0.7993968823529418</v>
      </c>
      <c r="M22" s="36">
        <f>COUNTIF(Vertices[Closeness Centrality],"&gt;= "&amp;L22)-COUNTIF(Vertices[Closeness Centrality],"&gt;="&amp;L23)</f>
        <v>0</v>
      </c>
      <c r="N22" s="35">
        <f t="shared" si="6"/>
        <v>0.48160505882352955</v>
      </c>
      <c r="O22" s="36">
        <f>COUNTIF(Vertices[Eigenvector Centrality],"&gt;= "&amp;N22)-COUNTIF(Vertices[Eigenvector Centrality],"&gt;="&amp;N23)</f>
        <v>0</v>
      </c>
      <c r="P22" s="35">
        <f t="shared" si="7"/>
        <v>0.1080294117647058</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6.176470588235293</v>
      </c>
      <c r="G23" s="38">
        <f>COUNTIF(Vertices[In-Degree],"&gt;= "&amp;F23)-COUNTIF(Vertices[In-Degree],"&gt;="&amp;F24)</f>
        <v>0</v>
      </c>
      <c r="H23" s="37">
        <f t="shared" si="3"/>
        <v>8.647058823529415</v>
      </c>
      <c r="I23" s="38">
        <f>COUNTIF(Vertices[Out-Degree],"&gt;= "&amp;H23)-COUNTIF(Vertices[Out-Degree],"&gt;="&amp;H24)</f>
        <v>0</v>
      </c>
      <c r="J23" s="37">
        <f t="shared" si="4"/>
        <v>231</v>
      </c>
      <c r="K23" s="38">
        <f>COUNTIF(Vertices[Betweenness Centrality],"&gt;= "&amp;J23)-COUNTIF(Vertices[Betweenness Centrality],"&gt;="&amp;J24)</f>
        <v>0</v>
      </c>
      <c r="L23" s="37">
        <f t="shared" si="5"/>
        <v>0.8137256764705889</v>
      </c>
      <c r="M23" s="38">
        <f>COUNTIF(Vertices[Closeness Centrality],"&gt;= "&amp;L23)-COUNTIF(Vertices[Closeness Centrality],"&gt;="&amp;L24)</f>
        <v>0</v>
      </c>
      <c r="N23" s="37">
        <f t="shared" si="6"/>
        <v>0.49875091176470604</v>
      </c>
      <c r="O23" s="38">
        <f>COUNTIF(Vertices[Eigenvector Centrality],"&gt;= "&amp;N23)-COUNTIF(Vertices[Eigenvector Centrality],"&gt;="&amp;N24)</f>
        <v>0</v>
      </c>
      <c r="P23" s="37">
        <f t="shared" si="7"/>
        <v>0.11135188235294109</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154</v>
      </c>
      <c r="B24" s="32">
        <v>21</v>
      </c>
      <c r="D24" s="30">
        <f t="shared" si="1"/>
        <v>0</v>
      </c>
      <c r="E24">
        <f>COUNTIF(Vertices[Degree],"&gt;= "&amp;D24)-COUNTIF(Vertices[Degree],"&gt;="&amp;D25)</f>
        <v>0</v>
      </c>
      <c r="F24" s="35">
        <f t="shared" si="2"/>
        <v>6.470588235294116</v>
      </c>
      <c r="G24" s="36">
        <f>COUNTIF(Vertices[In-Degree],"&gt;= "&amp;F24)-COUNTIF(Vertices[In-Degree],"&gt;="&amp;F25)</f>
        <v>0</v>
      </c>
      <c r="H24" s="35">
        <f t="shared" si="3"/>
        <v>9.058823529411768</v>
      </c>
      <c r="I24" s="36">
        <f>COUNTIF(Vertices[Out-Degree],"&gt;= "&amp;H24)-COUNTIF(Vertices[Out-Degree],"&gt;="&amp;H25)</f>
        <v>0</v>
      </c>
      <c r="J24" s="35">
        <f t="shared" si="4"/>
        <v>242</v>
      </c>
      <c r="K24" s="36">
        <f>COUNTIF(Vertices[Betweenness Centrality],"&gt;= "&amp;J24)-COUNTIF(Vertices[Betweenness Centrality],"&gt;="&amp;J25)</f>
        <v>0</v>
      </c>
      <c r="L24" s="35">
        <f t="shared" si="5"/>
        <v>0.828054470588236</v>
      </c>
      <c r="M24" s="36">
        <f>COUNTIF(Vertices[Closeness Centrality],"&gt;= "&amp;L24)-COUNTIF(Vertices[Closeness Centrality],"&gt;="&amp;L25)</f>
        <v>0</v>
      </c>
      <c r="N24" s="35">
        <f t="shared" si="6"/>
        <v>0.5158967647058825</v>
      </c>
      <c r="O24" s="36">
        <f>COUNTIF(Vertices[Eigenvector Centrality],"&gt;= "&amp;N24)-COUNTIF(Vertices[Eigenvector Centrality],"&gt;="&amp;N25)</f>
        <v>0</v>
      </c>
      <c r="P24" s="35">
        <f t="shared" si="7"/>
        <v>0.11467435294117638</v>
      </c>
      <c r="Q24" s="36">
        <f>COUNTIF(Vertices[PageRank],"&gt;= "&amp;P24)-COUNTIF(Vertices[PageRank],"&gt;="&amp;P25)</f>
        <v>0</v>
      </c>
      <c r="R24" s="35">
        <f t="shared" si="8"/>
        <v>0.6470588235294118</v>
      </c>
      <c r="S24" s="41">
        <f>COUNTIF(Vertices[Clustering Coefficient],"&gt;= "&amp;R24)-COUNTIF(Vertices[Clustering Coefficient],"&gt;="&amp;R25)</f>
        <v>2</v>
      </c>
      <c r="T24" s="35" t="e">
        <f ca="1" t="shared" si="9"/>
        <v>#REF!</v>
      </c>
      <c r="U24" s="36" t="e">
        <f ca="1" t="shared" si="0"/>
        <v>#REF!</v>
      </c>
    </row>
    <row r="25" spans="1:21" ht="15">
      <c r="A25" s="32" t="s">
        <v>155</v>
      </c>
      <c r="B25" s="32">
        <v>56</v>
      </c>
      <c r="D25" s="30">
        <f t="shared" si="1"/>
        <v>0</v>
      </c>
      <c r="E25">
        <f>COUNTIF(Vertices[Degree],"&gt;= "&amp;D25)-COUNTIF(Vertices[Degree],"&gt;="&amp;D26)</f>
        <v>0</v>
      </c>
      <c r="F25" s="37">
        <f t="shared" si="2"/>
        <v>6.764705882352939</v>
      </c>
      <c r="G25" s="38">
        <f>COUNTIF(Vertices[In-Degree],"&gt;= "&amp;F25)-COUNTIF(Vertices[In-Degree],"&gt;="&amp;F26)</f>
        <v>0</v>
      </c>
      <c r="H25" s="37">
        <f t="shared" si="3"/>
        <v>9.470588235294121</v>
      </c>
      <c r="I25" s="38">
        <f>COUNTIF(Vertices[Out-Degree],"&gt;= "&amp;H25)-COUNTIF(Vertices[Out-Degree],"&gt;="&amp;H26)</f>
        <v>0</v>
      </c>
      <c r="J25" s="37">
        <f t="shared" si="4"/>
        <v>253</v>
      </c>
      <c r="K25" s="38">
        <f>COUNTIF(Vertices[Betweenness Centrality],"&gt;= "&amp;J25)-COUNTIF(Vertices[Betweenness Centrality],"&gt;="&amp;J26)</f>
        <v>0</v>
      </c>
      <c r="L25" s="37">
        <f t="shared" si="5"/>
        <v>0.8423832647058831</v>
      </c>
      <c r="M25" s="38">
        <f>COUNTIF(Vertices[Closeness Centrality],"&gt;= "&amp;L25)-COUNTIF(Vertices[Closeness Centrality],"&gt;="&amp;L26)</f>
        <v>0</v>
      </c>
      <c r="N25" s="37">
        <f t="shared" si="6"/>
        <v>0.533042617647059</v>
      </c>
      <c r="O25" s="38">
        <f>COUNTIF(Vertices[Eigenvector Centrality],"&gt;= "&amp;N25)-COUNTIF(Vertices[Eigenvector Centrality],"&gt;="&amp;N26)</f>
        <v>0</v>
      </c>
      <c r="P25" s="37">
        <f t="shared" si="7"/>
        <v>0.11799682352941167</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125"/>
      <c r="B26" s="125"/>
      <c r="D26" s="30">
        <f t="shared" si="1"/>
        <v>0</v>
      </c>
      <c r="E26">
        <f>COUNTIF(Vertices[Degree],"&gt;= "&amp;D26)-COUNTIF(Vertices[Degree],"&gt;="&amp;D27)</f>
        <v>0</v>
      </c>
      <c r="F26" s="35">
        <f t="shared" si="2"/>
        <v>7.058823529411763</v>
      </c>
      <c r="G26" s="36">
        <f>COUNTIF(Vertices[In-Degree],"&gt;= "&amp;F26)-COUNTIF(Vertices[In-Degree],"&gt;="&amp;F27)</f>
        <v>0</v>
      </c>
      <c r="H26" s="35">
        <f t="shared" si="3"/>
        <v>9.882352941176475</v>
      </c>
      <c r="I26" s="36">
        <f>COUNTIF(Vertices[Out-Degree],"&gt;= "&amp;H26)-COUNTIF(Vertices[Out-Degree],"&gt;="&amp;H27)</f>
        <v>0</v>
      </c>
      <c r="J26" s="35">
        <f t="shared" si="4"/>
        <v>264</v>
      </c>
      <c r="K26" s="36">
        <f>COUNTIF(Vertices[Betweenness Centrality],"&gt;= "&amp;J26)-COUNTIF(Vertices[Betweenness Centrality],"&gt;="&amp;J27)</f>
        <v>0</v>
      </c>
      <c r="L26" s="35">
        <f t="shared" si="5"/>
        <v>0.8567120588235302</v>
      </c>
      <c r="M26" s="36">
        <f>COUNTIF(Vertices[Closeness Centrality],"&gt;= "&amp;L26)-COUNTIF(Vertices[Closeness Centrality],"&gt;="&amp;L27)</f>
        <v>0</v>
      </c>
      <c r="N26" s="35">
        <f t="shared" si="6"/>
        <v>0.5501884705882354</v>
      </c>
      <c r="O26" s="36">
        <f>COUNTIF(Vertices[Eigenvector Centrality],"&gt;= "&amp;N26)-COUNTIF(Vertices[Eigenvector Centrality],"&gt;="&amp;N27)</f>
        <v>0</v>
      </c>
      <c r="P26" s="35">
        <f t="shared" si="7"/>
        <v>0.12131929411764696</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2</v>
      </c>
      <c r="D27" s="30">
        <f t="shared" si="1"/>
        <v>0</v>
      </c>
      <c r="E27">
        <f>COUNTIF(Vertices[Degree],"&gt;= "&amp;D27)-COUNTIF(Vertices[Degree],"&gt;="&amp;D28)</f>
        <v>0</v>
      </c>
      <c r="F27" s="37">
        <f t="shared" si="2"/>
        <v>7.352941176470586</v>
      </c>
      <c r="G27" s="38">
        <f>COUNTIF(Vertices[In-Degree],"&gt;= "&amp;F27)-COUNTIF(Vertices[In-Degree],"&gt;="&amp;F28)</f>
        <v>0</v>
      </c>
      <c r="H27" s="37">
        <f t="shared" si="3"/>
        <v>10.294117647058828</v>
      </c>
      <c r="I27" s="38">
        <f>COUNTIF(Vertices[Out-Degree],"&gt;= "&amp;H27)-COUNTIF(Vertices[Out-Degree],"&gt;="&amp;H28)</f>
        <v>0</v>
      </c>
      <c r="J27" s="37">
        <f t="shared" si="4"/>
        <v>275</v>
      </c>
      <c r="K27" s="38">
        <f>COUNTIF(Vertices[Betweenness Centrality],"&gt;= "&amp;J27)-COUNTIF(Vertices[Betweenness Centrality],"&gt;="&amp;J28)</f>
        <v>0</v>
      </c>
      <c r="L27" s="37">
        <f t="shared" si="5"/>
        <v>0.8710408529411773</v>
      </c>
      <c r="M27" s="38">
        <f>COUNTIF(Vertices[Closeness Centrality],"&gt;= "&amp;L27)-COUNTIF(Vertices[Closeness Centrality],"&gt;="&amp;L28)</f>
        <v>0</v>
      </c>
      <c r="N27" s="37">
        <f t="shared" si="6"/>
        <v>0.5673343235294118</v>
      </c>
      <c r="O27" s="38">
        <f>COUNTIF(Vertices[Eigenvector Centrality],"&gt;= "&amp;N27)-COUNTIF(Vertices[Eigenvector Centrality],"&gt;="&amp;N28)</f>
        <v>0</v>
      </c>
      <c r="P27" s="37">
        <f t="shared" si="7"/>
        <v>0.12464176470588224</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157</v>
      </c>
      <c r="B28" s="32">
        <v>1.800454</v>
      </c>
      <c r="D28" s="30">
        <f t="shared" si="1"/>
        <v>0</v>
      </c>
      <c r="E28">
        <f>COUNTIF(Vertices[Degree],"&gt;= "&amp;D28)-COUNTIF(Vertices[Degree],"&gt;="&amp;D29)</f>
        <v>0</v>
      </c>
      <c r="F28" s="35">
        <f t="shared" si="2"/>
        <v>7.6470588235294095</v>
      </c>
      <c r="G28" s="36">
        <f>COUNTIF(Vertices[In-Degree],"&gt;= "&amp;F28)-COUNTIF(Vertices[In-Degree],"&gt;="&amp;F29)</f>
        <v>0</v>
      </c>
      <c r="H28" s="35">
        <f t="shared" si="3"/>
        <v>10.705882352941181</v>
      </c>
      <c r="I28" s="36">
        <f>COUNTIF(Vertices[Out-Degree],"&gt;= "&amp;H28)-COUNTIF(Vertices[Out-Degree],"&gt;="&amp;H29)</f>
        <v>0</v>
      </c>
      <c r="J28" s="35">
        <f t="shared" si="4"/>
        <v>286</v>
      </c>
      <c r="K28" s="36">
        <f>COUNTIF(Vertices[Betweenness Centrality],"&gt;= "&amp;J28)-COUNTIF(Vertices[Betweenness Centrality],"&gt;="&amp;J29)</f>
        <v>0</v>
      </c>
      <c r="L28" s="35">
        <f t="shared" si="5"/>
        <v>0.8853696470588244</v>
      </c>
      <c r="M28" s="36">
        <f>COUNTIF(Vertices[Closeness Centrality],"&gt;= "&amp;L28)-COUNTIF(Vertices[Closeness Centrality],"&gt;="&amp;L29)</f>
        <v>0</v>
      </c>
      <c r="N28" s="35">
        <f t="shared" si="6"/>
        <v>0.5844801764705883</v>
      </c>
      <c r="O28" s="36">
        <f>COUNTIF(Vertices[Eigenvector Centrality],"&gt;= "&amp;N28)-COUNTIF(Vertices[Eigenvector Centrality],"&gt;="&amp;N29)</f>
        <v>0</v>
      </c>
      <c r="P28" s="35">
        <f t="shared" si="7"/>
        <v>0.12796423529411755</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125"/>
      <c r="B29" s="125"/>
      <c r="D29" s="30">
        <f t="shared" si="1"/>
        <v>0</v>
      </c>
      <c r="E29">
        <f>COUNTIF(Vertices[Degree],"&gt;= "&amp;D29)-COUNTIF(Vertices[Degree],"&gt;="&amp;D30)</f>
        <v>0</v>
      </c>
      <c r="F29" s="37">
        <f t="shared" si="2"/>
        <v>7.941176470588233</v>
      </c>
      <c r="G29" s="38">
        <f>COUNTIF(Vertices[In-Degree],"&gt;= "&amp;F29)-COUNTIF(Vertices[In-Degree],"&gt;="&amp;F30)</f>
        <v>0</v>
      </c>
      <c r="H29" s="37">
        <f t="shared" si="3"/>
        <v>11.117647058823534</v>
      </c>
      <c r="I29" s="38">
        <f>COUNTIF(Vertices[Out-Degree],"&gt;= "&amp;H29)-COUNTIF(Vertices[Out-Degree],"&gt;="&amp;H30)</f>
        <v>0</v>
      </c>
      <c r="J29" s="37">
        <f t="shared" si="4"/>
        <v>297</v>
      </c>
      <c r="K29" s="38">
        <f>COUNTIF(Vertices[Betweenness Centrality],"&gt;= "&amp;J29)-COUNTIF(Vertices[Betweenness Centrality],"&gt;="&amp;J30)</f>
        <v>0</v>
      </c>
      <c r="L29" s="37">
        <f t="shared" si="5"/>
        <v>0.8996984411764715</v>
      </c>
      <c r="M29" s="38">
        <f>COUNTIF(Vertices[Closeness Centrality],"&gt;= "&amp;L29)-COUNTIF(Vertices[Closeness Centrality],"&gt;="&amp;L30)</f>
        <v>0</v>
      </c>
      <c r="N29" s="37">
        <f t="shared" si="6"/>
        <v>0.6016260294117647</v>
      </c>
      <c r="O29" s="38">
        <f>COUNTIF(Vertices[Eigenvector Centrality],"&gt;= "&amp;N29)-COUNTIF(Vertices[Eigenvector Centrality],"&gt;="&amp;N30)</f>
        <v>0</v>
      </c>
      <c r="P29" s="37">
        <f t="shared" si="7"/>
        <v>0.13128670588235283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158</v>
      </c>
      <c r="B30" s="32">
        <v>0.06190476190476191</v>
      </c>
      <c r="D30" s="30">
        <f t="shared" si="1"/>
        <v>0</v>
      </c>
      <c r="E30">
        <f>COUNTIF(Vertices[Degree],"&gt;= "&amp;D30)-COUNTIF(Vertices[Degree],"&gt;="&amp;D31)</f>
        <v>0</v>
      </c>
      <c r="F30" s="35">
        <f t="shared" si="2"/>
        <v>8.235294117647056</v>
      </c>
      <c r="G30" s="36">
        <f>COUNTIF(Vertices[In-Degree],"&gt;= "&amp;F30)-COUNTIF(Vertices[In-Degree],"&gt;="&amp;F31)</f>
        <v>0</v>
      </c>
      <c r="H30" s="35">
        <f t="shared" si="3"/>
        <v>11.529411764705888</v>
      </c>
      <c r="I30" s="36">
        <f>COUNTIF(Vertices[Out-Degree],"&gt;= "&amp;H30)-COUNTIF(Vertices[Out-Degree],"&gt;="&amp;H31)</f>
        <v>0</v>
      </c>
      <c r="J30" s="35">
        <f t="shared" si="4"/>
        <v>308</v>
      </c>
      <c r="K30" s="36">
        <f>COUNTIF(Vertices[Betweenness Centrality],"&gt;= "&amp;J30)-COUNTIF(Vertices[Betweenness Centrality],"&gt;="&amp;J31)</f>
        <v>0</v>
      </c>
      <c r="L30" s="35">
        <f t="shared" si="5"/>
        <v>0.9140272352941186</v>
      </c>
      <c r="M30" s="36">
        <f>COUNTIF(Vertices[Closeness Centrality],"&gt;= "&amp;L30)-COUNTIF(Vertices[Closeness Centrality],"&gt;="&amp;L31)</f>
        <v>0</v>
      </c>
      <c r="N30" s="35">
        <f t="shared" si="6"/>
        <v>0.6187718823529411</v>
      </c>
      <c r="O30" s="36">
        <f>COUNTIF(Vertices[Eigenvector Centrality],"&gt;= "&amp;N30)-COUNTIF(Vertices[Eigenvector Centrality],"&gt;="&amp;N31)</f>
        <v>0</v>
      </c>
      <c r="P30" s="35">
        <f t="shared" si="7"/>
        <v>0.13460917647058812</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828</v>
      </c>
      <c r="B31" s="32">
        <v>0.244499</v>
      </c>
      <c r="D31" s="30">
        <f t="shared" si="1"/>
        <v>0</v>
      </c>
      <c r="E31">
        <f>COUNTIF(Vertices[Degree],"&gt;= "&amp;D31)-COUNTIF(Vertices[Degree],"&gt;="&amp;D32)</f>
        <v>0</v>
      </c>
      <c r="F31" s="37">
        <f t="shared" si="2"/>
        <v>8.52941176470588</v>
      </c>
      <c r="G31" s="38">
        <f>COUNTIF(Vertices[In-Degree],"&gt;= "&amp;F31)-COUNTIF(Vertices[In-Degree],"&gt;="&amp;F32)</f>
        <v>0</v>
      </c>
      <c r="H31" s="37">
        <f t="shared" si="3"/>
        <v>11.94117647058824</v>
      </c>
      <c r="I31" s="38">
        <f>COUNTIF(Vertices[Out-Degree],"&gt;= "&amp;H31)-COUNTIF(Vertices[Out-Degree],"&gt;="&amp;H32)</f>
        <v>0</v>
      </c>
      <c r="J31" s="37">
        <f t="shared" si="4"/>
        <v>319</v>
      </c>
      <c r="K31" s="38">
        <f>COUNTIF(Vertices[Betweenness Centrality],"&gt;= "&amp;J31)-COUNTIF(Vertices[Betweenness Centrality],"&gt;="&amp;J32)</f>
        <v>0</v>
      </c>
      <c r="L31" s="37">
        <f t="shared" si="5"/>
        <v>0.9283560294117656</v>
      </c>
      <c r="M31" s="38">
        <f>COUNTIF(Vertices[Closeness Centrality],"&gt;= "&amp;L31)-COUNTIF(Vertices[Closeness Centrality],"&gt;="&amp;L32)</f>
        <v>0</v>
      </c>
      <c r="N31" s="37">
        <f t="shared" si="6"/>
        <v>0.6359177352941175</v>
      </c>
      <c r="O31" s="38">
        <f>COUNTIF(Vertices[Eigenvector Centrality],"&gt;= "&amp;N31)-COUNTIF(Vertices[Eigenvector Centrality],"&gt;="&amp;N32)</f>
        <v>0</v>
      </c>
      <c r="P31" s="37">
        <f t="shared" si="7"/>
        <v>0.1379316470588234</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25"/>
      <c r="B32" s="125"/>
      <c r="D32" s="30">
        <f t="shared" si="1"/>
        <v>0</v>
      </c>
      <c r="E32">
        <f>COUNTIF(Vertices[Degree],"&gt;= "&amp;D32)-COUNTIF(Vertices[Degree],"&gt;="&amp;D33)</f>
        <v>0</v>
      </c>
      <c r="F32" s="35">
        <f t="shared" si="2"/>
        <v>8.823529411764705</v>
      </c>
      <c r="G32" s="36">
        <f>COUNTIF(Vertices[In-Degree],"&gt;= "&amp;F32)-COUNTIF(Vertices[In-Degree],"&gt;="&amp;F33)</f>
        <v>0</v>
      </c>
      <c r="H32" s="35">
        <f t="shared" si="3"/>
        <v>12.352941176470594</v>
      </c>
      <c r="I32" s="36">
        <f>COUNTIF(Vertices[Out-Degree],"&gt;= "&amp;H32)-COUNTIF(Vertices[Out-Degree],"&gt;="&amp;H33)</f>
        <v>0</v>
      </c>
      <c r="J32" s="35">
        <f t="shared" si="4"/>
        <v>330</v>
      </c>
      <c r="K32" s="36">
        <f>COUNTIF(Vertices[Betweenness Centrality],"&gt;= "&amp;J32)-COUNTIF(Vertices[Betweenness Centrality],"&gt;="&amp;J33)</f>
        <v>0</v>
      </c>
      <c r="L32" s="35">
        <f t="shared" si="5"/>
        <v>0.9426848235294127</v>
      </c>
      <c r="M32" s="36">
        <f>COUNTIF(Vertices[Closeness Centrality],"&gt;= "&amp;L32)-COUNTIF(Vertices[Closeness Centrality],"&gt;="&amp;L33)</f>
        <v>0</v>
      </c>
      <c r="N32" s="35">
        <f t="shared" si="6"/>
        <v>0.653063588235294</v>
      </c>
      <c r="O32" s="36">
        <f>COUNTIF(Vertices[Eigenvector Centrality],"&gt;= "&amp;N32)-COUNTIF(Vertices[Eigenvector Centrality],"&gt;="&amp;N33)</f>
        <v>0</v>
      </c>
      <c r="P32" s="35">
        <f t="shared" si="7"/>
        <v>0.1412541176470587</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829</v>
      </c>
      <c r="B33" s="32" t="s">
        <v>844</v>
      </c>
      <c r="D33" s="30">
        <f t="shared" si="1"/>
        <v>0</v>
      </c>
      <c r="E33">
        <f>COUNTIF(Vertices[Degree],"&gt;= "&amp;D33)-COUNTIF(Vertices[Degree],"&gt;="&amp;D34)</f>
        <v>0</v>
      </c>
      <c r="F33" s="37">
        <f t="shared" si="2"/>
        <v>9.117647058823529</v>
      </c>
      <c r="G33" s="38">
        <f>COUNTIF(Vertices[In-Degree],"&gt;= "&amp;F33)-COUNTIF(Vertices[In-Degree],"&gt;="&amp;F34)</f>
        <v>0</v>
      </c>
      <c r="H33" s="37">
        <f t="shared" si="3"/>
        <v>12.764705882352947</v>
      </c>
      <c r="I33" s="38">
        <f>COUNTIF(Vertices[Out-Degree],"&gt;= "&amp;H33)-COUNTIF(Vertices[Out-Degree],"&gt;="&amp;H34)</f>
        <v>0</v>
      </c>
      <c r="J33" s="37">
        <f t="shared" si="4"/>
        <v>341</v>
      </c>
      <c r="K33" s="38">
        <f>COUNTIF(Vertices[Betweenness Centrality],"&gt;= "&amp;J33)-COUNTIF(Vertices[Betweenness Centrality],"&gt;="&amp;J34)</f>
        <v>0</v>
      </c>
      <c r="L33" s="37">
        <f t="shared" si="5"/>
        <v>0.9570136176470598</v>
      </c>
      <c r="M33" s="38">
        <f>COUNTIF(Vertices[Closeness Centrality],"&gt;= "&amp;L33)-COUNTIF(Vertices[Closeness Centrality],"&gt;="&amp;L34)</f>
        <v>0</v>
      </c>
      <c r="N33" s="37">
        <f t="shared" si="6"/>
        <v>0.6702094411764704</v>
      </c>
      <c r="O33" s="38">
        <f>COUNTIF(Vertices[Eigenvector Centrality],"&gt;= "&amp;N33)-COUNTIF(Vertices[Eigenvector Centrality],"&gt;="&amp;N34)</f>
        <v>0</v>
      </c>
      <c r="P33" s="37">
        <f t="shared" si="7"/>
        <v>0.14457658823529398</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9.411764705882353</v>
      </c>
      <c r="G34" s="36">
        <f>COUNTIF(Vertices[In-Degree],"&gt;= "&amp;F34)-COUNTIF(Vertices[In-Degree],"&gt;="&amp;F35)</f>
        <v>0</v>
      </c>
      <c r="H34" s="35">
        <f t="shared" si="3"/>
        <v>13.1764705882353</v>
      </c>
      <c r="I34" s="36">
        <f>COUNTIF(Vertices[Out-Degree],"&gt;= "&amp;H34)-COUNTIF(Vertices[Out-Degree],"&gt;="&amp;H35)</f>
        <v>0</v>
      </c>
      <c r="J34" s="35">
        <f t="shared" si="4"/>
        <v>352</v>
      </c>
      <c r="K34" s="36">
        <f>COUNTIF(Vertices[Betweenness Centrality],"&gt;= "&amp;J34)-COUNTIF(Vertices[Betweenness Centrality],"&gt;="&amp;J35)</f>
        <v>0</v>
      </c>
      <c r="L34" s="35">
        <f t="shared" si="5"/>
        <v>0.9713424117647069</v>
      </c>
      <c r="M34" s="36">
        <f>COUNTIF(Vertices[Closeness Centrality],"&gt;= "&amp;L34)-COUNTIF(Vertices[Closeness Centrality],"&gt;="&amp;L35)</f>
        <v>0</v>
      </c>
      <c r="N34" s="35">
        <f t="shared" si="6"/>
        <v>0.6873552941176468</v>
      </c>
      <c r="O34" s="36">
        <f>COUNTIF(Vertices[Eigenvector Centrality],"&gt;= "&amp;N34)-COUNTIF(Vertices[Eigenvector Centrality],"&gt;="&amp;N35)</f>
        <v>0</v>
      </c>
      <c r="P34" s="35">
        <f t="shared" si="7"/>
        <v>0.14789905882352927</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830</v>
      </c>
      <c r="B35" s="32" t="s">
        <v>898</v>
      </c>
      <c r="D35" s="30">
        <f t="shared" si="1"/>
        <v>0</v>
      </c>
      <c r="E35">
        <f>COUNTIF(Vertices[Degree],"&gt;= "&amp;D35)-COUNTIF(Vertices[Degree],"&gt;="&amp;D36)</f>
        <v>0</v>
      </c>
      <c r="F35" s="37">
        <f t="shared" si="2"/>
        <v>9.705882352941178</v>
      </c>
      <c r="G35" s="38">
        <f>COUNTIF(Vertices[In-Degree],"&gt;= "&amp;F35)-COUNTIF(Vertices[In-Degree],"&gt;="&amp;F36)</f>
        <v>0</v>
      </c>
      <c r="H35" s="37">
        <f t="shared" si="3"/>
        <v>13.588235294117654</v>
      </c>
      <c r="I35" s="38">
        <f>COUNTIF(Vertices[Out-Degree],"&gt;= "&amp;H35)-COUNTIF(Vertices[Out-Degree],"&gt;="&amp;H36)</f>
        <v>0</v>
      </c>
      <c r="J35" s="37">
        <f t="shared" si="4"/>
        <v>363</v>
      </c>
      <c r="K35" s="38">
        <f>COUNTIF(Vertices[Betweenness Centrality],"&gt;= "&amp;J35)-COUNTIF(Vertices[Betweenness Centrality],"&gt;="&amp;J36)</f>
        <v>0</v>
      </c>
      <c r="L35" s="37">
        <f t="shared" si="5"/>
        <v>0.985671205882354</v>
      </c>
      <c r="M35" s="38">
        <f>COUNTIF(Vertices[Closeness Centrality],"&gt;= "&amp;L35)-COUNTIF(Vertices[Closeness Centrality],"&gt;="&amp;L36)</f>
        <v>0</v>
      </c>
      <c r="N35" s="37">
        <f t="shared" si="6"/>
        <v>0.7045011470588233</v>
      </c>
      <c r="O35" s="38">
        <f>COUNTIF(Vertices[Eigenvector Centrality],"&gt;= "&amp;N35)-COUNTIF(Vertices[Eigenvector Centrality],"&gt;="&amp;N36)</f>
        <v>0</v>
      </c>
      <c r="P35" s="37">
        <f t="shared" si="7"/>
        <v>0.15122152941176456</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831</v>
      </c>
      <c r="B36" s="32" t="s">
        <v>899</v>
      </c>
      <c r="D36" s="30">
        <f>MAX(Vertices[Degree])</f>
        <v>0</v>
      </c>
      <c r="E36">
        <f>COUNTIF(Vertices[Degree],"&gt;= "&amp;D36)-COUNTIF(Vertices[Degree],"&gt;="&amp;#REF!)</f>
        <v>0</v>
      </c>
      <c r="F36" s="39">
        <f>MAX(Vertices[In-Degree])</f>
        <v>10</v>
      </c>
      <c r="G36" s="40">
        <f>COUNTIF(Vertices[In-Degree],"&gt;= "&amp;F36)-COUNTIF(Vertices[In-Degree],"&gt;="&amp;#REF!)</f>
        <v>1</v>
      </c>
      <c r="H36" s="39">
        <f>MAX(Vertices[Out-Degree])</f>
        <v>14</v>
      </c>
      <c r="I36" s="40">
        <f>COUNTIF(Vertices[Out-Degree],"&gt;= "&amp;H36)-COUNTIF(Vertices[Out-Degree],"&gt;="&amp;#REF!)</f>
        <v>1</v>
      </c>
      <c r="J36" s="39">
        <f>MAX(Vertices[Betweenness Centrality])</f>
        <v>374</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0.721647</v>
      </c>
      <c r="O36" s="40">
        <f>COUNTIF(Vertices[Eigenvector Centrality],"&gt;= "&amp;N36)-COUNTIF(Vertices[Eigenvector Centrality],"&gt;="&amp;#REF!)</f>
        <v>1</v>
      </c>
      <c r="P36" s="39">
        <f>MAX(Vertices[PageRank])</f>
        <v>0.154544</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125"/>
      <c r="B37" s="125"/>
    </row>
    <row r="38" spans="1:2" ht="15">
      <c r="A38" s="32" t="s">
        <v>832</v>
      </c>
      <c r="B38" s="32" t="s">
        <v>894</v>
      </c>
    </row>
    <row r="39" spans="1:2" ht="15">
      <c r="A39" s="32" t="s">
        <v>833</v>
      </c>
      <c r="B39" s="32" t="s">
        <v>591</v>
      </c>
    </row>
    <row r="40" spans="1:2" ht="409.5">
      <c r="A40" s="32" t="s">
        <v>834</v>
      </c>
      <c r="B40" s="64" t="s">
        <v>895</v>
      </c>
    </row>
    <row r="41" spans="1:2" ht="15">
      <c r="A41" s="32" t="s">
        <v>835</v>
      </c>
      <c r="B41" s="32" t="s">
        <v>896</v>
      </c>
    </row>
    <row r="42" spans="1:2" ht="15">
      <c r="A42" s="32" t="s">
        <v>836</v>
      </c>
      <c r="B42" s="32" t="s">
        <v>897</v>
      </c>
    </row>
    <row r="43" spans="1:2" ht="15">
      <c r="A43" s="32" t="s">
        <v>837</v>
      </c>
      <c r="B43" s="32" t="s">
        <v>539</v>
      </c>
    </row>
    <row r="44" spans="1:2" ht="15">
      <c r="A44" s="32" t="s">
        <v>838</v>
      </c>
      <c r="B44" s="32" t="s">
        <v>539</v>
      </c>
    </row>
    <row r="45" spans="1:2" ht="15">
      <c r="A45" s="32" t="s">
        <v>839</v>
      </c>
      <c r="B45" s="32" t="s">
        <v>539</v>
      </c>
    </row>
    <row r="46" spans="1:2" ht="15">
      <c r="A46" s="32" t="s">
        <v>840</v>
      </c>
      <c r="B46" s="32"/>
    </row>
    <row r="47" spans="1:2" ht="15">
      <c r="A47" s="32" t="s">
        <v>21</v>
      </c>
      <c r="B47" s="32"/>
    </row>
    <row r="48" spans="1:2" ht="15">
      <c r="A48" s="32" t="s">
        <v>841</v>
      </c>
      <c r="B48" s="32" t="s">
        <v>423</v>
      </c>
    </row>
    <row r="49" spans="1:2" ht="15">
      <c r="A49" s="32" t="s">
        <v>842</v>
      </c>
      <c r="B49" s="32"/>
    </row>
    <row r="50" spans="1:2" ht="15">
      <c r="A50" s="32" t="s">
        <v>843</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10</v>
      </c>
    </row>
    <row r="90" spans="1:2" ht="15">
      <c r="A90" s="31" t="s">
        <v>90</v>
      </c>
      <c r="B90" s="45">
        <f>_xlfn.IFERROR(AVERAGE(Vertices[In-Degree]),NoMetricMessage)</f>
        <v>1.2857142857142858</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14</v>
      </c>
    </row>
    <row r="104" spans="1:2" ht="15">
      <c r="A104" s="31" t="s">
        <v>96</v>
      </c>
      <c r="B104" s="45">
        <f>_xlfn.IFERROR(AVERAGE(Vertices[Out-Degree]),NoMetricMessage)</f>
        <v>1.2857142857142858</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374</v>
      </c>
    </row>
    <row r="118" spans="1:2" ht="15">
      <c r="A118" s="31" t="s">
        <v>102</v>
      </c>
      <c r="B118" s="45">
        <f>_xlfn.IFERROR(AVERAGE(Vertices[Betweenness Centrality]),NoMetricMessage)</f>
        <v>17.80952380952381</v>
      </c>
    </row>
    <row r="119" spans="1:2" ht="15">
      <c r="A119" s="31" t="s">
        <v>103</v>
      </c>
      <c r="B119" s="45">
        <f>_xlfn.IFERROR(MEDIAN(Vertices[Betweenness Centrality]),NoMetricMessage)</f>
        <v>0</v>
      </c>
    </row>
    <row r="130" spans="1:2" ht="15">
      <c r="A130" s="31" t="s">
        <v>106</v>
      </c>
      <c r="B130" s="45">
        <f>IF(COUNT(Vertices[Closeness Centrality])&gt;0,L2,NoMetricMessage)</f>
        <v>0.512821</v>
      </c>
    </row>
    <row r="131" spans="1:2" ht="15">
      <c r="A131" s="31" t="s">
        <v>107</v>
      </c>
      <c r="B131" s="45">
        <f>IF(COUNT(Vertices[Closeness Centrality])&gt;0,L36,NoMetricMessage)</f>
        <v>1</v>
      </c>
    </row>
    <row r="132" spans="1:2" ht="15">
      <c r="A132" s="31" t="s">
        <v>108</v>
      </c>
      <c r="B132" s="45">
        <f>_xlfn.IFERROR(AVERAGE(Vertices[Closeness Centrality]),NoMetricMessage)</f>
        <v>0.5399800000000001</v>
      </c>
    </row>
    <row r="133" spans="1:2" ht="15">
      <c r="A133" s="31" t="s">
        <v>109</v>
      </c>
      <c r="B133" s="45">
        <f>_xlfn.IFERROR(MEDIAN(Vertices[Closeness Centrality]),NoMetricMessage)</f>
        <v>0.512821</v>
      </c>
    </row>
    <row r="144" spans="1:2" ht="15">
      <c r="A144" s="31" t="s">
        <v>112</v>
      </c>
      <c r="B144" s="45">
        <f>IF(COUNT(Vertices[Eigenvector Centrality])&gt;0,N2,NoMetricMessage)</f>
        <v>0.138688</v>
      </c>
    </row>
    <row r="145" spans="1:2" ht="15">
      <c r="A145" s="31" t="s">
        <v>113</v>
      </c>
      <c r="B145" s="45">
        <f>IF(COUNT(Vertices[Eigenvector Centrality])&gt;0,N36,NoMetricMessage)</f>
        <v>0.721647</v>
      </c>
    </row>
    <row r="146" spans="1:2" ht="15">
      <c r="A146" s="31" t="s">
        <v>114</v>
      </c>
      <c r="B146" s="45">
        <f>_xlfn.IFERROR(AVERAGE(Vertices[Eigenvector Centrality]),NoMetricMessage)</f>
        <v>0.17881695238095247</v>
      </c>
    </row>
    <row r="147" spans="1:2" ht="15">
      <c r="A147" s="31" t="s">
        <v>115</v>
      </c>
      <c r="B147" s="45">
        <f>_xlfn.IFERROR(MEDIAN(Vertices[Eigenvector Centrality]),NoMetricMessage)</f>
        <v>0.138688</v>
      </c>
    </row>
    <row r="158" spans="1:2" ht="15">
      <c r="A158" s="31" t="s">
        <v>140</v>
      </c>
      <c r="B158" s="45">
        <f>IF(COUNT(Vertices[PageRank])&gt;0,P2,NoMetricMessage)</f>
        <v>0.04158</v>
      </c>
    </row>
    <row r="159" spans="1:2" ht="15">
      <c r="A159" s="31" t="s">
        <v>141</v>
      </c>
      <c r="B159" s="45">
        <f>IF(COUNT(Vertices[PageRank])&gt;0,P36,NoMetricMessage)</f>
        <v>0.154544</v>
      </c>
    </row>
    <row r="160" spans="1:2" ht="15">
      <c r="A160" s="31" t="s">
        <v>142</v>
      </c>
      <c r="B160" s="45">
        <f>_xlfn.IFERROR(AVERAGE(Vertices[PageRank]),NoMetricMessage)</f>
        <v>0.04761923809523807</v>
      </c>
    </row>
    <row r="161" spans="1:2" ht="15">
      <c r="A161" s="31" t="s">
        <v>143</v>
      </c>
      <c r="B161" s="45">
        <f>_xlfn.IFERROR(MEDIAN(Vertices[PageRank]),NoMetricMessage)</f>
        <v>0.04158</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0.11161236424394318</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892</v>
      </c>
    </row>
    <row r="23" spans="4:11" ht="409.5">
      <c r="D23">
        <v>11</v>
      </c>
      <c r="J23" t="s">
        <v>206</v>
      </c>
      <c r="K23" s="7" t="s">
        <v>893</v>
      </c>
    </row>
    <row r="24" spans="10:11" ht="15">
      <c r="J24" t="s">
        <v>207</v>
      </c>
      <c r="K24" t="s">
        <v>889</v>
      </c>
    </row>
    <row r="25" spans="10:11" ht="409.5">
      <c r="J25" t="s">
        <v>208</v>
      </c>
      <c r="K25" s="7" t="s">
        <v>891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C76C-2640-48FF-B0C4-0C7EEC590A62}">
  <dimension ref="A1:F8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547</v>
      </c>
      <c r="B1" s="7" t="s">
        <v>558</v>
      </c>
      <c r="C1" s="7" t="s">
        <v>559</v>
      </c>
      <c r="D1" s="7" t="s">
        <v>565</v>
      </c>
      <c r="E1" s="7" t="s">
        <v>564</v>
      </c>
      <c r="F1" s="7" t="s">
        <v>566</v>
      </c>
    </row>
    <row r="2" spans="1:6" ht="15">
      <c r="A2" s="83" t="s">
        <v>548</v>
      </c>
      <c r="B2" s="79">
        <v>11</v>
      </c>
      <c r="C2" s="83" t="s">
        <v>548</v>
      </c>
      <c r="D2" s="79">
        <v>11</v>
      </c>
      <c r="E2" s="83" t="s">
        <v>549</v>
      </c>
      <c r="F2" s="79">
        <v>4</v>
      </c>
    </row>
    <row r="3" spans="1:6" ht="15">
      <c r="A3" s="84" t="s">
        <v>549</v>
      </c>
      <c r="B3" s="79">
        <v>6</v>
      </c>
      <c r="C3" s="83" t="s">
        <v>551</v>
      </c>
      <c r="D3" s="79">
        <v>4</v>
      </c>
      <c r="E3" s="79"/>
      <c r="F3" s="79"/>
    </row>
    <row r="4" spans="1:6" ht="15">
      <c r="A4" s="84" t="s">
        <v>550</v>
      </c>
      <c r="B4" s="79">
        <v>4</v>
      </c>
      <c r="C4" s="83" t="s">
        <v>550</v>
      </c>
      <c r="D4" s="79">
        <v>4</v>
      </c>
      <c r="E4" s="79"/>
      <c r="F4" s="79"/>
    </row>
    <row r="5" spans="1:6" ht="15">
      <c r="A5" s="84" t="s">
        <v>551</v>
      </c>
      <c r="B5" s="79">
        <v>4</v>
      </c>
      <c r="C5" s="83" t="s">
        <v>549</v>
      </c>
      <c r="D5" s="79">
        <v>2</v>
      </c>
      <c r="E5" s="79"/>
      <c r="F5" s="79"/>
    </row>
    <row r="6" spans="1:6" ht="15">
      <c r="A6" s="84" t="s">
        <v>552</v>
      </c>
      <c r="B6" s="79">
        <v>2</v>
      </c>
      <c r="C6" s="83" t="s">
        <v>552</v>
      </c>
      <c r="D6" s="79">
        <v>2</v>
      </c>
      <c r="E6" s="79"/>
      <c r="F6" s="79"/>
    </row>
    <row r="7" spans="1:6" ht="15">
      <c r="A7" s="84" t="s">
        <v>553</v>
      </c>
      <c r="B7" s="79">
        <v>1</v>
      </c>
      <c r="C7" s="83" t="s">
        <v>553</v>
      </c>
      <c r="D7" s="79">
        <v>1</v>
      </c>
      <c r="E7" s="79"/>
      <c r="F7" s="79"/>
    </row>
    <row r="8" spans="1:6" ht="15">
      <c r="A8" s="84" t="s">
        <v>554</v>
      </c>
      <c r="B8" s="79">
        <v>1</v>
      </c>
      <c r="C8" s="83" t="s">
        <v>560</v>
      </c>
      <c r="D8" s="79">
        <v>1</v>
      </c>
      <c r="E8" s="79"/>
      <c r="F8" s="79"/>
    </row>
    <row r="9" spans="1:6" ht="15">
      <c r="A9" s="84" t="s">
        <v>555</v>
      </c>
      <c r="B9" s="79">
        <v>1</v>
      </c>
      <c r="C9" s="83" t="s">
        <v>561</v>
      </c>
      <c r="D9" s="79">
        <v>1</v>
      </c>
      <c r="E9" s="79"/>
      <c r="F9" s="79"/>
    </row>
    <row r="10" spans="1:6" ht="15">
      <c r="A10" s="84" t="s">
        <v>556</v>
      </c>
      <c r="B10" s="79">
        <v>1</v>
      </c>
      <c r="C10" s="83" t="s">
        <v>562</v>
      </c>
      <c r="D10" s="79">
        <v>1</v>
      </c>
      <c r="E10" s="79"/>
      <c r="F10" s="79"/>
    </row>
    <row r="11" spans="1:6" ht="15">
      <c r="A11" s="84" t="s">
        <v>557</v>
      </c>
      <c r="B11" s="79">
        <v>1</v>
      </c>
      <c r="C11" s="83" t="s">
        <v>563</v>
      </c>
      <c r="D11" s="79">
        <v>1</v>
      </c>
      <c r="E11" s="79"/>
      <c r="F11" s="79"/>
    </row>
    <row r="14" spans="1:6" ht="15" customHeight="1">
      <c r="A14" s="7" t="s">
        <v>569</v>
      </c>
      <c r="B14" s="7" t="s">
        <v>558</v>
      </c>
      <c r="C14" s="7" t="s">
        <v>570</v>
      </c>
      <c r="D14" s="7" t="s">
        <v>565</v>
      </c>
      <c r="E14" s="7" t="s">
        <v>571</v>
      </c>
      <c r="F14" s="7" t="s">
        <v>566</v>
      </c>
    </row>
    <row r="15" spans="1:6" ht="15">
      <c r="A15" s="79" t="s">
        <v>303</v>
      </c>
      <c r="B15" s="79">
        <v>19</v>
      </c>
      <c r="C15" s="79" t="s">
        <v>303</v>
      </c>
      <c r="D15" s="79">
        <v>15</v>
      </c>
      <c r="E15" s="79" t="s">
        <v>303</v>
      </c>
      <c r="F15" s="79">
        <v>4</v>
      </c>
    </row>
    <row r="16" spans="1:6" ht="15">
      <c r="A16" s="80" t="s">
        <v>305</v>
      </c>
      <c r="B16" s="79">
        <v>11</v>
      </c>
      <c r="C16" s="79" t="s">
        <v>305</v>
      </c>
      <c r="D16" s="79">
        <v>11</v>
      </c>
      <c r="E16" s="79"/>
      <c r="F16" s="79"/>
    </row>
    <row r="17" spans="1:6" ht="15">
      <c r="A17" s="80" t="s">
        <v>306</v>
      </c>
      <c r="B17" s="79">
        <v>5</v>
      </c>
      <c r="C17" s="79" t="s">
        <v>306</v>
      </c>
      <c r="D17" s="79">
        <v>5</v>
      </c>
      <c r="E17" s="79"/>
      <c r="F17" s="79"/>
    </row>
    <row r="18" spans="1:6" ht="15">
      <c r="A18" s="80" t="s">
        <v>304</v>
      </c>
      <c r="B18" s="79">
        <v>4</v>
      </c>
      <c r="C18" s="79" t="s">
        <v>304</v>
      </c>
      <c r="D18" s="79">
        <v>4</v>
      </c>
      <c r="E18" s="79"/>
      <c r="F18" s="79"/>
    </row>
    <row r="19" spans="1:6" ht="15">
      <c r="A19" s="80" t="s">
        <v>307</v>
      </c>
      <c r="B19" s="79">
        <v>1</v>
      </c>
      <c r="C19" s="79" t="s">
        <v>307</v>
      </c>
      <c r="D19" s="79">
        <v>1</v>
      </c>
      <c r="E19" s="79"/>
      <c r="F19" s="79"/>
    </row>
    <row r="20" spans="1:6" ht="15">
      <c r="A20" s="80" t="s">
        <v>308</v>
      </c>
      <c r="B20" s="79">
        <v>1</v>
      </c>
      <c r="C20" s="79" t="s">
        <v>308</v>
      </c>
      <c r="D20" s="79">
        <v>1</v>
      </c>
      <c r="E20" s="79"/>
      <c r="F20" s="79"/>
    </row>
    <row r="23" spans="1:6" ht="15" customHeight="1">
      <c r="A23" s="7" t="s">
        <v>574</v>
      </c>
      <c r="B23" s="7" t="s">
        <v>558</v>
      </c>
      <c r="C23" s="7" t="s">
        <v>584</v>
      </c>
      <c r="D23" s="7" t="s">
        <v>565</v>
      </c>
      <c r="E23" s="7" t="s">
        <v>586</v>
      </c>
      <c r="F23" s="7" t="s">
        <v>566</v>
      </c>
    </row>
    <row r="24" spans="1:6" ht="15">
      <c r="A24" s="79" t="s">
        <v>575</v>
      </c>
      <c r="B24" s="79">
        <v>41</v>
      </c>
      <c r="C24" s="79" t="s">
        <v>575</v>
      </c>
      <c r="D24" s="79">
        <v>37</v>
      </c>
      <c r="E24" s="79" t="s">
        <v>583</v>
      </c>
      <c r="F24" s="79">
        <v>4</v>
      </c>
    </row>
    <row r="25" spans="1:6" ht="15">
      <c r="A25" s="80" t="s">
        <v>576</v>
      </c>
      <c r="B25" s="79">
        <v>14</v>
      </c>
      <c r="C25" s="79" t="s">
        <v>576</v>
      </c>
      <c r="D25" s="79">
        <v>14</v>
      </c>
      <c r="E25" s="79" t="s">
        <v>580</v>
      </c>
      <c r="F25" s="79">
        <v>4</v>
      </c>
    </row>
    <row r="26" spans="1:6" ht="15">
      <c r="A26" s="80" t="s">
        <v>577</v>
      </c>
      <c r="B26" s="79">
        <v>9</v>
      </c>
      <c r="C26" s="79" t="s">
        <v>577</v>
      </c>
      <c r="D26" s="79">
        <v>9</v>
      </c>
      <c r="E26" s="79" t="s">
        <v>587</v>
      </c>
      <c r="F26" s="79">
        <v>4</v>
      </c>
    </row>
    <row r="27" spans="1:6" ht="15">
      <c r="A27" s="80" t="s">
        <v>578</v>
      </c>
      <c r="B27" s="79">
        <v>8</v>
      </c>
      <c r="C27" s="79" t="s">
        <v>579</v>
      </c>
      <c r="D27" s="79">
        <v>8</v>
      </c>
      <c r="E27" s="79" t="s">
        <v>575</v>
      </c>
      <c r="F27" s="79">
        <v>4</v>
      </c>
    </row>
    <row r="28" spans="1:6" ht="15">
      <c r="A28" s="80" t="s">
        <v>579</v>
      </c>
      <c r="B28" s="79">
        <v>8</v>
      </c>
      <c r="C28" s="79" t="s">
        <v>578</v>
      </c>
      <c r="D28" s="79">
        <v>8</v>
      </c>
      <c r="E28" s="79"/>
      <c r="F28" s="79"/>
    </row>
    <row r="29" spans="1:6" ht="15">
      <c r="A29" s="80" t="s">
        <v>269</v>
      </c>
      <c r="B29" s="79">
        <v>7</v>
      </c>
      <c r="C29" s="79" t="s">
        <v>581</v>
      </c>
      <c r="D29" s="79">
        <v>7</v>
      </c>
      <c r="E29" s="79"/>
      <c r="F29" s="79"/>
    </row>
    <row r="30" spans="1:6" ht="15">
      <c r="A30" s="80" t="s">
        <v>580</v>
      </c>
      <c r="B30" s="79">
        <v>7</v>
      </c>
      <c r="C30" s="79" t="s">
        <v>582</v>
      </c>
      <c r="D30" s="79">
        <v>7</v>
      </c>
      <c r="E30" s="79"/>
      <c r="F30" s="79"/>
    </row>
    <row r="31" spans="1:6" ht="15">
      <c r="A31" s="80" t="s">
        <v>581</v>
      </c>
      <c r="B31" s="79">
        <v>7</v>
      </c>
      <c r="C31" s="79" t="s">
        <v>269</v>
      </c>
      <c r="D31" s="79">
        <v>7</v>
      </c>
      <c r="E31" s="79"/>
      <c r="F31" s="79"/>
    </row>
    <row r="32" spans="1:6" ht="15">
      <c r="A32" s="80" t="s">
        <v>582</v>
      </c>
      <c r="B32" s="79">
        <v>7</v>
      </c>
      <c r="C32" s="79" t="s">
        <v>268</v>
      </c>
      <c r="D32" s="79">
        <v>5</v>
      </c>
      <c r="E32" s="79"/>
      <c r="F32" s="79"/>
    </row>
    <row r="33" spans="1:6" ht="15">
      <c r="A33" s="80" t="s">
        <v>583</v>
      </c>
      <c r="B33" s="79">
        <v>6</v>
      </c>
      <c r="C33" s="79" t="s">
        <v>585</v>
      </c>
      <c r="D33" s="79">
        <v>4</v>
      </c>
      <c r="E33" s="79"/>
      <c r="F33" s="79"/>
    </row>
    <row r="36" spans="1:6" ht="15" customHeight="1">
      <c r="A36" s="7" t="s">
        <v>590</v>
      </c>
      <c r="B36" s="7" t="s">
        <v>558</v>
      </c>
      <c r="C36" s="7" t="s">
        <v>601</v>
      </c>
      <c r="D36" s="7" t="s">
        <v>565</v>
      </c>
      <c r="E36" s="7" t="s">
        <v>602</v>
      </c>
      <c r="F36" s="7" t="s">
        <v>566</v>
      </c>
    </row>
    <row r="37" spans="1:6" ht="15">
      <c r="A37" s="85" t="s">
        <v>591</v>
      </c>
      <c r="B37" s="85">
        <v>41</v>
      </c>
      <c r="C37" s="85" t="s">
        <v>591</v>
      </c>
      <c r="D37" s="85">
        <v>37</v>
      </c>
      <c r="E37" s="85" t="s">
        <v>603</v>
      </c>
      <c r="F37" s="85">
        <v>4</v>
      </c>
    </row>
    <row r="38" spans="1:6" ht="15">
      <c r="A38" s="86" t="s">
        <v>592</v>
      </c>
      <c r="B38" s="85">
        <v>29</v>
      </c>
      <c r="C38" s="85" t="s">
        <v>592</v>
      </c>
      <c r="D38" s="85">
        <v>29</v>
      </c>
      <c r="E38" s="85" t="s">
        <v>604</v>
      </c>
      <c r="F38" s="85">
        <v>4</v>
      </c>
    </row>
    <row r="39" spans="1:6" ht="15">
      <c r="A39" s="86" t="s">
        <v>593</v>
      </c>
      <c r="B39" s="85">
        <v>14</v>
      </c>
      <c r="C39" s="85" t="s">
        <v>593</v>
      </c>
      <c r="D39" s="85">
        <v>14</v>
      </c>
      <c r="E39" s="85" t="s">
        <v>605</v>
      </c>
      <c r="F39" s="85">
        <v>4</v>
      </c>
    </row>
    <row r="40" spans="1:6" ht="15">
      <c r="A40" s="86" t="s">
        <v>594</v>
      </c>
      <c r="B40" s="85">
        <v>10</v>
      </c>
      <c r="C40" s="85" t="s">
        <v>594</v>
      </c>
      <c r="D40" s="85">
        <v>10</v>
      </c>
      <c r="E40" s="85" t="s">
        <v>606</v>
      </c>
      <c r="F40" s="85">
        <v>4</v>
      </c>
    </row>
    <row r="41" spans="1:6" ht="15">
      <c r="A41" s="86" t="s">
        <v>595</v>
      </c>
      <c r="B41" s="85">
        <v>9</v>
      </c>
      <c r="C41" s="85" t="s">
        <v>595</v>
      </c>
      <c r="D41" s="85">
        <v>9</v>
      </c>
      <c r="E41" s="85" t="s">
        <v>607</v>
      </c>
      <c r="F41" s="85">
        <v>4</v>
      </c>
    </row>
    <row r="42" spans="1:6" ht="15">
      <c r="A42" s="86" t="s">
        <v>596</v>
      </c>
      <c r="B42" s="85">
        <v>9</v>
      </c>
      <c r="C42" s="85" t="s">
        <v>596</v>
      </c>
      <c r="D42" s="85">
        <v>9</v>
      </c>
      <c r="E42" s="85" t="s">
        <v>591</v>
      </c>
      <c r="F42" s="85">
        <v>4</v>
      </c>
    </row>
    <row r="43" spans="1:6" ht="15">
      <c r="A43" s="86" t="s">
        <v>597</v>
      </c>
      <c r="B43" s="85">
        <v>8</v>
      </c>
      <c r="C43" s="85" t="s">
        <v>597</v>
      </c>
      <c r="D43" s="85">
        <v>8</v>
      </c>
      <c r="E43" s="85" t="s">
        <v>608</v>
      </c>
      <c r="F43" s="85">
        <v>4</v>
      </c>
    </row>
    <row r="44" spans="1:6" ht="15">
      <c r="A44" s="86" t="s">
        <v>598</v>
      </c>
      <c r="B44" s="85">
        <v>8</v>
      </c>
      <c r="C44" s="85" t="s">
        <v>598</v>
      </c>
      <c r="D44" s="85">
        <v>8</v>
      </c>
      <c r="E44" s="85" t="s">
        <v>609</v>
      </c>
      <c r="F44" s="85">
        <v>4</v>
      </c>
    </row>
    <row r="45" spans="1:6" ht="15">
      <c r="A45" s="86" t="s">
        <v>599</v>
      </c>
      <c r="B45" s="85">
        <v>8</v>
      </c>
      <c r="C45" s="85" t="s">
        <v>599</v>
      </c>
      <c r="D45" s="85">
        <v>8</v>
      </c>
      <c r="E45" s="85" t="s">
        <v>256</v>
      </c>
      <c r="F45" s="85">
        <v>3</v>
      </c>
    </row>
    <row r="46" spans="1:6" ht="15">
      <c r="A46" s="86" t="s">
        <v>600</v>
      </c>
      <c r="B46" s="85">
        <v>8</v>
      </c>
      <c r="C46" s="85" t="s">
        <v>600</v>
      </c>
      <c r="D46" s="85">
        <v>8</v>
      </c>
      <c r="E46" s="85" t="s">
        <v>257</v>
      </c>
      <c r="F46" s="85">
        <v>3</v>
      </c>
    </row>
    <row r="49" spans="1:6" ht="15" customHeight="1">
      <c r="A49" s="7" t="s">
        <v>613</v>
      </c>
      <c r="B49" s="7" t="s">
        <v>558</v>
      </c>
      <c r="C49" s="7" t="s">
        <v>624</v>
      </c>
      <c r="D49" s="7" t="s">
        <v>565</v>
      </c>
      <c r="E49" s="7" t="s">
        <v>625</v>
      </c>
      <c r="F49" s="7" t="s">
        <v>566</v>
      </c>
    </row>
    <row r="50" spans="1:6" ht="15">
      <c r="A50" s="85" t="s">
        <v>614</v>
      </c>
      <c r="B50" s="85">
        <v>9</v>
      </c>
      <c r="C50" s="85" t="s">
        <v>614</v>
      </c>
      <c r="D50" s="85">
        <v>9</v>
      </c>
      <c r="E50" s="85" t="s">
        <v>626</v>
      </c>
      <c r="F50" s="85">
        <v>4</v>
      </c>
    </row>
    <row r="51" spans="1:6" ht="15">
      <c r="A51" s="86" t="s">
        <v>615</v>
      </c>
      <c r="B51" s="85">
        <v>8</v>
      </c>
      <c r="C51" s="85" t="s">
        <v>615</v>
      </c>
      <c r="D51" s="85">
        <v>8</v>
      </c>
      <c r="E51" s="85" t="s">
        <v>627</v>
      </c>
      <c r="F51" s="85">
        <v>4</v>
      </c>
    </row>
    <row r="52" spans="1:6" ht="15">
      <c r="A52" s="86" t="s">
        <v>616</v>
      </c>
      <c r="B52" s="85">
        <v>7</v>
      </c>
      <c r="C52" s="85" t="s">
        <v>616</v>
      </c>
      <c r="D52" s="85">
        <v>7</v>
      </c>
      <c r="E52" s="85" t="s">
        <v>628</v>
      </c>
      <c r="F52" s="85">
        <v>4</v>
      </c>
    </row>
    <row r="53" spans="1:6" ht="15">
      <c r="A53" s="86" t="s">
        <v>617</v>
      </c>
      <c r="B53" s="85">
        <v>7</v>
      </c>
      <c r="C53" s="85" t="s">
        <v>617</v>
      </c>
      <c r="D53" s="85">
        <v>7</v>
      </c>
      <c r="E53" s="85" t="s">
        <v>629</v>
      </c>
      <c r="F53" s="85">
        <v>4</v>
      </c>
    </row>
    <row r="54" spans="1:6" ht="15">
      <c r="A54" s="86" t="s">
        <v>618</v>
      </c>
      <c r="B54" s="85">
        <v>7</v>
      </c>
      <c r="C54" s="85" t="s">
        <v>618</v>
      </c>
      <c r="D54" s="85">
        <v>7</v>
      </c>
      <c r="E54" s="85" t="s">
        <v>630</v>
      </c>
      <c r="F54" s="85">
        <v>4</v>
      </c>
    </row>
    <row r="55" spans="1:6" ht="15">
      <c r="A55" s="86" t="s">
        <v>619</v>
      </c>
      <c r="B55" s="85">
        <v>7</v>
      </c>
      <c r="C55" s="85" t="s">
        <v>619</v>
      </c>
      <c r="D55" s="85">
        <v>7</v>
      </c>
      <c r="E55" s="85" t="s">
        <v>631</v>
      </c>
      <c r="F55" s="85">
        <v>4</v>
      </c>
    </row>
    <row r="56" spans="1:6" ht="15">
      <c r="A56" s="86" t="s">
        <v>620</v>
      </c>
      <c r="B56" s="85">
        <v>7</v>
      </c>
      <c r="C56" s="85" t="s">
        <v>620</v>
      </c>
      <c r="D56" s="85">
        <v>7</v>
      </c>
      <c r="E56" s="85" t="s">
        <v>632</v>
      </c>
      <c r="F56" s="85">
        <v>4</v>
      </c>
    </row>
    <row r="57" spans="1:6" ht="15">
      <c r="A57" s="86" t="s">
        <v>621</v>
      </c>
      <c r="B57" s="85">
        <v>7</v>
      </c>
      <c r="C57" s="85" t="s">
        <v>621</v>
      </c>
      <c r="D57" s="85">
        <v>7</v>
      </c>
      <c r="E57" s="85" t="s">
        <v>633</v>
      </c>
      <c r="F57" s="85">
        <v>3</v>
      </c>
    </row>
    <row r="58" spans="1:6" ht="15">
      <c r="A58" s="86" t="s">
        <v>622</v>
      </c>
      <c r="B58" s="85">
        <v>7</v>
      </c>
      <c r="C58" s="85" t="s">
        <v>622</v>
      </c>
      <c r="D58" s="85">
        <v>7</v>
      </c>
      <c r="E58" s="85" t="s">
        <v>634</v>
      </c>
      <c r="F58" s="85">
        <v>3</v>
      </c>
    </row>
    <row r="59" spans="1:6" ht="15">
      <c r="A59" s="86" t="s">
        <v>623</v>
      </c>
      <c r="B59" s="85">
        <v>7</v>
      </c>
      <c r="C59" s="85" t="s">
        <v>623</v>
      </c>
      <c r="D59" s="85">
        <v>7</v>
      </c>
      <c r="E59" s="85"/>
      <c r="F59" s="85"/>
    </row>
    <row r="62" spans="1:6" ht="15" customHeight="1">
      <c r="A62" s="79" t="s">
        <v>638</v>
      </c>
      <c r="B62" s="79" t="s">
        <v>558</v>
      </c>
      <c r="C62" s="79" t="s">
        <v>640</v>
      </c>
      <c r="D62" s="79" t="s">
        <v>565</v>
      </c>
      <c r="E62" s="79" t="s">
        <v>641</v>
      </c>
      <c r="F62" s="79" t="s">
        <v>566</v>
      </c>
    </row>
    <row r="63" spans="1:6" ht="15">
      <c r="A63" s="79"/>
      <c r="B63" s="79"/>
      <c r="C63" s="79"/>
      <c r="D63" s="79"/>
      <c r="E63" s="79"/>
      <c r="F63" s="79"/>
    </row>
    <row r="65" spans="1:6" ht="15" customHeight="1">
      <c r="A65" s="7" t="s">
        <v>639</v>
      </c>
      <c r="B65" s="7" t="s">
        <v>558</v>
      </c>
      <c r="C65" s="7" t="s">
        <v>642</v>
      </c>
      <c r="D65" s="7" t="s">
        <v>565</v>
      </c>
      <c r="E65" s="7" t="s">
        <v>643</v>
      </c>
      <c r="F65" s="7" t="s">
        <v>566</v>
      </c>
    </row>
    <row r="66" spans="1:6" ht="15">
      <c r="A66" s="79" t="s">
        <v>256</v>
      </c>
      <c r="B66" s="79">
        <v>4</v>
      </c>
      <c r="C66" s="79" t="s">
        <v>269</v>
      </c>
      <c r="D66" s="79">
        <v>1</v>
      </c>
      <c r="E66" s="79" t="s">
        <v>256</v>
      </c>
      <c r="F66" s="79">
        <v>3</v>
      </c>
    </row>
    <row r="67" spans="1:6" ht="15">
      <c r="A67" s="80" t="s">
        <v>257</v>
      </c>
      <c r="B67" s="79">
        <v>4</v>
      </c>
      <c r="C67" s="79" t="s">
        <v>268</v>
      </c>
      <c r="D67" s="79">
        <v>1</v>
      </c>
      <c r="E67" s="79" t="s">
        <v>257</v>
      </c>
      <c r="F67" s="79">
        <v>3</v>
      </c>
    </row>
    <row r="68" spans="1:6" ht="15">
      <c r="A68" s="80" t="s">
        <v>269</v>
      </c>
      <c r="B68" s="79">
        <v>1</v>
      </c>
      <c r="C68" s="79" t="s">
        <v>267</v>
      </c>
      <c r="D68" s="79">
        <v>1</v>
      </c>
      <c r="E68" s="79"/>
      <c r="F68" s="79"/>
    </row>
    <row r="69" spans="1:6" ht="15">
      <c r="A69" s="80" t="s">
        <v>268</v>
      </c>
      <c r="B69" s="79">
        <v>1</v>
      </c>
      <c r="C69" s="79" t="s">
        <v>266</v>
      </c>
      <c r="D69" s="79">
        <v>1</v>
      </c>
      <c r="E69" s="79"/>
      <c r="F69" s="79"/>
    </row>
    <row r="70" spans="1:6" ht="15">
      <c r="A70" s="80" t="s">
        <v>267</v>
      </c>
      <c r="B70" s="79">
        <v>1</v>
      </c>
      <c r="C70" s="79" t="s">
        <v>265</v>
      </c>
      <c r="D70" s="79">
        <v>1</v>
      </c>
      <c r="E70" s="79"/>
      <c r="F70" s="79"/>
    </row>
    <row r="71" spans="1:6" ht="15">
      <c r="A71" s="80" t="s">
        <v>266</v>
      </c>
      <c r="B71" s="79">
        <v>1</v>
      </c>
      <c r="C71" s="79" t="s">
        <v>264</v>
      </c>
      <c r="D71" s="79">
        <v>1</v>
      </c>
      <c r="E71" s="79"/>
      <c r="F71" s="79"/>
    </row>
    <row r="72" spans="1:6" ht="15">
      <c r="A72" s="80" t="s">
        <v>265</v>
      </c>
      <c r="B72" s="79">
        <v>1</v>
      </c>
      <c r="C72" s="79" t="s">
        <v>263</v>
      </c>
      <c r="D72" s="79">
        <v>1</v>
      </c>
      <c r="E72" s="79"/>
      <c r="F72" s="79"/>
    </row>
    <row r="73" spans="1:6" ht="15">
      <c r="A73" s="80" t="s">
        <v>264</v>
      </c>
      <c r="B73" s="79">
        <v>1</v>
      </c>
      <c r="C73" s="79" t="s">
        <v>262</v>
      </c>
      <c r="D73" s="79">
        <v>1</v>
      </c>
      <c r="E73" s="79"/>
      <c r="F73" s="79"/>
    </row>
    <row r="74" spans="1:6" ht="15">
      <c r="A74" s="80" t="s">
        <v>263</v>
      </c>
      <c r="B74" s="79">
        <v>1</v>
      </c>
      <c r="C74" s="79" t="s">
        <v>261</v>
      </c>
      <c r="D74" s="79">
        <v>1</v>
      </c>
      <c r="E74" s="79"/>
      <c r="F74" s="79"/>
    </row>
    <row r="75" spans="1:6" ht="15">
      <c r="A75" s="80" t="s">
        <v>262</v>
      </c>
      <c r="B75" s="79">
        <v>1</v>
      </c>
      <c r="C75" s="79" t="s">
        <v>260</v>
      </c>
      <c r="D75" s="79">
        <v>1</v>
      </c>
      <c r="E75" s="79"/>
      <c r="F75" s="79"/>
    </row>
    <row r="78" spans="1:6" ht="15" customHeight="1">
      <c r="A78" s="7" t="s">
        <v>648</v>
      </c>
      <c r="B78" s="7" t="s">
        <v>558</v>
      </c>
      <c r="C78" s="7" t="s">
        <v>649</v>
      </c>
      <c r="D78" s="7" t="s">
        <v>565</v>
      </c>
      <c r="E78" s="7" t="s">
        <v>650</v>
      </c>
      <c r="F78" s="7" t="s">
        <v>566</v>
      </c>
    </row>
    <row r="79" spans="1:6" ht="15">
      <c r="A79" s="112" t="s">
        <v>251</v>
      </c>
      <c r="B79" s="79">
        <v>2128577</v>
      </c>
      <c r="C79" s="112" t="s">
        <v>251</v>
      </c>
      <c r="D79" s="79">
        <v>2128577</v>
      </c>
      <c r="E79" s="112" t="s">
        <v>256</v>
      </c>
      <c r="F79" s="79">
        <v>69810</v>
      </c>
    </row>
    <row r="80" spans="1:6" ht="15">
      <c r="A80" s="117" t="s">
        <v>265</v>
      </c>
      <c r="B80" s="79">
        <v>507670</v>
      </c>
      <c r="C80" s="112" t="s">
        <v>265</v>
      </c>
      <c r="D80" s="79">
        <v>507670</v>
      </c>
      <c r="E80" s="112" t="s">
        <v>249</v>
      </c>
      <c r="F80" s="79">
        <v>22057</v>
      </c>
    </row>
    <row r="81" spans="1:6" ht="15">
      <c r="A81" s="117" t="s">
        <v>252</v>
      </c>
      <c r="B81" s="79">
        <v>170857</v>
      </c>
      <c r="C81" s="112" t="s">
        <v>252</v>
      </c>
      <c r="D81" s="79">
        <v>170857</v>
      </c>
      <c r="E81" s="112" t="s">
        <v>255</v>
      </c>
      <c r="F81" s="79">
        <v>1742</v>
      </c>
    </row>
    <row r="82" spans="1:6" ht="15">
      <c r="A82" s="117" t="s">
        <v>267</v>
      </c>
      <c r="B82" s="79">
        <v>146633</v>
      </c>
      <c r="C82" s="112" t="s">
        <v>267</v>
      </c>
      <c r="D82" s="79">
        <v>146633</v>
      </c>
      <c r="E82" s="112"/>
      <c r="F82" s="79"/>
    </row>
    <row r="83" spans="1:6" ht="15">
      <c r="A83" s="117" t="s">
        <v>259</v>
      </c>
      <c r="B83" s="79">
        <v>84167</v>
      </c>
      <c r="C83" s="112" t="s">
        <v>259</v>
      </c>
      <c r="D83" s="79">
        <v>84167</v>
      </c>
      <c r="E83" s="112"/>
      <c r="F83" s="79"/>
    </row>
    <row r="84" spans="1:6" ht="15">
      <c r="A84" s="117" t="s">
        <v>263</v>
      </c>
      <c r="B84" s="79">
        <v>76023</v>
      </c>
      <c r="C84" s="112" t="s">
        <v>263</v>
      </c>
      <c r="D84" s="79">
        <v>76023</v>
      </c>
      <c r="E84" s="112"/>
      <c r="F84" s="79"/>
    </row>
    <row r="85" spans="1:6" ht="15">
      <c r="A85" s="117" t="s">
        <v>256</v>
      </c>
      <c r="B85" s="79">
        <v>69810</v>
      </c>
      <c r="C85" s="112" t="s">
        <v>261</v>
      </c>
      <c r="D85" s="79">
        <v>29052</v>
      </c>
      <c r="E85" s="112"/>
      <c r="F85" s="79"/>
    </row>
    <row r="86" spans="1:6" ht="15">
      <c r="A86" s="117" t="s">
        <v>261</v>
      </c>
      <c r="B86" s="79">
        <v>29052</v>
      </c>
      <c r="C86" s="112" t="s">
        <v>264</v>
      </c>
      <c r="D86" s="79">
        <v>26161</v>
      </c>
      <c r="E86" s="112"/>
      <c r="F86" s="79"/>
    </row>
    <row r="87" spans="1:6" ht="15">
      <c r="A87" s="117" t="s">
        <v>264</v>
      </c>
      <c r="B87" s="79">
        <v>26161</v>
      </c>
      <c r="C87" s="112" t="s">
        <v>254</v>
      </c>
      <c r="D87" s="79">
        <v>22975</v>
      </c>
      <c r="E87" s="112"/>
      <c r="F87" s="79"/>
    </row>
    <row r="88" spans="1:6" ht="15">
      <c r="A88" s="117" t="s">
        <v>254</v>
      </c>
      <c r="B88" s="79">
        <v>22975</v>
      </c>
      <c r="C88" s="112" t="s">
        <v>268</v>
      </c>
      <c r="D88" s="79">
        <v>20184</v>
      </c>
      <c r="E88" s="112"/>
      <c r="F88" s="79"/>
    </row>
  </sheetData>
  <hyperlinks>
    <hyperlink ref="A2" r:id="rId1" display="https://www.amazon.es/C%C3%93MO-ENCONTRAR-LOS-HASHTAGS-POTENTES-ebook/dp/B08D9W3Q3V/"/>
    <hyperlink ref="A3" r:id="rId2" display="https://vivianfrancos.com/sencalkapimi-cuando-es-el-hashtag-de-una-novela-el-que-genera-todas-las-pasiones/"/>
    <hyperlink ref="A4" r:id="rId3" display="https://twitter.com/elonmusk/status/1589791846737522688"/>
    <hyperlink ref="A5" r:id="rId4" display="https://eventbrite.com/e/2023-winter-school-social-networks-nodexl-pro-a-few-clicks-to-insights-tickets-393167403287"/>
    <hyperlink ref="A6" r:id="rId5" display="https://vivianfrancos.com/estrategia-para-twitter-ads-exitosos-conocer-de-que-y-como-habla-tu-audiencia-para-incrementar-resultados-de-impresiones-e-interacciones/"/>
    <hyperlink ref="A7" r:id="rId6" display="https://nodexlgraphgallery.org/Pages/Graph.aspx?graphID=284368"/>
    <hyperlink ref="A8" r:id="rId7" display="https://www.linkedin.com/feed/update/urn:li:ugcPost:6996488536824659969"/>
    <hyperlink ref="A9" r:id="rId8" display="https://vivianfrancos.com/revisa-esta-guia-de-hashtags-en-tiktok/"/>
    <hyperlink ref="A10" r:id="rId9" display="https://vivianfrancos.com/hashtags-para-pinterest-esto-es-todo-lo-que-necesitas-saber/"/>
    <hyperlink ref="A11" r:id="rId10" display="https://vivianfrancos.com/como-usar-hashtag-para-aumentar-las-ventas/"/>
    <hyperlink ref="C2" r:id="rId11" display="https://www.amazon.es/C%C3%93MO-ENCONTRAR-LOS-HASHTAGS-POTENTES-ebook/dp/B08D9W3Q3V/"/>
    <hyperlink ref="C3" r:id="rId12" display="https://eventbrite.com/e/2023-winter-school-social-networks-nodexl-pro-a-few-clicks-to-insights-tickets-393167403287"/>
    <hyperlink ref="C4" r:id="rId13" display="https://twitter.com/elonmusk/status/1589791846737522688"/>
    <hyperlink ref="C5" r:id="rId14" display="https://vivianfrancos.com/sencalkapimi-cuando-es-el-hashtag-de-una-novela-el-que-genera-todas-las-pasiones/"/>
    <hyperlink ref="C6" r:id="rId15" display="https://vivianfrancos.com/estrategia-para-twitter-ads-exitosos-conocer-de-que-y-como-habla-tu-audiencia-para-incrementar-resultados-de-impresiones-e-interacciones/"/>
    <hyperlink ref="C7" r:id="rId16" display="https://nodexlgraphgallery.org/Pages/Graph.aspx?graphID=284368"/>
    <hyperlink ref="C8" r:id="rId17" display="https://vivianfrancos.com/los-hashtags-ayudan-en-las-busquedas-de-oportunidades-laborales/"/>
    <hyperlink ref="C9" r:id="rId18" display="https://vivianfrancos.com/control-parental-de-tiktok-pueden-bloquear-terminos-de-busqueda-usuarios-y-hashtags/"/>
    <hyperlink ref="C10" r:id="rId19" display="https://vivianfrancos.com/linkedin-como-herramienta-de-ventas-b2b-para-tu-empresa/"/>
    <hyperlink ref="C11" r:id="rId20" display="https://vivianfrancos.com/comienza-desde-hoy-a-posicionar-tu-hashtags-como-todo-un-experto/"/>
    <hyperlink ref="E2" r:id="rId21" display="https://vivianfrancos.com/sencalkapimi-cuando-es-el-hashtag-de-una-novela-el-que-genera-todas-las-pasiones/"/>
  </hyperlinks>
  <printOptions/>
  <pageMargins left="0.7" right="0.7" top="0.75" bottom="0.75" header="0.3" footer="0.3"/>
  <pageSetup orientation="portrait" paperSize="9"/>
  <tableParts>
    <tablePart r:id="rId27"/>
    <tablePart r:id="rId29"/>
    <tablePart r:id="rId23"/>
    <tablePart r:id="rId25"/>
    <tablePart r:id="rId26"/>
    <tablePart r:id="rId28"/>
    <tablePart r:id="rId24"/>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EEB4-CAE7-4E4C-A67A-A370582D0D99}">
  <dimension ref="A1:G23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697</v>
      </c>
      <c r="B1" s="7" t="s">
        <v>794</v>
      </c>
      <c r="C1" s="7" t="s">
        <v>798</v>
      </c>
      <c r="D1" s="7" t="s">
        <v>144</v>
      </c>
      <c r="E1" s="7" t="s">
        <v>800</v>
      </c>
      <c r="F1" s="7" t="s">
        <v>801</v>
      </c>
      <c r="G1" s="7" t="s">
        <v>802</v>
      </c>
    </row>
    <row r="2" spans="1:7" ht="15">
      <c r="A2" s="79" t="s">
        <v>698</v>
      </c>
      <c r="B2" s="79" t="s">
        <v>795</v>
      </c>
      <c r="C2" s="120"/>
      <c r="D2" s="79"/>
      <c r="E2" s="79"/>
      <c r="F2" s="79"/>
      <c r="G2" s="79"/>
    </row>
    <row r="3" spans="1:7" ht="15">
      <c r="A3" s="80" t="s">
        <v>699</v>
      </c>
      <c r="B3" s="79" t="s">
        <v>796</v>
      </c>
      <c r="C3" s="120"/>
      <c r="D3" s="79"/>
      <c r="E3" s="79"/>
      <c r="F3" s="79"/>
      <c r="G3" s="79"/>
    </row>
    <row r="4" spans="1:7" ht="15">
      <c r="A4" s="80" t="s">
        <v>700</v>
      </c>
      <c r="B4" s="79" t="s">
        <v>797</v>
      </c>
      <c r="C4" s="120"/>
      <c r="D4" s="79"/>
      <c r="E4" s="79"/>
      <c r="F4" s="79"/>
      <c r="G4" s="79"/>
    </row>
    <row r="5" spans="1:7" ht="15">
      <c r="A5" s="80" t="s">
        <v>701</v>
      </c>
      <c r="B5" s="79">
        <v>8</v>
      </c>
      <c r="C5" s="120">
        <v>0.008978675645342313</v>
      </c>
      <c r="D5" s="79"/>
      <c r="E5" s="79"/>
      <c r="F5" s="79"/>
      <c r="G5" s="79"/>
    </row>
    <row r="6" spans="1:7" ht="15">
      <c r="A6" s="80" t="s">
        <v>702</v>
      </c>
      <c r="B6" s="79">
        <v>0</v>
      </c>
      <c r="C6" s="120">
        <v>0</v>
      </c>
      <c r="D6" s="79"/>
      <c r="E6" s="79"/>
      <c r="F6" s="79"/>
      <c r="G6" s="79"/>
    </row>
    <row r="7" spans="1:7" ht="15">
      <c r="A7" s="80" t="s">
        <v>703</v>
      </c>
      <c r="B7" s="79">
        <v>0</v>
      </c>
      <c r="C7" s="120">
        <v>0</v>
      </c>
      <c r="D7" s="79"/>
      <c r="E7" s="79"/>
      <c r="F7" s="79"/>
      <c r="G7" s="79"/>
    </row>
    <row r="8" spans="1:7" ht="15">
      <c r="A8" s="80" t="s">
        <v>704</v>
      </c>
      <c r="B8" s="79">
        <v>579</v>
      </c>
      <c r="C8" s="120">
        <v>0.6498316498316499</v>
      </c>
      <c r="D8" s="79"/>
      <c r="E8" s="79"/>
      <c r="F8" s="79"/>
      <c r="G8" s="79"/>
    </row>
    <row r="9" spans="1:7" ht="15">
      <c r="A9" s="80" t="s">
        <v>705</v>
      </c>
      <c r="B9" s="79">
        <v>891</v>
      </c>
      <c r="C9" s="120">
        <v>1</v>
      </c>
      <c r="D9" s="79"/>
      <c r="E9" s="79"/>
      <c r="F9" s="79"/>
      <c r="G9" s="79"/>
    </row>
    <row r="10" spans="1:7" ht="15">
      <c r="A10" s="86" t="s">
        <v>591</v>
      </c>
      <c r="B10" s="85">
        <v>41</v>
      </c>
      <c r="C10" s="121">
        <v>0</v>
      </c>
      <c r="D10" s="85" t="s">
        <v>799</v>
      </c>
      <c r="E10" s="85" t="b">
        <v>0</v>
      </c>
      <c r="F10" s="85" t="b">
        <v>0</v>
      </c>
      <c r="G10" s="85" t="b">
        <v>0</v>
      </c>
    </row>
    <row r="11" spans="1:7" ht="15">
      <c r="A11" s="86" t="s">
        <v>592</v>
      </c>
      <c r="B11" s="85">
        <v>29</v>
      </c>
      <c r="C11" s="121">
        <v>0.024477791248687077</v>
      </c>
      <c r="D11" s="85" t="s">
        <v>799</v>
      </c>
      <c r="E11" s="85" t="b">
        <v>0</v>
      </c>
      <c r="F11" s="85" t="b">
        <v>0</v>
      </c>
      <c r="G11" s="85" t="b">
        <v>0</v>
      </c>
    </row>
    <row r="12" spans="1:7" ht="15">
      <c r="A12" s="86" t="s">
        <v>593</v>
      </c>
      <c r="B12" s="85">
        <v>14</v>
      </c>
      <c r="C12" s="121">
        <v>0.01105445261350417</v>
      </c>
      <c r="D12" s="85" t="s">
        <v>799</v>
      </c>
      <c r="E12" s="85" t="b">
        <v>0</v>
      </c>
      <c r="F12" s="85" t="b">
        <v>0</v>
      </c>
      <c r="G12" s="85" t="b">
        <v>0</v>
      </c>
    </row>
    <row r="13" spans="1:7" ht="15">
      <c r="A13" s="86" t="s">
        <v>594</v>
      </c>
      <c r="B13" s="85">
        <v>10</v>
      </c>
      <c r="C13" s="121">
        <v>0.01036859317630686</v>
      </c>
      <c r="D13" s="85" t="s">
        <v>799</v>
      </c>
      <c r="E13" s="85" t="b">
        <v>0</v>
      </c>
      <c r="F13" s="85" t="b">
        <v>0</v>
      </c>
      <c r="G13" s="85" t="b">
        <v>0</v>
      </c>
    </row>
    <row r="14" spans="1:7" ht="15">
      <c r="A14" s="86" t="s">
        <v>595</v>
      </c>
      <c r="B14" s="85">
        <v>9</v>
      </c>
      <c r="C14" s="121">
        <v>0.010807520858798863</v>
      </c>
      <c r="D14" s="85" t="s">
        <v>799</v>
      </c>
      <c r="E14" s="85" t="b">
        <v>0</v>
      </c>
      <c r="F14" s="85" t="b">
        <v>0</v>
      </c>
      <c r="G14" s="85" t="b">
        <v>0</v>
      </c>
    </row>
    <row r="15" spans="1:7" ht="15">
      <c r="A15" s="86" t="s">
        <v>596</v>
      </c>
      <c r="B15" s="85">
        <v>9</v>
      </c>
      <c r="C15" s="121">
        <v>0.010028548435742293</v>
      </c>
      <c r="D15" s="85" t="s">
        <v>799</v>
      </c>
      <c r="E15" s="85" t="b">
        <v>0</v>
      </c>
      <c r="F15" s="85" t="b">
        <v>0</v>
      </c>
      <c r="G15" s="85" t="b">
        <v>0</v>
      </c>
    </row>
    <row r="16" spans="1:7" ht="15">
      <c r="A16" s="86" t="s">
        <v>597</v>
      </c>
      <c r="B16" s="85">
        <v>8</v>
      </c>
      <c r="C16" s="121">
        <v>0.010391686182138458</v>
      </c>
      <c r="D16" s="85" t="s">
        <v>799</v>
      </c>
      <c r="E16" s="85" t="b">
        <v>0</v>
      </c>
      <c r="F16" s="85" t="b">
        <v>0</v>
      </c>
      <c r="G16" s="85" t="b">
        <v>0</v>
      </c>
    </row>
    <row r="17" spans="1:7" ht="15">
      <c r="A17" s="86" t="s">
        <v>598</v>
      </c>
      <c r="B17" s="85">
        <v>8</v>
      </c>
      <c r="C17" s="121">
        <v>0.013681541325100143</v>
      </c>
      <c r="D17" s="85" t="s">
        <v>799</v>
      </c>
      <c r="E17" s="85" t="b">
        <v>0</v>
      </c>
      <c r="F17" s="85" t="b">
        <v>0</v>
      </c>
      <c r="G17" s="85" t="b">
        <v>0</v>
      </c>
    </row>
    <row r="18" spans="1:7" ht="15">
      <c r="A18" s="86" t="s">
        <v>599</v>
      </c>
      <c r="B18" s="85">
        <v>8</v>
      </c>
      <c r="C18" s="121">
        <v>0.013681541325100143</v>
      </c>
      <c r="D18" s="85" t="s">
        <v>799</v>
      </c>
      <c r="E18" s="85" t="b">
        <v>0</v>
      </c>
      <c r="F18" s="85" t="b">
        <v>0</v>
      </c>
      <c r="G18" s="85" t="b">
        <v>0</v>
      </c>
    </row>
    <row r="19" spans="1:7" ht="15">
      <c r="A19" s="86" t="s">
        <v>600</v>
      </c>
      <c r="B19" s="85">
        <v>8</v>
      </c>
      <c r="C19" s="121">
        <v>0.00960668520782121</v>
      </c>
      <c r="D19" s="85" t="s">
        <v>799</v>
      </c>
      <c r="E19" s="85" t="b">
        <v>0</v>
      </c>
      <c r="F19" s="85" t="b">
        <v>0</v>
      </c>
      <c r="G19" s="85" t="b">
        <v>0</v>
      </c>
    </row>
    <row r="20" spans="1:7" ht="15">
      <c r="A20" s="86" t="s">
        <v>706</v>
      </c>
      <c r="B20" s="85">
        <v>7</v>
      </c>
      <c r="C20" s="121">
        <v>0.009092725409371151</v>
      </c>
      <c r="D20" s="85" t="s">
        <v>799</v>
      </c>
      <c r="E20" s="85" t="b">
        <v>0</v>
      </c>
      <c r="F20" s="85" t="b">
        <v>0</v>
      </c>
      <c r="G20" s="85" t="b">
        <v>0</v>
      </c>
    </row>
    <row r="21" spans="1:7" ht="15">
      <c r="A21" s="86" t="s">
        <v>608</v>
      </c>
      <c r="B21" s="85">
        <v>7</v>
      </c>
      <c r="C21" s="121">
        <v>0.009092725409371151</v>
      </c>
      <c r="D21" s="85" t="s">
        <v>799</v>
      </c>
      <c r="E21" s="85" t="b">
        <v>0</v>
      </c>
      <c r="F21" s="85" t="b">
        <v>0</v>
      </c>
      <c r="G21" s="85" t="b">
        <v>0</v>
      </c>
    </row>
    <row r="22" spans="1:7" ht="15">
      <c r="A22" s="86" t="s">
        <v>707</v>
      </c>
      <c r="B22" s="85">
        <v>7</v>
      </c>
      <c r="C22" s="121">
        <v>0.009092725409371151</v>
      </c>
      <c r="D22" s="85" t="s">
        <v>799</v>
      </c>
      <c r="E22" s="85" t="b">
        <v>0</v>
      </c>
      <c r="F22" s="85" t="b">
        <v>0</v>
      </c>
      <c r="G22" s="85" t="b">
        <v>0</v>
      </c>
    </row>
    <row r="23" spans="1:7" ht="15">
      <c r="A23" s="86" t="s">
        <v>708</v>
      </c>
      <c r="B23" s="85">
        <v>7</v>
      </c>
      <c r="C23" s="121">
        <v>0.009092725409371151</v>
      </c>
      <c r="D23" s="85" t="s">
        <v>799</v>
      </c>
      <c r="E23" s="85" t="b">
        <v>0</v>
      </c>
      <c r="F23" s="85" t="b">
        <v>0</v>
      </c>
      <c r="G23" s="85" t="b">
        <v>0</v>
      </c>
    </row>
    <row r="24" spans="1:7" ht="15">
      <c r="A24" s="86" t="s">
        <v>709</v>
      </c>
      <c r="B24" s="85">
        <v>7</v>
      </c>
      <c r="C24" s="121">
        <v>0.009092725409371151</v>
      </c>
      <c r="D24" s="85" t="s">
        <v>799</v>
      </c>
      <c r="E24" s="85" t="b">
        <v>0</v>
      </c>
      <c r="F24" s="85" t="b">
        <v>0</v>
      </c>
      <c r="G24" s="85" t="b">
        <v>0</v>
      </c>
    </row>
    <row r="25" spans="1:7" ht="15">
      <c r="A25" s="86" t="s">
        <v>710</v>
      </c>
      <c r="B25" s="85">
        <v>7</v>
      </c>
      <c r="C25" s="121">
        <v>0.009092725409371151</v>
      </c>
      <c r="D25" s="85" t="s">
        <v>799</v>
      </c>
      <c r="E25" s="85" t="b">
        <v>1</v>
      </c>
      <c r="F25" s="85" t="b">
        <v>0</v>
      </c>
      <c r="G25" s="85" t="b">
        <v>0</v>
      </c>
    </row>
    <row r="26" spans="1:7" ht="15">
      <c r="A26" s="86" t="s">
        <v>603</v>
      </c>
      <c r="B26" s="85">
        <v>7</v>
      </c>
      <c r="C26" s="121">
        <v>0.009092725409371151</v>
      </c>
      <c r="D26" s="85" t="s">
        <v>799</v>
      </c>
      <c r="E26" s="85" t="b">
        <v>0</v>
      </c>
      <c r="F26" s="85" t="b">
        <v>0</v>
      </c>
      <c r="G26" s="85" t="b">
        <v>0</v>
      </c>
    </row>
    <row r="27" spans="1:7" ht="15">
      <c r="A27" s="86" t="s">
        <v>711</v>
      </c>
      <c r="B27" s="85">
        <v>7</v>
      </c>
      <c r="C27" s="121">
        <v>0.009092725409371151</v>
      </c>
      <c r="D27" s="85" t="s">
        <v>799</v>
      </c>
      <c r="E27" s="85" t="b">
        <v>0</v>
      </c>
      <c r="F27" s="85" t="b">
        <v>0</v>
      </c>
      <c r="G27" s="85" t="b">
        <v>0</v>
      </c>
    </row>
    <row r="28" spans="1:7" ht="15">
      <c r="A28" s="86" t="s">
        <v>712</v>
      </c>
      <c r="B28" s="85">
        <v>7</v>
      </c>
      <c r="C28" s="121">
        <v>0.009092725409371151</v>
      </c>
      <c r="D28" s="85" t="s">
        <v>799</v>
      </c>
      <c r="E28" s="85" t="b">
        <v>0</v>
      </c>
      <c r="F28" s="85" t="b">
        <v>0</v>
      </c>
      <c r="G28" s="85" t="b">
        <v>0</v>
      </c>
    </row>
    <row r="29" spans="1:7" ht="15">
      <c r="A29" s="86" t="s">
        <v>713</v>
      </c>
      <c r="B29" s="85">
        <v>7</v>
      </c>
      <c r="C29" s="121">
        <v>0.009092725409371151</v>
      </c>
      <c r="D29" s="85" t="s">
        <v>799</v>
      </c>
      <c r="E29" s="85" t="b">
        <v>0</v>
      </c>
      <c r="F29" s="85" t="b">
        <v>0</v>
      </c>
      <c r="G29" s="85" t="b">
        <v>0</v>
      </c>
    </row>
    <row r="30" spans="1:7" ht="15">
      <c r="A30" s="86" t="s">
        <v>609</v>
      </c>
      <c r="B30" s="85">
        <v>7</v>
      </c>
      <c r="C30" s="121">
        <v>0.009092725409371151</v>
      </c>
      <c r="D30" s="85" t="s">
        <v>799</v>
      </c>
      <c r="E30" s="85" t="b">
        <v>0</v>
      </c>
      <c r="F30" s="85" t="b">
        <v>0</v>
      </c>
      <c r="G30" s="85" t="b">
        <v>0</v>
      </c>
    </row>
    <row r="31" spans="1:7" ht="15">
      <c r="A31" s="86" t="s">
        <v>607</v>
      </c>
      <c r="B31" s="85">
        <v>6</v>
      </c>
      <c r="C31" s="121">
        <v>0.008473427475493317</v>
      </c>
      <c r="D31" s="85" t="s">
        <v>799</v>
      </c>
      <c r="E31" s="85" t="b">
        <v>0</v>
      </c>
      <c r="F31" s="85" t="b">
        <v>0</v>
      </c>
      <c r="G31" s="85" t="b">
        <v>0</v>
      </c>
    </row>
    <row r="32" spans="1:7" ht="15">
      <c r="A32" s="86" t="s">
        <v>604</v>
      </c>
      <c r="B32" s="85">
        <v>6</v>
      </c>
      <c r="C32" s="121">
        <v>0.008473427475493317</v>
      </c>
      <c r="D32" s="85" t="s">
        <v>799</v>
      </c>
      <c r="E32" s="85" t="b">
        <v>0</v>
      </c>
      <c r="F32" s="85" t="b">
        <v>0</v>
      </c>
      <c r="G32" s="85" t="b">
        <v>0</v>
      </c>
    </row>
    <row r="33" spans="1:7" ht="15">
      <c r="A33" s="86" t="s">
        <v>605</v>
      </c>
      <c r="B33" s="85">
        <v>6</v>
      </c>
      <c r="C33" s="121">
        <v>0.008473427475493317</v>
      </c>
      <c r="D33" s="85" t="s">
        <v>799</v>
      </c>
      <c r="E33" s="85" t="b">
        <v>0</v>
      </c>
      <c r="F33" s="85" t="b">
        <v>0</v>
      </c>
      <c r="G33" s="85" t="b">
        <v>0</v>
      </c>
    </row>
    <row r="34" spans="1:7" ht="15">
      <c r="A34" s="86" t="s">
        <v>606</v>
      </c>
      <c r="B34" s="85">
        <v>6</v>
      </c>
      <c r="C34" s="121">
        <v>0.008473427475493317</v>
      </c>
      <c r="D34" s="85" t="s">
        <v>799</v>
      </c>
      <c r="E34" s="85" t="b">
        <v>0</v>
      </c>
      <c r="F34" s="85" t="b">
        <v>0</v>
      </c>
      <c r="G34" s="85" t="b">
        <v>0</v>
      </c>
    </row>
    <row r="35" spans="1:7" ht="15">
      <c r="A35" s="86" t="s">
        <v>714</v>
      </c>
      <c r="B35" s="85">
        <v>6</v>
      </c>
      <c r="C35" s="121">
        <v>0.009277297993743315</v>
      </c>
      <c r="D35" s="85" t="s">
        <v>799</v>
      </c>
      <c r="E35" s="85" t="b">
        <v>0</v>
      </c>
      <c r="F35" s="85" t="b">
        <v>0</v>
      </c>
      <c r="G35" s="85" t="b">
        <v>0</v>
      </c>
    </row>
    <row r="36" spans="1:7" ht="15">
      <c r="A36" s="86" t="s">
        <v>715</v>
      </c>
      <c r="B36" s="85">
        <v>5</v>
      </c>
      <c r="C36" s="121">
        <v>0.007731081661452764</v>
      </c>
      <c r="D36" s="85" t="s">
        <v>799</v>
      </c>
      <c r="E36" s="85" t="b">
        <v>0</v>
      </c>
      <c r="F36" s="85" t="b">
        <v>0</v>
      </c>
      <c r="G36" s="85" t="b">
        <v>0</v>
      </c>
    </row>
    <row r="37" spans="1:7" ht="15">
      <c r="A37" s="86" t="s">
        <v>716</v>
      </c>
      <c r="B37" s="85">
        <v>5</v>
      </c>
      <c r="C37" s="121">
        <v>0.007731081661452764</v>
      </c>
      <c r="D37" s="85" t="s">
        <v>799</v>
      </c>
      <c r="E37" s="85" t="b">
        <v>0</v>
      </c>
      <c r="F37" s="85" t="b">
        <v>0</v>
      </c>
      <c r="G37" s="85" t="b">
        <v>0</v>
      </c>
    </row>
    <row r="38" spans="1:7" ht="15">
      <c r="A38" s="86" t="s">
        <v>717</v>
      </c>
      <c r="B38" s="85">
        <v>4</v>
      </c>
      <c r="C38" s="121">
        <v>0.006840770662550072</v>
      </c>
      <c r="D38" s="85" t="s">
        <v>799</v>
      </c>
      <c r="E38" s="85" t="b">
        <v>0</v>
      </c>
      <c r="F38" s="85" t="b">
        <v>0</v>
      </c>
      <c r="G38" s="85" t="b">
        <v>0</v>
      </c>
    </row>
    <row r="39" spans="1:7" ht="15">
      <c r="A39" s="86" t="s">
        <v>718</v>
      </c>
      <c r="B39" s="85">
        <v>4</v>
      </c>
      <c r="C39" s="121">
        <v>0.006840770662550072</v>
      </c>
      <c r="D39" s="85" t="s">
        <v>799</v>
      </c>
      <c r="E39" s="85" t="b">
        <v>0</v>
      </c>
      <c r="F39" s="85" t="b">
        <v>0</v>
      </c>
      <c r="G39" s="85" t="b">
        <v>0</v>
      </c>
    </row>
    <row r="40" spans="1:7" ht="15">
      <c r="A40" s="86" t="s">
        <v>719</v>
      </c>
      <c r="B40" s="85">
        <v>4</v>
      </c>
      <c r="C40" s="121">
        <v>0.006840770662550072</v>
      </c>
      <c r="D40" s="85" t="s">
        <v>799</v>
      </c>
      <c r="E40" s="85" t="b">
        <v>0</v>
      </c>
      <c r="F40" s="85" t="b">
        <v>0</v>
      </c>
      <c r="G40" s="85" t="b">
        <v>0</v>
      </c>
    </row>
    <row r="41" spans="1:7" ht="15">
      <c r="A41" s="86" t="s">
        <v>720</v>
      </c>
      <c r="B41" s="85">
        <v>4</v>
      </c>
      <c r="C41" s="121">
        <v>0.006840770662550072</v>
      </c>
      <c r="D41" s="85" t="s">
        <v>799</v>
      </c>
      <c r="E41" s="85" t="b">
        <v>0</v>
      </c>
      <c r="F41" s="85" t="b">
        <v>0</v>
      </c>
      <c r="G41" s="85" t="b">
        <v>0</v>
      </c>
    </row>
    <row r="42" spans="1:7" ht="15">
      <c r="A42" s="86" t="s">
        <v>256</v>
      </c>
      <c r="B42" s="85">
        <v>4</v>
      </c>
      <c r="C42" s="121">
        <v>0.006840770662550072</v>
      </c>
      <c r="D42" s="85" t="s">
        <v>799</v>
      </c>
      <c r="E42" s="85" t="b">
        <v>0</v>
      </c>
      <c r="F42" s="85" t="b">
        <v>0</v>
      </c>
      <c r="G42" s="85" t="b">
        <v>0</v>
      </c>
    </row>
    <row r="43" spans="1:7" ht="15">
      <c r="A43" s="86" t="s">
        <v>721</v>
      </c>
      <c r="B43" s="85">
        <v>4</v>
      </c>
      <c r="C43" s="121">
        <v>0.006840770662550072</v>
      </c>
      <c r="D43" s="85" t="s">
        <v>799</v>
      </c>
      <c r="E43" s="85" t="b">
        <v>0</v>
      </c>
      <c r="F43" s="85" t="b">
        <v>0</v>
      </c>
      <c r="G43" s="85" t="b">
        <v>0</v>
      </c>
    </row>
    <row r="44" spans="1:7" ht="15">
      <c r="A44" s="86" t="s">
        <v>722</v>
      </c>
      <c r="B44" s="85">
        <v>4</v>
      </c>
      <c r="C44" s="121">
        <v>0.006840770662550072</v>
      </c>
      <c r="D44" s="85" t="s">
        <v>799</v>
      </c>
      <c r="E44" s="85" t="b">
        <v>0</v>
      </c>
      <c r="F44" s="85" t="b">
        <v>0</v>
      </c>
      <c r="G44" s="85" t="b">
        <v>0</v>
      </c>
    </row>
    <row r="45" spans="1:7" ht="15">
      <c r="A45" s="86" t="s">
        <v>723</v>
      </c>
      <c r="B45" s="85">
        <v>4</v>
      </c>
      <c r="C45" s="121">
        <v>0.006840770662550072</v>
      </c>
      <c r="D45" s="85" t="s">
        <v>799</v>
      </c>
      <c r="E45" s="85" t="b">
        <v>0</v>
      </c>
      <c r="F45" s="85" t="b">
        <v>0</v>
      </c>
      <c r="G45" s="85" t="b">
        <v>0</v>
      </c>
    </row>
    <row r="46" spans="1:7" ht="15">
      <c r="A46" s="86" t="s">
        <v>724</v>
      </c>
      <c r="B46" s="85">
        <v>4</v>
      </c>
      <c r="C46" s="121">
        <v>0.006840770662550072</v>
      </c>
      <c r="D46" s="85" t="s">
        <v>799</v>
      </c>
      <c r="E46" s="85" t="b">
        <v>0</v>
      </c>
      <c r="F46" s="85" t="b">
        <v>0</v>
      </c>
      <c r="G46" s="85" t="b">
        <v>0</v>
      </c>
    </row>
    <row r="47" spans="1:7" ht="15">
      <c r="A47" s="86" t="s">
        <v>725</v>
      </c>
      <c r="B47" s="85">
        <v>4</v>
      </c>
      <c r="C47" s="121">
        <v>0.006840770662550072</v>
      </c>
      <c r="D47" s="85" t="s">
        <v>799</v>
      </c>
      <c r="E47" s="85" t="b">
        <v>0</v>
      </c>
      <c r="F47" s="85" t="b">
        <v>0</v>
      </c>
      <c r="G47" s="85" t="b">
        <v>0</v>
      </c>
    </row>
    <row r="48" spans="1:7" ht="15">
      <c r="A48" s="86" t="s">
        <v>257</v>
      </c>
      <c r="B48" s="85">
        <v>4</v>
      </c>
      <c r="C48" s="121">
        <v>0.006840770662550072</v>
      </c>
      <c r="D48" s="85" t="s">
        <v>799</v>
      </c>
      <c r="E48" s="85" t="b">
        <v>0</v>
      </c>
      <c r="F48" s="85" t="b">
        <v>0</v>
      </c>
      <c r="G48" s="85" t="b">
        <v>0</v>
      </c>
    </row>
    <row r="49" spans="1:7" ht="15">
      <c r="A49" s="86" t="s">
        <v>726</v>
      </c>
      <c r="B49" s="85">
        <v>4</v>
      </c>
      <c r="C49" s="121">
        <v>0.006840770662550072</v>
      </c>
      <c r="D49" s="85" t="s">
        <v>799</v>
      </c>
      <c r="E49" s="85" t="b">
        <v>0</v>
      </c>
      <c r="F49" s="85" t="b">
        <v>0</v>
      </c>
      <c r="G49" s="85" t="b">
        <v>0</v>
      </c>
    </row>
    <row r="50" spans="1:7" ht="15">
      <c r="A50" s="86" t="s">
        <v>727</v>
      </c>
      <c r="B50" s="85">
        <v>4</v>
      </c>
      <c r="C50" s="121">
        <v>0.006840770662550072</v>
      </c>
      <c r="D50" s="85" t="s">
        <v>799</v>
      </c>
      <c r="E50" s="85" t="b">
        <v>0</v>
      </c>
      <c r="F50" s="85" t="b">
        <v>0</v>
      </c>
      <c r="G50" s="85" t="b">
        <v>0</v>
      </c>
    </row>
    <row r="51" spans="1:7" ht="15">
      <c r="A51" s="86" t="s">
        <v>728</v>
      </c>
      <c r="B51" s="85">
        <v>4</v>
      </c>
      <c r="C51" s="121">
        <v>0.006840770662550072</v>
      </c>
      <c r="D51" s="85" t="s">
        <v>799</v>
      </c>
      <c r="E51" s="85" t="b">
        <v>0</v>
      </c>
      <c r="F51" s="85" t="b">
        <v>0</v>
      </c>
      <c r="G51" s="85" t="b">
        <v>0</v>
      </c>
    </row>
    <row r="52" spans="1:7" ht="15">
      <c r="A52" s="86" t="s">
        <v>729</v>
      </c>
      <c r="B52" s="85">
        <v>4</v>
      </c>
      <c r="C52" s="121">
        <v>0.006840770662550072</v>
      </c>
      <c r="D52" s="85" t="s">
        <v>799</v>
      </c>
      <c r="E52" s="85" t="b">
        <v>0</v>
      </c>
      <c r="F52" s="85" t="b">
        <v>0</v>
      </c>
      <c r="G52" s="85" t="b">
        <v>0</v>
      </c>
    </row>
    <row r="53" spans="1:7" ht="15">
      <c r="A53" s="86" t="s">
        <v>730</v>
      </c>
      <c r="B53" s="85">
        <v>4</v>
      </c>
      <c r="C53" s="121">
        <v>0.006840770662550072</v>
      </c>
      <c r="D53" s="85" t="s">
        <v>799</v>
      </c>
      <c r="E53" s="85" t="b">
        <v>0</v>
      </c>
      <c r="F53" s="85" t="b">
        <v>0</v>
      </c>
      <c r="G53" s="85" t="b">
        <v>0</v>
      </c>
    </row>
    <row r="54" spans="1:7" ht="15">
      <c r="A54" s="86" t="s">
        <v>731</v>
      </c>
      <c r="B54" s="85">
        <v>4</v>
      </c>
      <c r="C54" s="121">
        <v>0.006840770662550072</v>
      </c>
      <c r="D54" s="85" t="s">
        <v>799</v>
      </c>
      <c r="E54" s="85" t="b">
        <v>0</v>
      </c>
      <c r="F54" s="85" t="b">
        <v>0</v>
      </c>
      <c r="G54" s="85" t="b">
        <v>0</v>
      </c>
    </row>
    <row r="55" spans="1:7" ht="15">
      <c r="A55" s="86" t="s">
        <v>732</v>
      </c>
      <c r="B55" s="85">
        <v>4</v>
      </c>
      <c r="C55" s="121">
        <v>0.006840770662550072</v>
      </c>
      <c r="D55" s="85" t="s">
        <v>799</v>
      </c>
      <c r="E55" s="85" t="b">
        <v>0</v>
      </c>
      <c r="F55" s="85" t="b">
        <v>0</v>
      </c>
      <c r="G55" s="85" t="b">
        <v>0</v>
      </c>
    </row>
    <row r="56" spans="1:7" ht="15">
      <c r="A56" s="86" t="s">
        <v>733</v>
      </c>
      <c r="B56" s="85">
        <v>4</v>
      </c>
      <c r="C56" s="121">
        <v>0.006840770662550072</v>
      </c>
      <c r="D56" s="85" t="s">
        <v>799</v>
      </c>
      <c r="E56" s="85" t="b">
        <v>0</v>
      </c>
      <c r="F56" s="85" t="b">
        <v>0</v>
      </c>
      <c r="G56" s="85" t="b">
        <v>0</v>
      </c>
    </row>
    <row r="57" spans="1:7" ht="15">
      <c r="A57" s="86" t="s">
        <v>734</v>
      </c>
      <c r="B57" s="85">
        <v>4</v>
      </c>
      <c r="C57" s="121">
        <v>0.006840770662550072</v>
      </c>
      <c r="D57" s="85" t="s">
        <v>799</v>
      </c>
      <c r="E57" s="85" t="b">
        <v>0</v>
      </c>
      <c r="F57" s="85" t="b">
        <v>0</v>
      </c>
      <c r="G57" s="85" t="b">
        <v>0</v>
      </c>
    </row>
    <row r="58" spans="1:7" ht="15">
      <c r="A58" s="86" t="s">
        <v>735</v>
      </c>
      <c r="B58" s="85">
        <v>4</v>
      </c>
      <c r="C58" s="121">
        <v>0.006840770662550072</v>
      </c>
      <c r="D58" s="85" t="s">
        <v>799</v>
      </c>
      <c r="E58" s="85" t="b">
        <v>0</v>
      </c>
      <c r="F58" s="85" t="b">
        <v>0</v>
      </c>
      <c r="G58" s="85" t="b">
        <v>0</v>
      </c>
    </row>
    <row r="59" spans="1:7" ht="15">
      <c r="A59" s="86" t="s">
        <v>736</v>
      </c>
      <c r="B59" s="85">
        <v>4</v>
      </c>
      <c r="C59" s="121">
        <v>0.006840770662550072</v>
      </c>
      <c r="D59" s="85" t="s">
        <v>799</v>
      </c>
      <c r="E59" s="85" t="b">
        <v>0</v>
      </c>
      <c r="F59" s="85" t="b">
        <v>0</v>
      </c>
      <c r="G59" s="85" t="b">
        <v>0</v>
      </c>
    </row>
    <row r="60" spans="1:7" ht="15">
      <c r="A60" s="86" t="s">
        <v>737</v>
      </c>
      <c r="B60" s="85">
        <v>4</v>
      </c>
      <c r="C60" s="121">
        <v>0.006840770662550072</v>
      </c>
      <c r="D60" s="85" t="s">
        <v>799</v>
      </c>
      <c r="E60" s="85" t="b">
        <v>0</v>
      </c>
      <c r="F60" s="85" t="b">
        <v>0</v>
      </c>
      <c r="G60" s="85" t="b">
        <v>0</v>
      </c>
    </row>
    <row r="61" spans="1:7" ht="15">
      <c r="A61" s="86" t="s">
        <v>738</v>
      </c>
      <c r="B61" s="85">
        <v>4</v>
      </c>
      <c r="C61" s="121">
        <v>0.006840770662550072</v>
      </c>
      <c r="D61" s="85" t="s">
        <v>799</v>
      </c>
      <c r="E61" s="85" t="b">
        <v>0</v>
      </c>
      <c r="F61" s="85" t="b">
        <v>0</v>
      </c>
      <c r="G61" s="85" t="b">
        <v>0</v>
      </c>
    </row>
    <row r="62" spans="1:7" ht="15">
      <c r="A62" s="86" t="s">
        <v>739</v>
      </c>
      <c r="B62" s="85">
        <v>4</v>
      </c>
      <c r="C62" s="121">
        <v>0.006840770662550072</v>
      </c>
      <c r="D62" s="85" t="s">
        <v>799</v>
      </c>
      <c r="E62" s="85" t="b">
        <v>0</v>
      </c>
      <c r="F62" s="85" t="b">
        <v>0</v>
      </c>
      <c r="G62" s="85" t="b">
        <v>0</v>
      </c>
    </row>
    <row r="63" spans="1:7" ht="15">
      <c r="A63" s="86" t="s">
        <v>740</v>
      </c>
      <c r="B63" s="85">
        <v>4</v>
      </c>
      <c r="C63" s="121">
        <v>0.006840770662550072</v>
      </c>
      <c r="D63" s="85" t="s">
        <v>799</v>
      </c>
      <c r="E63" s="85" t="b">
        <v>0</v>
      </c>
      <c r="F63" s="85" t="b">
        <v>0</v>
      </c>
      <c r="G63" s="85" t="b">
        <v>0</v>
      </c>
    </row>
    <row r="64" spans="1:7" ht="15">
      <c r="A64" s="86" t="s">
        <v>741</v>
      </c>
      <c r="B64" s="85">
        <v>4</v>
      </c>
      <c r="C64" s="121">
        <v>0.006840770662550072</v>
      </c>
      <c r="D64" s="85" t="s">
        <v>799</v>
      </c>
      <c r="E64" s="85" t="b">
        <v>0</v>
      </c>
      <c r="F64" s="85" t="b">
        <v>0</v>
      </c>
      <c r="G64" s="85" t="b">
        <v>0</v>
      </c>
    </row>
    <row r="65" spans="1:7" ht="15">
      <c r="A65" s="86" t="s">
        <v>742</v>
      </c>
      <c r="B65" s="85">
        <v>4</v>
      </c>
      <c r="C65" s="121">
        <v>0.006840770662550072</v>
      </c>
      <c r="D65" s="85" t="s">
        <v>799</v>
      </c>
      <c r="E65" s="85" t="b">
        <v>0</v>
      </c>
      <c r="F65" s="85" t="b">
        <v>0</v>
      </c>
      <c r="G65" s="85" t="b">
        <v>0</v>
      </c>
    </row>
    <row r="66" spans="1:7" ht="15">
      <c r="A66" s="86" t="s">
        <v>743</v>
      </c>
      <c r="B66" s="85">
        <v>4</v>
      </c>
      <c r="C66" s="121">
        <v>0.006840770662550072</v>
      </c>
      <c r="D66" s="85" t="s">
        <v>799</v>
      </c>
      <c r="E66" s="85" t="b">
        <v>0</v>
      </c>
      <c r="F66" s="85" t="b">
        <v>0</v>
      </c>
      <c r="G66" s="85" t="b">
        <v>0</v>
      </c>
    </row>
    <row r="67" spans="1:7" ht="15">
      <c r="A67" s="86" t="s">
        <v>744</v>
      </c>
      <c r="B67" s="85">
        <v>4</v>
      </c>
      <c r="C67" s="121">
        <v>0.006840770662550072</v>
      </c>
      <c r="D67" s="85" t="s">
        <v>799</v>
      </c>
      <c r="E67" s="85" t="b">
        <v>0</v>
      </c>
      <c r="F67" s="85" t="b">
        <v>0</v>
      </c>
      <c r="G67" s="85" t="b">
        <v>0</v>
      </c>
    </row>
    <row r="68" spans="1:7" ht="15">
      <c r="A68" s="86" t="s">
        <v>745</v>
      </c>
      <c r="B68" s="85">
        <v>4</v>
      </c>
      <c r="C68" s="121">
        <v>0.006840770662550072</v>
      </c>
      <c r="D68" s="85" t="s">
        <v>799</v>
      </c>
      <c r="E68" s="85" t="b">
        <v>0</v>
      </c>
      <c r="F68" s="85" t="b">
        <v>0</v>
      </c>
      <c r="G68" s="85" t="b">
        <v>0</v>
      </c>
    </row>
    <row r="69" spans="1:7" ht="15">
      <c r="A69" s="86" t="s">
        <v>746</v>
      </c>
      <c r="B69" s="85">
        <v>4</v>
      </c>
      <c r="C69" s="121">
        <v>0.006840770662550072</v>
      </c>
      <c r="D69" s="85" t="s">
        <v>799</v>
      </c>
      <c r="E69" s="85" t="b">
        <v>0</v>
      </c>
      <c r="F69" s="85" t="b">
        <v>0</v>
      </c>
      <c r="G69" s="85" t="b">
        <v>0</v>
      </c>
    </row>
    <row r="70" spans="1:7" ht="15">
      <c r="A70" s="86" t="s">
        <v>747</v>
      </c>
      <c r="B70" s="85">
        <v>4</v>
      </c>
      <c r="C70" s="121">
        <v>0.006840770662550072</v>
      </c>
      <c r="D70" s="85" t="s">
        <v>799</v>
      </c>
      <c r="E70" s="85" t="b">
        <v>0</v>
      </c>
      <c r="F70" s="85" t="b">
        <v>0</v>
      </c>
      <c r="G70" s="85" t="b">
        <v>0</v>
      </c>
    </row>
    <row r="71" spans="1:7" ht="15">
      <c r="A71" s="86" t="s">
        <v>748</v>
      </c>
      <c r="B71" s="85">
        <v>4</v>
      </c>
      <c r="C71" s="121">
        <v>0.006840770662550072</v>
      </c>
      <c r="D71" s="85" t="s">
        <v>799</v>
      </c>
      <c r="E71" s="85" t="b">
        <v>0</v>
      </c>
      <c r="F71" s="85" t="b">
        <v>0</v>
      </c>
      <c r="G71" s="85" t="b">
        <v>0</v>
      </c>
    </row>
    <row r="72" spans="1:7" ht="15">
      <c r="A72" s="86" t="s">
        <v>749</v>
      </c>
      <c r="B72" s="85">
        <v>4</v>
      </c>
      <c r="C72" s="121">
        <v>0.006840770662550072</v>
      </c>
      <c r="D72" s="85" t="s">
        <v>799</v>
      </c>
      <c r="E72" s="85" t="b">
        <v>0</v>
      </c>
      <c r="F72" s="85" t="b">
        <v>0</v>
      </c>
      <c r="G72" s="85" t="b">
        <v>0</v>
      </c>
    </row>
    <row r="73" spans="1:7" ht="15">
      <c r="A73" s="86" t="s">
        <v>750</v>
      </c>
      <c r="B73" s="85">
        <v>4</v>
      </c>
      <c r="C73" s="121">
        <v>0.006840770662550072</v>
      </c>
      <c r="D73" s="85" t="s">
        <v>799</v>
      </c>
      <c r="E73" s="85" t="b">
        <v>0</v>
      </c>
      <c r="F73" s="85" t="b">
        <v>0</v>
      </c>
      <c r="G73" s="85" t="b">
        <v>0</v>
      </c>
    </row>
    <row r="74" spans="1:7" ht="15">
      <c r="A74" s="86" t="s">
        <v>751</v>
      </c>
      <c r="B74" s="85">
        <v>4</v>
      </c>
      <c r="C74" s="121">
        <v>0.006840770662550072</v>
      </c>
      <c r="D74" s="85" t="s">
        <v>799</v>
      </c>
      <c r="E74" s="85" t="b">
        <v>0</v>
      </c>
      <c r="F74" s="85" t="b">
        <v>0</v>
      </c>
      <c r="G74" s="85" t="b">
        <v>0</v>
      </c>
    </row>
    <row r="75" spans="1:7" ht="15">
      <c r="A75" s="86" t="s">
        <v>752</v>
      </c>
      <c r="B75" s="85">
        <v>4</v>
      </c>
      <c r="C75" s="121">
        <v>0.006840770662550072</v>
      </c>
      <c r="D75" s="85" t="s">
        <v>799</v>
      </c>
      <c r="E75" s="85" t="b">
        <v>0</v>
      </c>
      <c r="F75" s="85" t="b">
        <v>0</v>
      </c>
      <c r="G75" s="85" t="b">
        <v>0</v>
      </c>
    </row>
    <row r="76" spans="1:7" ht="15">
      <c r="A76" s="86" t="s">
        <v>753</v>
      </c>
      <c r="B76" s="85">
        <v>4</v>
      </c>
      <c r="C76" s="121">
        <v>0.006840770662550072</v>
      </c>
      <c r="D76" s="85" t="s">
        <v>799</v>
      </c>
      <c r="E76" s="85" t="b">
        <v>0</v>
      </c>
      <c r="F76" s="85" t="b">
        <v>0</v>
      </c>
      <c r="G76" s="85" t="b">
        <v>0</v>
      </c>
    </row>
    <row r="77" spans="1:7" ht="15">
      <c r="A77" s="86" t="s">
        <v>754</v>
      </c>
      <c r="B77" s="85">
        <v>4</v>
      </c>
      <c r="C77" s="121">
        <v>0.006840770662550072</v>
      </c>
      <c r="D77" s="85" t="s">
        <v>799</v>
      </c>
      <c r="E77" s="85" t="b">
        <v>0</v>
      </c>
      <c r="F77" s="85" t="b">
        <v>0</v>
      </c>
      <c r="G77" s="85" t="b">
        <v>0</v>
      </c>
    </row>
    <row r="78" spans="1:7" ht="15">
      <c r="A78" s="86" t="s">
        <v>755</v>
      </c>
      <c r="B78" s="85">
        <v>4</v>
      </c>
      <c r="C78" s="121">
        <v>0.006840770662550072</v>
      </c>
      <c r="D78" s="85" t="s">
        <v>799</v>
      </c>
      <c r="E78" s="85" t="b">
        <v>0</v>
      </c>
      <c r="F78" s="85" t="b">
        <v>0</v>
      </c>
      <c r="G78" s="85" t="b">
        <v>0</v>
      </c>
    </row>
    <row r="79" spans="1:7" ht="15">
      <c r="A79" s="86" t="s">
        <v>756</v>
      </c>
      <c r="B79" s="85">
        <v>4</v>
      </c>
      <c r="C79" s="121">
        <v>0.006840770662550072</v>
      </c>
      <c r="D79" s="85" t="s">
        <v>799</v>
      </c>
      <c r="E79" s="85" t="b">
        <v>0</v>
      </c>
      <c r="F79" s="85" t="b">
        <v>0</v>
      </c>
      <c r="G79" s="85" t="b">
        <v>0</v>
      </c>
    </row>
    <row r="80" spans="1:7" ht="15">
      <c r="A80" s="86" t="s">
        <v>757</v>
      </c>
      <c r="B80" s="85">
        <v>4</v>
      </c>
      <c r="C80" s="121">
        <v>0.006840770662550072</v>
      </c>
      <c r="D80" s="85" t="s">
        <v>799</v>
      </c>
      <c r="E80" s="85" t="b">
        <v>0</v>
      </c>
      <c r="F80" s="85" t="b">
        <v>0</v>
      </c>
      <c r="G80" s="85" t="b">
        <v>0</v>
      </c>
    </row>
    <row r="81" spans="1:7" ht="15">
      <c r="A81" s="86" t="s">
        <v>758</v>
      </c>
      <c r="B81" s="85">
        <v>4</v>
      </c>
      <c r="C81" s="121">
        <v>0.006840770662550072</v>
      </c>
      <c r="D81" s="85" t="s">
        <v>799</v>
      </c>
      <c r="E81" s="85" t="b">
        <v>0</v>
      </c>
      <c r="F81" s="85" t="b">
        <v>0</v>
      </c>
      <c r="G81" s="85" t="b">
        <v>0</v>
      </c>
    </row>
    <row r="82" spans="1:7" ht="15">
      <c r="A82" s="86" t="s">
        <v>759</v>
      </c>
      <c r="B82" s="85">
        <v>4</v>
      </c>
      <c r="C82" s="121">
        <v>0.006840770662550072</v>
      </c>
      <c r="D82" s="85" t="s">
        <v>799</v>
      </c>
      <c r="E82" s="85" t="b">
        <v>0</v>
      </c>
      <c r="F82" s="85" t="b">
        <v>0</v>
      </c>
      <c r="G82" s="85" t="b">
        <v>0</v>
      </c>
    </row>
    <row r="83" spans="1:7" ht="15">
      <c r="A83" s="86" t="s">
        <v>760</v>
      </c>
      <c r="B83" s="85">
        <v>4</v>
      </c>
      <c r="C83" s="121">
        <v>0.006840770662550072</v>
      </c>
      <c r="D83" s="85" t="s">
        <v>799</v>
      </c>
      <c r="E83" s="85" t="b">
        <v>0</v>
      </c>
      <c r="F83" s="85" t="b">
        <v>0</v>
      </c>
      <c r="G83" s="85" t="b">
        <v>0</v>
      </c>
    </row>
    <row r="84" spans="1:7" ht="15">
      <c r="A84" s="86" t="s">
        <v>761</v>
      </c>
      <c r="B84" s="85">
        <v>2</v>
      </c>
      <c r="C84" s="121">
        <v>0.004439099360594769</v>
      </c>
      <c r="D84" s="85" t="s">
        <v>799</v>
      </c>
      <c r="E84" s="85" t="b">
        <v>0</v>
      </c>
      <c r="F84" s="85" t="b">
        <v>0</v>
      </c>
      <c r="G84" s="85" t="b">
        <v>0</v>
      </c>
    </row>
    <row r="85" spans="1:7" ht="15">
      <c r="A85" s="86" t="s">
        <v>762</v>
      </c>
      <c r="B85" s="85">
        <v>2</v>
      </c>
      <c r="C85" s="121">
        <v>0.004439099360594769</v>
      </c>
      <c r="D85" s="85" t="s">
        <v>799</v>
      </c>
      <c r="E85" s="85" t="b">
        <v>0</v>
      </c>
      <c r="F85" s="85" t="b">
        <v>0</v>
      </c>
      <c r="G85" s="85" t="b">
        <v>0</v>
      </c>
    </row>
    <row r="86" spans="1:7" ht="15">
      <c r="A86" s="86" t="s">
        <v>763</v>
      </c>
      <c r="B86" s="85">
        <v>2</v>
      </c>
      <c r="C86" s="121">
        <v>0.004439099360594769</v>
      </c>
      <c r="D86" s="85" t="s">
        <v>799</v>
      </c>
      <c r="E86" s="85" t="b">
        <v>0</v>
      </c>
      <c r="F86" s="85" t="b">
        <v>0</v>
      </c>
      <c r="G86" s="85" t="b">
        <v>0</v>
      </c>
    </row>
    <row r="87" spans="1:7" ht="15">
      <c r="A87" s="86" t="s">
        <v>764</v>
      </c>
      <c r="B87" s="85">
        <v>2</v>
      </c>
      <c r="C87" s="121">
        <v>0.004439099360594769</v>
      </c>
      <c r="D87" s="85" t="s">
        <v>799</v>
      </c>
      <c r="E87" s="85" t="b">
        <v>0</v>
      </c>
      <c r="F87" s="85" t="b">
        <v>0</v>
      </c>
      <c r="G87" s="85" t="b">
        <v>0</v>
      </c>
    </row>
    <row r="88" spans="1:7" ht="15">
      <c r="A88" s="86" t="s">
        <v>765</v>
      </c>
      <c r="B88" s="85">
        <v>2</v>
      </c>
      <c r="C88" s="121">
        <v>0.004439099360594769</v>
      </c>
      <c r="D88" s="85" t="s">
        <v>799</v>
      </c>
      <c r="E88" s="85" t="b">
        <v>0</v>
      </c>
      <c r="F88" s="85" t="b">
        <v>0</v>
      </c>
      <c r="G88" s="85" t="b">
        <v>0</v>
      </c>
    </row>
    <row r="89" spans="1:7" ht="15">
      <c r="A89" s="86" t="s">
        <v>766</v>
      </c>
      <c r="B89" s="85">
        <v>2</v>
      </c>
      <c r="C89" s="121">
        <v>0.004439099360594769</v>
      </c>
      <c r="D89" s="85" t="s">
        <v>799</v>
      </c>
      <c r="E89" s="85" t="b">
        <v>0</v>
      </c>
      <c r="F89" s="85" t="b">
        <v>0</v>
      </c>
      <c r="G89" s="85" t="b">
        <v>0</v>
      </c>
    </row>
    <row r="90" spans="1:7" ht="15">
      <c r="A90" s="86" t="s">
        <v>767</v>
      </c>
      <c r="B90" s="85">
        <v>2</v>
      </c>
      <c r="C90" s="121">
        <v>0.004439099360594769</v>
      </c>
      <c r="D90" s="85" t="s">
        <v>799</v>
      </c>
      <c r="E90" s="85" t="b">
        <v>0</v>
      </c>
      <c r="F90" s="85" t="b">
        <v>0</v>
      </c>
      <c r="G90" s="85" t="b">
        <v>0</v>
      </c>
    </row>
    <row r="91" spans="1:7" ht="15">
      <c r="A91" s="86" t="s">
        <v>768</v>
      </c>
      <c r="B91" s="85">
        <v>2</v>
      </c>
      <c r="C91" s="121">
        <v>0.004439099360594769</v>
      </c>
      <c r="D91" s="85" t="s">
        <v>799</v>
      </c>
      <c r="E91" s="85" t="b">
        <v>0</v>
      </c>
      <c r="F91" s="85" t="b">
        <v>0</v>
      </c>
      <c r="G91" s="85" t="b">
        <v>0</v>
      </c>
    </row>
    <row r="92" spans="1:7" ht="15">
      <c r="A92" s="86" t="s">
        <v>269</v>
      </c>
      <c r="B92" s="85">
        <v>2</v>
      </c>
      <c r="C92" s="121">
        <v>0.004439099360594769</v>
      </c>
      <c r="D92" s="85" t="s">
        <v>799</v>
      </c>
      <c r="E92" s="85" t="b">
        <v>0</v>
      </c>
      <c r="F92" s="85" t="b">
        <v>0</v>
      </c>
      <c r="G92" s="85" t="b">
        <v>0</v>
      </c>
    </row>
    <row r="93" spans="1:7" ht="15">
      <c r="A93" s="86" t="s">
        <v>769</v>
      </c>
      <c r="B93" s="85">
        <v>2</v>
      </c>
      <c r="C93" s="121">
        <v>0.004439099360594769</v>
      </c>
      <c r="D93" s="85" t="s">
        <v>799</v>
      </c>
      <c r="E93" s="85" t="b">
        <v>0</v>
      </c>
      <c r="F93" s="85" t="b">
        <v>0</v>
      </c>
      <c r="G93" s="85" t="b">
        <v>0</v>
      </c>
    </row>
    <row r="94" spans="1:7" ht="15">
      <c r="A94" s="86" t="s">
        <v>770</v>
      </c>
      <c r="B94" s="85">
        <v>2</v>
      </c>
      <c r="C94" s="121">
        <v>0.004439099360594769</v>
      </c>
      <c r="D94" s="85" t="s">
        <v>799</v>
      </c>
      <c r="E94" s="85" t="b">
        <v>0</v>
      </c>
      <c r="F94" s="85" t="b">
        <v>0</v>
      </c>
      <c r="G94" s="85" t="b">
        <v>0</v>
      </c>
    </row>
    <row r="95" spans="1:7" ht="15">
      <c r="A95" s="86" t="s">
        <v>771</v>
      </c>
      <c r="B95" s="85">
        <v>2</v>
      </c>
      <c r="C95" s="121">
        <v>0.004439099360594769</v>
      </c>
      <c r="D95" s="85" t="s">
        <v>799</v>
      </c>
      <c r="E95" s="85" t="b">
        <v>0</v>
      </c>
      <c r="F95" s="85" t="b">
        <v>0</v>
      </c>
      <c r="G95" s="85" t="b">
        <v>0</v>
      </c>
    </row>
    <row r="96" spans="1:7" ht="15">
      <c r="A96" s="86" t="s">
        <v>772</v>
      </c>
      <c r="B96" s="85">
        <v>2</v>
      </c>
      <c r="C96" s="121">
        <v>0.004439099360594769</v>
      </c>
      <c r="D96" s="85" t="s">
        <v>799</v>
      </c>
      <c r="E96" s="85" t="b">
        <v>0</v>
      </c>
      <c r="F96" s="85" t="b">
        <v>0</v>
      </c>
      <c r="G96" s="85" t="b">
        <v>0</v>
      </c>
    </row>
    <row r="97" spans="1:7" ht="15">
      <c r="A97" s="86" t="s">
        <v>773</v>
      </c>
      <c r="B97" s="85">
        <v>2</v>
      </c>
      <c r="C97" s="121">
        <v>0.004439099360594769</v>
      </c>
      <c r="D97" s="85" t="s">
        <v>799</v>
      </c>
      <c r="E97" s="85" t="b">
        <v>0</v>
      </c>
      <c r="F97" s="85" t="b">
        <v>0</v>
      </c>
      <c r="G97" s="85" t="b">
        <v>0</v>
      </c>
    </row>
    <row r="98" spans="1:7" ht="15">
      <c r="A98" s="86" t="s">
        <v>774</v>
      </c>
      <c r="B98" s="85">
        <v>2</v>
      </c>
      <c r="C98" s="121">
        <v>0.004439099360594769</v>
      </c>
      <c r="D98" s="85" t="s">
        <v>799</v>
      </c>
      <c r="E98" s="85" t="b">
        <v>0</v>
      </c>
      <c r="F98" s="85" t="b">
        <v>0</v>
      </c>
      <c r="G98" s="85" t="b">
        <v>0</v>
      </c>
    </row>
    <row r="99" spans="1:7" ht="15">
      <c r="A99" s="86" t="s">
        <v>775</v>
      </c>
      <c r="B99" s="85">
        <v>2</v>
      </c>
      <c r="C99" s="121">
        <v>0.004439099360594769</v>
      </c>
      <c r="D99" s="85" t="s">
        <v>799</v>
      </c>
      <c r="E99" s="85" t="b">
        <v>0</v>
      </c>
      <c r="F99" s="85" t="b">
        <v>0</v>
      </c>
      <c r="G99" s="85" t="b">
        <v>0</v>
      </c>
    </row>
    <row r="100" spans="1:7" ht="15">
      <c r="A100" s="86" t="s">
        <v>776</v>
      </c>
      <c r="B100" s="85">
        <v>2</v>
      </c>
      <c r="C100" s="121">
        <v>0.004439099360594769</v>
      </c>
      <c r="D100" s="85" t="s">
        <v>799</v>
      </c>
      <c r="E100" s="85" t="b">
        <v>0</v>
      </c>
      <c r="F100" s="85" t="b">
        <v>0</v>
      </c>
      <c r="G100" s="85" t="b">
        <v>0</v>
      </c>
    </row>
    <row r="101" spans="1:7" ht="15">
      <c r="A101" s="86" t="s">
        <v>777</v>
      </c>
      <c r="B101" s="85">
        <v>2</v>
      </c>
      <c r="C101" s="121">
        <v>0.005457813389914502</v>
      </c>
      <c r="D101" s="85" t="s">
        <v>799</v>
      </c>
      <c r="E101" s="85" t="b">
        <v>0</v>
      </c>
      <c r="F101" s="85" t="b">
        <v>0</v>
      </c>
      <c r="G101" s="85" t="b">
        <v>0</v>
      </c>
    </row>
    <row r="102" spans="1:7" ht="15">
      <c r="A102" s="86" t="s">
        <v>778</v>
      </c>
      <c r="B102" s="85">
        <v>2</v>
      </c>
      <c r="C102" s="121">
        <v>0.004439099360594769</v>
      </c>
      <c r="D102" s="85" t="s">
        <v>799</v>
      </c>
      <c r="E102" s="85" t="b">
        <v>0</v>
      </c>
      <c r="F102" s="85" t="b">
        <v>0</v>
      </c>
      <c r="G102" s="85" t="b">
        <v>0</v>
      </c>
    </row>
    <row r="103" spans="1:7" ht="15">
      <c r="A103" s="86" t="s">
        <v>779</v>
      </c>
      <c r="B103" s="85">
        <v>2</v>
      </c>
      <c r="C103" s="121">
        <v>0.004439099360594769</v>
      </c>
      <c r="D103" s="85" t="s">
        <v>799</v>
      </c>
      <c r="E103" s="85" t="b">
        <v>0</v>
      </c>
      <c r="F103" s="85" t="b">
        <v>0</v>
      </c>
      <c r="G103" s="85" t="b">
        <v>0</v>
      </c>
    </row>
    <row r="104" spans="1:7" ht="15">
      <c r="A104" s="86" t="s">
        <v>780</v>
      </c>
      <c r="B104" s="85">
        <v>2</v>
      </c>
      <c r="C104" s="121">
        <v>0.004439099360594769</v>
      </c>
      <c r="D104" s="85" t="s">
        <v>799</v>
      </c>
      <c r="E104" s="85" t="b">
        <v>0</v>
      </c>
      <c r="F104" s="85" t="b">
        <v>0</v>
      </c>
      <c r="G104" s="85" t="b">
        <v>0</v>
      </c>
    </row>
    <row r="105" spans="1:7" ht="15">
      <c r="A105" s="86" t="s">
        <v>781</v>
      </c>
      <c r="B105" s="85">
        <v>2</v>
      </c>
      <c r="C105" s="121">
        <v>0.005457813389914502</v>
      </c>
      <c r="D105" s="85" t="s">
        <v>799</v>
      </c>
      <c r="E105" s="85" t="b">
        <v>0</v>
      </c>
      <c r="F105" s="85" t="b">
        <v>0</v>
      </c>
      <c r="G105" s="85" t="b">
        <v>0</v>
      </c>
    </row>
    <row r="106" spans="1:7" ht="15">
      <c r="A106" s="86" t="s">
        <v>782</v>
      </c>
      <c r="B106" s="85">
        <v>2</v>
      </c>
      <c r="C106" s="121">
        <v>0.004439099360594769</v>
      </c>
      <c r="D106" s="85" t="s">
        <v>799</v>
      </c>
      <c r="E106" s="85" t="b">
        <v>0</v>
      </c>
      <c r="F106" s="85" t="b">
        <v>0</v>
      </c>
      <c r="G106" s="85" t="b">
        <v>0</v>
      </c>
    </row>
    <row r="107" spans="1:7" ht="15">
      <c r="A107" s="86" t="s">
        <v>783</v>
      </c>
      <c r="B107" s="85">
        <v>2</v>
      </c>
      <c r="C107" s="121">
        <v>0.004439099360594769</v>
      </c>
      <c r="D107" s="85" t="s">
        <v>799</v>
      </c>
      <c r="E107" s="85" t="b">
        <v>0</v>
      </c>
      <c r="F107" s="85" t="b">
        <v>0</v>
      </c>
      <c r="G107" s="85" t="b">
        <v>0</v>
      </c>
    </row>
    <row r="108" spans="1:7" ht="15">
      <c r="A108" s="86" t="s">
        <v>784</v>
      </c>
      <c r="B108" s="85">
        <v>2</v>
      </c>
      <c r="C108" s="121">
        <v>0.004439099360594769</v>
      </c>
      <c r="D108" s="85" t="s">
        <v>799</v>
      </c>
      <c r="E108" s="85" t="b">
        <v>0</v>
      </c>
      <c r="F108" s="85" t="b">
        <v>0</v>
      </c>
      <c r="G108" s="85" t="b">
        <v>0</v>
      </c>
    </row>
    <row r="109" spans="1:7" ht="15">
      <c r="A109" s="86" t="s">
        <v>576</v>
      </c>
      <c r="B109" s="85">
        <v>2</v>
      </c>
      <c r="C109" s="121">
        <v>0.004439099360594769</v>
      </c>
      <c r="D109" s="85" t="s">
        <v>799</v>
      </c>
      <c r="E109" s="85" t="b">
        <v>0</v>
      </c>
      <c r="F109" s="85" t="b">
        <v>0</v>
      </c>
      <c r="G109" s="85" t="b">
        <v>0</v>
      </c>
    </row>
    <row r="110" spans="1:7" ht="15">
      <c r="A110" s="86" t="s">
        <v>785</v>
      </c>
      <c r="B110" s="85">
        <v>2</v>
      </c>
      <c r="C110" s="121">
        <v>0.004439099360594769</v>
      </c>
      <c r="D110" s="85" t="s">
        <v>799</v>
      </c>
      <c r="E110" s="85" t="b">
        <v>0</v>
      </c>
      <c r="F110" s="85" t="b">
        <v>0</v>
      </c>
      <c r="G110" s="85" t="b">
        <v>0</v>
      </c>
    </row>
    <row r="111" spans="1:7" ht="15">
      <c r="A111" s="86" t="s">
        <v>786</v>
      </c>
      <c r="B111" s="85">
        <v>2</v>
      </c>
      <c r="C111" s="121">
        <v>0.004439099360594769</v>
      </c>
      <c r="D111" s="85" t="s">
        <v>799</v>
      </c>
      <c r="E111" s="85" t="b">
        <v>0</v>
      </c>
      <c r="F111" s="85" t="b">
        <v>0</v>
      </c>
      <c r="G111" s="85" t="b">
        <v>0</v>
      </c>
    </row>
    <row r="112" spans="1:7" ht="15">
      <c r="A112" s="86" t="s">
        <v>787</v>
      </c>
      <c r="B112" s="85">
        <v>2</v>
      </c>
      <c r="C112" s="121">
        <v>0.004439099360594769</v>
      </c>
      <c r="D112" s="85" t="s">
        <v>799</v>
      </c>
      <c r="E112" s="85" t="b">
        <v>0</v>
      </c>
      <c r="F112" s="85" t="b">
        <v>0</v>
      </c>
      <c r="G112" s="85" t="b">
        <v>0</v>
      </c>
    </row>
    <row r="113" spans="1:7" ht="15">
      <c r="A113" s="86" t="s">
        <v>788</v>
      </c>
      <c r="B113" s="85">
        <v>2</v>
      </c>
      <c r="C113" s="121">
        <v>0.004439099360594769</v>
      </c>
      <c r="D113" s="85" t="s">
        <v>799</v>
      </c>
      <c r="E113" s="85" t="b">
        <v>0</v>
      </c>
      <c r="F113" s="85" t="b">
        <v>0</v>
      </c>
      <c r="G113" s="85" t="b">
        <v>0</v>
      </c>
    </row>
    <row r="114" spans="1:7" ht="15">
      <c r="A114" s="86" t="s">
        <v>789</v>
      </c>
      <c r="B114" s="85">
        <v>2</v>
      </c>
      <c r="C114" s="121">
        <v>0.004439099360594769</v>
      </c>
      <c r="D114" s="85" t="s">
        <v>799</v>
      </c>
      <c r="E114" s="85" t="b">
        <v>0</v>
      </c>
      <c r="F114" s="85" t="b">
        <v>0</v>
      </c>
      <c r="G114" s="85" t="b">
        <v>0</v>
      </c>
    </row>
    <row r="115" spans="1:7" ht="15">
      <c r="A115" s="86" t="s">
        <v>790</v>
      </c>
      <c r="B115" s="85">
        <v>2</v>
      </c>
      <c r="C115" s="121">
        <v>0.005457813389914502</v>
      </c>
      <c r="D115" s="85" t="s">
        <v>799</v>
      </c>
      <c r="E115" s="85" t="b">
        <v>0</v>
      </c>
      <c r="F115" s="85" t="b">
        <v>0</v>
      </c>
      <c r="G115" s="85" t="b">
        <v>0</v>
      </c>
    </row>
    <row r="116" spans="1:7" ht="15">
      <c r="A116" s="86" t="s">
        <v>791</v>
      </c>
      <c r="B116" s="85">
        <v>2</v>
      </c>
      <c r="C116" s="121">
        <v>0.004439099360594769</v>
      </c>
      <c r="D116" s="85" t="s">
        <v>799</v>
      </c>
      <c r="E116" s="85" t="b">
        <v>0</v>
      </c>
      <c r="F116" s="85" t="b">
        <v>0</v>
      </c>
      <c r="G116" s="85" t="b">
        <v>0</v>
      </c>
    </row>
    <row r="117" spans="1:7" ht="15">
      <c r="A117" s="86" t="s">
        <v>792</v>
      </c>
      <c r="B117" s="85">
        <v>2</v>
      </c>
      <c r="C117" s="121">
        <v>0.004439099360594769</v>
      </c>
      <c r="D117" s="85" t="s">
        <v>799</v>
      </c>
      <c r="E117" s="85" t="b">
        <v>0</v>
      </c>
      <c r="F117" s="85" t="b">
        <v>0</v>
      </c>
      <c r="G117" s="85" t="b">
        <v>0</v>
      </c>
    </row>
    <row r="118" spans="1:7" ht="15">
      <c r="A118" s="86" t="s">
        <v>793</v>
      </c>
      <c r="B118" s="85">
        <v>2</v>
      </c>
      <c r="C118" s="121">
        <v>0.004439099360594769</v>
      </c>
      <c r="D118" s="85" t="s">
        <v>799</v>
      </c>
      <c r="E118" s="85" t="b">
        <v>0</v>
      </c>
      <c r="F118" s="85" t="b">
        <v>0</v>
      </c>
      <c r="G118" s="85" t="b">
        <v>0</v>
      </c>
    </row>
    <row r="119" spans="1:7" ht="15">
      <c r="A119" s="86" t="s">
        <v>591</v>
      </c>
      <c r="B119" s="85">
        <v>37</v>
      </c>
      <c r="C119" s="121">
        <v>0</v>
      </c>
      <c r="D119" s="85" t="s">
        <v>540</v>
      </c>
      <c r="E119" s="85" t="b">
        <v>0</v>
      </c>
      <c r="F119" s="85" t="b">
        <v>0</v>
      </c>
      <c r="G119" s="85" t="b">
        <v>0</v>
      </c>
    </row>
    <row r="120" spans="1:7" ht="15">
      <c r="A120" s="86" t="s">
        <v>592</v>
      </c>
      <c r="B120" s="85">
        <v>29</v>
      </c>
      <c r="C120" s="121">
        <v>0.02382186759682566</v>
      </c>
      <c r="D120" s="85" t="s">
        <v>540</v>
      </c>
      <c r="E120" s="85" t="b">
        <v>0</v>
      </c>
      <c r="F120" s="85" t="b">
        <v>0</v>
      </c>
      <c r="G120" s="85" t="b">
        <v>0</v>
      </c>
    </row>
    <row r="121" spans="1:7" ht="15">
      <c r="A121" s="86" t="s">
        <v>593</v>
      </c>
      <c r="B121" s="85">
        <v>14</v>
      </c>
      <c r="C121" s="121">
        <v>0.010685409832626759</v>
      </c>
      <c r="D121" s="85" t="s">
        <v>540</v>
      </c>
      <c r="E121" s="85" t="b">
        <v>0</v>
      </c>
      <c r="F121" s="85" t="b">
        <v>0</v>
      </c>
      <c r="G121" s="85" t="b">
        <v>0</v>
      </c>
    </row>
    <row r="122" spans="1:7" ht="15">
      <c r="A122" s="86" t="s">
        <v>594</v>
      </c>
      <c r="B122" s="85">
        <v>10</v>
      </c>
      <c r="C122" s="121">
        <v>0.010274895552748553</v>
      </c>
      <c r="D122" s="85" t="s">
        <v>540</v>
      </c>
      <c r="E122" s="85" t="b">
        <v>0</v>
      </c>
      <c r="F122" s="85" t="b">
        <v>0</v>
      </c>
      <c r="G122" s="85" t="b">
        <v>0</v>
      </c>
    </row>
    <row r="123" spans="1:7" ht="15">
      <c r="A123" s="86" t="s">
        <v>595</v>
      </c>
      <c r="B123" s="85">
        <v>9</v>
      </c>
      <c r="C123" s="121">
        <v>0.010824603315868831</v>
      </c>
      <c r="D123" s="85" t="s">
        <v>540</v>
      </c>
      <c r="E123" s="85" t="b">
        <v>0</v>
      </c>
      <c r="F123" s="85" t="b">
        <v>0</v>
      </c>
      <c r="G123" s="85" t="b">
        <v>0</v>
      </c>
    </row>
    <row r="124" spans="1:7" ht="15">
      <c r="A124" s="86" t="s">
        <v>596</v>
      </c>
      <c r="B124" s="85">
        <v>9</v>
      </c>
      <c r="C124" s="121">
        <v>0.009992102950540744</v>
      </c>
      <c r="D124" s="85" t="s">
        <v>540</v>
      </c>
      <c r="E124" s="85" t="b">
        <v>0</v>
      </c>
      <c r="F124" s="85" t="b">
        <v>0</v>
      </c>
      <c r="G124" s="85" t="b">
        <v>0</v>
      </c>
    </row>
    <row r="125" spans="1:7" ht="15">
      <c r="A125" s="86" t="s">
        <v>597</v>
      </c>
      <c r="B125" s="85">
        <v>8</v>
      </c>
      <c r="C125" s="121">
        <v>0.010460812789189701</v>
      </c>
      <c r="D125" s="85" t="s">
        <v>540</v>
      </c>
      <c r="E125" s="85" t="b">
        <v>0</v>
      </c>
      <c r="F125" s="85" t="b">
        <v>0</v>
      </c>
      <c r="G125" s="85" t="b">
        <v>0</v>
      </c>
    </row>
    <row r="126" spans="1:7" ht="15">
      <c r="A126" s="86" t="s">
        <v>598</v>
      </c>
      <c r="B126" s="85">
        <v>8</v>
      </c>
      <c r="C126" s="121">
        <v>0.013976733927508608</v>
      </c>
      <c r="D126" s="85" t="s">
        <v>540</v>
      </c>
      <c r="E126" s="85" t="b">
        <v>0</v>
      </c>
      <c r="F126" s="85" t="b">
        <v>0</v>
      </c>
      <c r="G126" s="85" t="b">
        <v>0</v>
      </c>
    </row>
    <row r="127" spans="1:7" ht="15">
      <c r="A127" s="86" t="s">
        <v>599</v>
      </c>
      <c r="B127" s="85">
        <v>8</v>
      </c>
      <c r="C127" s="121">
        <v>0.013976733927508608</v>
      </c>
      <c r="D127" s="85" t="s">
        <v>540</v>
      </c>
      <c r="E127" s="85" t="b">
        <v>0</v>
      </c>
      <c r="F127" s="85" t="b">
        <v>0</v>
      </c>
      <c r="G127" s="85" t="b">
        <v>0</v>
      </c>
    </row>
    <row r="128" spans="1:7" ht="15">
      <c r="A128" s="86" t="s">
        <v>600</v>
      </c>
      <c r="B128" s="85">
        <v>8</v>
      </c>
      <c r="C128" s="121">
        <v>0.009621869614105626</v>
      </c>
      <c r="D128" s="85" t="s">
        <v>540</v>
      </c>
      <c r="E128" s="85" t="b">
        <v>0</v>
      </c>
      <c r="F128" s="85" t="b">
        <v>0</v>
      </c>
      <c r="G128" s="85" t="b">
        <v>0</v>
      </c>
    </row>
    <row r="129" spans="1:7" ht="15">
      <c r="A129" s="86" t="s">
        <v>706</v>
      </c>
      <c r="B129" s="85">
        <v>7</v>
      </c>
      <c r="C129" s="121">
        <v>0.009153211190540989</v>
      </c>
      <c r="D129" s="85" t="s">
        <v>540</v>
      </c>
      <c r="E129" s="85" t="b">
        <v>0</v>
      </c>
      <c r="F129" s="85" t="b">
        <v>0</v>
      </c>
      <c r="G129" s="85" t="b">
        <v>0</v>
      </c>
    </row>
    <row r="130" spans="1:7" ht="15">
      <c r="A130" s="86" t="s">
        <v>707</v>
      </c>
      <c r="B130" s="85">
        <v>7</v>
      </c>
      <c r="C130" s="121">
        <v>0.009153211190540989</v>
      </c>
      <c r="D130" s="85" t="s">
        <v>540</v>
      </c>
      <c r="E130" s="85" t="b">
        <v>0</v>
      </c>
      <c r="F130" s="85" t="b">
        <v>0</v>
      </c>
      <c r="G130" s="85" t="b">
        <v>0</v>
      </c>
    </row>
    <row r="131" spans="1:7" ht="15">
      <c r="A131" s="86" t="s">
        <v>708</v>
      </c>
      <c r="B131" s="85">
        <v>7</v>
      </c>
      <c r="C131" s="121">
        <v>0.009153211190540989</v>
      </c>
      <c r="D131" s="85" t="s">
        <v>540</v>
      </c>
      <c r="E131" s="85" t="b">
        <v>0</v>
      </c>
      <c r="F131" s="85" t="b">
        <v>0</v>
      </c>
      <c r="G131" s="85" t="b">
        <v>0</v>
      </c>
    </row>
    <row r="132" spans="1:7" ht="15">
      <c r="A132" s="86" t="s">
        <v>709</v>
      </c>
      <c r="B132" s="85">
        <v>7</v>
      </c>
      <c r="C132" s="121">
        <v>0.009153211190540989</v>
      </c>
      <c r="D132" s="85" t="s">
        <v>540</v>
      </c>
      <c r="E132" s="85" t="b">
        <v>0</v>
      </c>
      <c r="F132" s="85" t="b">
        <v>0</v>
      </c>
      <c r="G132" s="85" t="b">
        <v>0</v>
      </c>
    </row>
    <row r="133" spans="1:7" ht="15">
      <c r="A133" s="86" t="s">
        <v>710</v>
      </c>
      <c r="B133" s="85">
        <v>7</v>
      </c>
      <c r="C133" s="121">
        <v>0.009153211190540989</v>
      </c>
      <c r="D133" s="85" t="s">
        <v>540</v>
      </c>
      <c r="E133" s="85" t="b">
        <v>1</v>
      </c>
      <c r="F133" s="85" t="b">
        <v>0</v>
      </c>
      <c r="G133" s="85" t="b">
        <v>0</v>
      </c>
    </row>
    <row r="134" spans="1:7" ht="15">
      <c r="A134" s="86" t="s">
        <v>711</v>
      </c>
      <c r="B134" s="85">
        <v>7</v>
      </c>
      <c r="C134" s="121">
        <v>0.009153211190540989</v>
      </c>
      <c r="D134" s="85" t="s">
        <v>540</v>
      </c>
      <c r="E134" s="85" t="b">
        <v>0</v>
      </c>
      <c r="F134" s="85" t="b">
        <v>0</v>
      </c>
      <c r="G134" s="85" t="b">
        <v>0</v>
      </c>
    </row>
    <row r="135" spans="1:7" ht="15">
      <c r="A135" s="86" t="s">
        <v>712</v>
      </c>
      <c r="B135" s="85">
        <v>7</v>
      </c>
      <c r="C135" s="121">
        <v>0.009153211190540989</v>
      </c>
      <c r="D135" s="85" t="s">
        <v>540</v>
      </c>
      <c r="E135" s="85" t="b">
        <v>0</v>
      </c>
      <c r="F135" s="85" t="b">
        <v>0</v>
      </c>
      <c r="G135" s="85" t="b">
        <v>0</v>
      </c>
    </row>
    <row r="136" spans="1:7" ht="15">
      <c r="A136" s="86" t="s">
        <v>713</v>
      </c>
      <c r="B136" s="85">
        <v>7</v>
      </c>
      <c r="C136" s="121">
        <v>0.009153211190540989</v>
      </c>
      <c r="D136" s="85" t="s">
        <v>540</v>
      </c>
      <c r="E136" s="85" t="b">
        <v>0</v>
      </c>
      <c r="F136" s="85" t="b">
        <v>0</v>
      </c>
      <c r="G136" s="85" t="b">
        <v>0</v>
      </c>
    </row>
    <row r="137" spans="1:7" ht="15">
      <c r="A137" s="86" t="s">
        <v>714</v>
      </c>
      <c r="B137" s="85">
        <v>6</v>
      </c>
      <c r="C137" s="121">
        <v>0.00943108556670137</v>
      </c>
      <c r="D137" s="85" t="s">
        <v>540</v>
      </c>
      <c r="E137" s="85" t="b">
        <v>0</v>
      </c>
      <c r="F137" s="85" t="b">
        <v>0</v>
      </c>
      <c r="G137" s="85" t="b">
        <v>0</v>
      </c>
    </row>
    <row r="138" spans="1:7" ht="15">
      <c r="A138" s="86" t="s">
        <v>715</v>
      </c>
      <c r="B138" s="85">
        <v>5</v>
      </c>
      <c r="C138" s="121">
        <v>0.007859237972251142</v>
      </c>
      <c r="D138" s="85" t="s">
        <v>540</v>
      </c>
      <c r="E138" s="85" t="b">
        <v>0</v>
      </c>
      <c r="F138" s="85" t="b">
        <v>0</v>
      </c>
      <c r="G138" s="85" t="b">
        <v>0</v>
      </c>
    </row>
    <row r="139" spans="1:7" ht="15">
      <c r="A139" s="86" t="s">
        <v>716</v>
      </c>
      <c r="B139" s="85">
        <v>5</v>
      </c>
      <c r="C139" s="121">
        <v>0.007859237972251142</v>
      </c>
      <c r="D139" s="85" t="s">
        <v>540</v>
      </c>
      <c r="E139" s="85" t="b">
        <v>0</v>
      </c>
      <c r="F139" s="85" t="b">
        <v>0</v>
      </c>
      <c r="G139" s="85" t="b">
        <v>0</v>
      </c>
    </row>
    <row r="140" spans="1:7" ht="15">
      <c r="A140" s="86" t="s">
        <v>717</v>
      </c>
      <c r="B140" s="85">
        <v>4</v>
      </c>
      <c r="C140" s="121">
        <v>0.006988366963754304</v>
      </c>
      <c r="D140" s="85" t="s">
        <v>540</v>
      </c>
      <c r="E140" s="85" t="b">
        <v>0</v>
      </c>
      <c r="F140" s="85" t="b">
        <v>0</v>
      </c>
      <c r="G140" s="85" t="b">
        <v>0</v>
      </c>
    </row>
    <row r="141" spans="1:7" ht="15">
      <c r="A141" s="86" t="s">
        <v>718</v>
      </c>
      <c r="B141" s="85">
        <v>4</v>
      </c>
      <c r="C141" s="121">
        <v>0.006988366963754304</v>
      </c>
      <c r="D141" s="85" t="s">
        <v>540</v>
      </c>
      <c r="E141" s="85" t="b">
        <v>0</v>
      </c>
      <c r="F141" s="85" t="b">
        <v>0</v>
      </c>
      <c r="G141" s="85" t="b">
        <v>0</v>
      </c>
    </row>
    <row r="142" spans="1:7" ht="15">
      <c r="A142" s="86" t="s">
        <v>719</v>
      </c>
      <c r="B142" s="85">
        <v>4</v>
      </c>
      <c r="C142" s="121">
        <v>0.006988366963754304</v>
      </c>
      <c r="D142" s="85" t="s">
        <v>540</v>
      </c>
      <c r="E142" s="85" t="b">
        <v>0</v>
      </c>
      <c r="F142" s="85" t="b">
        <v>0</v>
      </c>
      <c r="G142" s="85" t="b">
        <v>0</v>
      </c>
    </row>
    <row r="143" spans="1:7" ht="15">
      <c r="A143" s="86" t="s">
        <v>720</v>
      </c>
      <c r="B143" s="85">
        <v>4</v>
      </c>
      <c r="C143" s="121">
        <v>0.006988366963754304</v>
      </c>
      <c r="D143" s="85" t="s">
        <v>540</v>
      </c>
      <c r="E143" s="85" t="b">
        <v>0</v>
      </c>
      <c r="F143" s="85" t="b">
        <v>0</v>
      </c>
      <c r="G143" s="85" t="b">
        <v>0</v>
      </c>
    </row>
    <row r="144" spans="1:7" ht="15">
      <c r="A144" s="86" t="s">
        <v>721</v>
      </c>
      <c r="B144" s="85">
        <v>4</v>
      </c>
      <c r="C144" s="121">
        <v>0.006988366963754304</v>
      </c>
      <c r="D144" s="85" t="s">
        <v>540</v>
      </c>
      <c r="E144" s="85" t="b">
        <v>0</v>
      </c>
      <c r="F144" s="85" t="b">
        <v>0</v>
      </c>
      <c r="G144" s="85" t="b">
        <v>0</v>
      </c>
    </row>
    <row r="145" spans="1:7" ht="15">
      <c r="A145" s="86" t="s">
        <v>722</v>
      </c>
      <c r="B145" s="85">
        <v>4</v>
      </c>
      <c r="C145" s="121">
        <v>0.006988366963754304</v>
      </c>
      <c r="D145" s="85" t="s">
        <v>540</v>
      </c>
      <c r="E145" s="85" t="b">
        <v>0</v>
      </c>
      <c r="F145" s="85" t="b">
        <v>0</v>
      </c>
      <c r="G145" s="85" t="b">
        <v>0</v>
      </c>
    </row>
    <row r="146" spans="1:7" ht="15">
      <c r="A146" s="86" t="s">
        <v>723</v>
      </c>
      <c r="B146" s="85">
        <v>4</v>
      </c>
      <c r="C146" s="121">
        <v>0.006988366963754304</v>
      </c>
      <c r="D146" s="85" t="s">
        <v>540</v>
      </c>
      <c r="E146" s="85" t="b">
        <v>0</v>
      </c>
      <c r="F146" s="85" t="b">
        <v>0</v>
      </c>
      <c r="G146" s="85" t="b">
        <v>0</v>
      </c>
    </row>
    <row r="147" spans="1:7" ht="15">
      <c r="A147" s="86" t="s">
        <v>724</v>
      </c>
      <c r="B147" s="85">
        <v>4</v>
      </c>
      <c r="C147" s="121">
        <v>0.006988366963754304</v>
      </c>
      <c r="D147" s="85" t="s">
        <v>540</v>
      </c>
      <c r="E147" s="85" t="b">
        <v>0</v>
      </c>
      <c r="F147" s="85" t="b">
        <v>0</v>
      </c>
      <c r="G147" s="85" t="b">
        <v>0</v>
      </c>
    </row>
    <row r="148" spans="1:7" ht="15">
      <c r="A148" s="86" t="s">
        <v>725</v>
      </c>
      <c r="B148" s="85">
        <v>4</v>
      </c>
      <c r="C148" s="121">
        <v>0.006988366963754304</v>
      </c>
      <c r="D148" s="85" t="s">
        <v>540</v>
      </c>
      <c r="E148" s="85" t="b">
        <v>0</v>
      </c>
      <c r="F148" s="85" t="b">
        <v>0</v>
      </c>
      <c r="G148" s="85" t="b">
        <v>0</v>
      </c>
    </row>
    <row r="149" spans="1:7" ht="15">
      <c r="A149" s="86" t="s">
        <v>726</v>
      </c>
      <c r="B149" s="85">
        <v>4</v>
      </c>
      <c r="C149" s="121">
        <v>0.006988366963754304</v>
      </c>
      <c r="D149" s="85" t="s">
        <v>540</v>
      </c>
      <c r="E149" s="85" t="b">
        <v>0</v>
      </c>
      <c r="F149" s="85" t="b">
        <v>0</v>
      </c>
      <c r="G149" s="85" t="b">
        <v>0</v>
      </c>
    </row>
    <row r="150" spans="1:7" ht="15">
      <c r="A150" s="86" t="s">
        <v>727</v>
      </c>
      <c r="B150" s="85">
        <v>4</v>
      </c>
      <c r="C150" s="121">
        <v>0.006988366963754304</v>
      </c>
      <c r="D150" s="85" t="s">
        <v>540</v>
      </c>
      <c r="E150" s="85" t="b">
        <v>0</v>
      </c>
      <c r="F150" s="85" t="b">
        <v>0</v>
      </c>
      <c r="G150" s="85" t="b">
        <v>0</v>
      </c>
    </row>
    <row r="151" spans="1:7" ht="15">
      <c r="A151" s="86" t="s">
        <v>728</v>
      </c>
      <c r="B151" s="85">
        <v>4</v>
      </c>
      <c r="C151" s="121">
        <v>0.006988366963754304</v>
      </c>
      <c r="D151" s="85" t="s">
        <v>540</v>
      </c>
      <c r="E151" s="85" t="b">
        <v>0</v>
      </c>
      <c r="F151" s="85" t="b">
        <v>0</v>
      </c>
      <c r="G151" s="85" t="b">
        <v>0</v>
      </c>
    </row>
    <row r="152" spans="1:7" ht="15">
      <c r="A152" s="86" t="s">
        <v>729</v>
      </c>
      <c r="B152" s="85">
        <v>4</v>
      </c>
      <c r="C152" s="121">
        <v>0.006988366963754304</v>
      </c>
      <c r="D152" s="85" t="s">
        <v>540</v>
      </c>
      <c r="E152" s="85" t="b">
        <v>0</v>
      </c>
      <c r="F152" s="85" t="b">
        <v>0</v>
      </c>
      <c r="G152" s="85" t="b">
        <v>0</v>
      </c>
    </row>
    <row r="153" spans="1:7" ht="15">
      <c r="A153" s="86" t="s">
        <v>730</v>
      </c>
      <c r="B153" s="85">
        <v>4</v>
      </c>
      <c r="C153" s="121">
        <v>0.006988366963754304</v>
      </c>
      <c r="D153" s="85" t="s">
        <v>540</v>
      </c>
      <c r="E153" s="85" t="b">
        <v>0</v>
      </c>
      <c r="F153" s="85" t="b">
        <v>0</v>
      </c>
      <c r="G153" s="85" t="b">
        <v>0</v>
      </c>
    </row>
    <row r="154" spans="1:7" ht="15">
      <c r="A154" s="86" t="s">
        <v>731</v>
      </c>
      <c r="B154" s="85">
        <v>4</v>
      </c>
      <c r="C154" s="121">
        <v>0.006988366963754304</v>
      </c>
      <c r="D154" s="85" t="s">
        <v>540</v>
      </c>
      <c r="E154" s="85" t="b">
        <v>0</v>
      </c>
      <c r="F154" s="85" t="b">
        <v>0</v>
      </c>
      <c r="G154" s="85" t="b">
        <v>0</v>
      </c>
    </row>
    <row r="155" spans="1:7" ht="15">
      <c r="A155" s="86" t="s">
        <v>732</v>
      </c>
      <c r="B155" s="85">
        <v>4</v>
      </c>
      <c r="C155" s="121">
        <v>0.006988366963754304</v>
      </c>
      <c r="D155" s="85" t="s">
        <v>540</v>
      </c>
      <c r="E155" s="85" t="b">
        <v>0</v>
      </c>
      <c r="F155" s="85" t="b">
        <v>0</v>
      </c>
      <c r="G155" s="85" t="b">
        <v>0</v>
      </c>
    </row>
    <row r="156" spans="1:7" ht="15">
      <c r="A156" s="86" t="s">
        <v>733</v>
      </c>
      <c r="B156" s="85">
        <v>4</v>
      </c>
      <c r="C156" s="121">
        <v>0.006988366963754304</v>
      </c>
      <c r="D156" s="85" t="s">
        <v>540</v>
      </c>
      <c r="E156" s="85" t="b">
        <v>0</v>
      </c>
      <c r="F156" s="85" t="b">
        <v>0</v>
      </c>
      <c r="G156" s="85" t="b">
        <v>0</v>
      </c>
    </row>
    <row r="157" spans="1:7" ht="15">
      <c r="A157" s="86" t="s">
        <v>734</v>
      </c>
      <c r="B157" s="85">
        <v>4</v>
      </c>
      <c r="C157" s="121">
        <v>0.006988366963754304</v>
      </c>
      <c r="D157" s="85" t="s">
        <v>540</v>
      </c>
      <c r="E157" s="85" t="b">
        <v>0</v>
      </c>
      <c r="F157" s="85" t="b">
        <v>0</v>
      </c>
      <c r="G157" s="85" t="b">
        <v>0</v>
      </c>
    </row>
    <row r="158" spans="1:7" ht="15">
      <c r="A158" s="86" t="s">
        <v>735</v>
      </c>
      <c r="B158" s="85">
        <v>4</v>
      </c>
      <c r="C158" s="121">
        <v>0.006988366963754304</v>
      </c>
      <c r="D158" s="85" t="s">
        <v>540</v>
      </c>
      <c r="E158" s="85" t="b">
        <v>0</v>
      </c>
      <c r="F158" s="85" t="b">
        <v>0</v>
      </c>
      <c r="G158" s="85" t="b">
        <v>0</v>
      </c>
    </row>
    <row r="159" spans="1:7" ht="15">
      <c r="A159" s="86" t="s">
        <v>736</v>
      </c>
      <c r="B159" s="85">
        <v>4</v>
      </c>
      <c r="C159" s="121">
        <v>0.006988366963754304</v>
      </c>
      <c r="D159" s="85" t="s">
        <v>540</v>
      </c>
      <c r="E159" s="85" t="b">
        <v>0</v>
      </c>
      <c r="F159" s="85" t="b">
        <v>0</v>
      </c>
      <c r="G159" s="85" t="b">
        <v>0</v>
      </c>
    </row>
    <row r="160" spans="1:7" ht="15">
      <c r="A160" s="86" t="s">
        <v>737</v>
      </c>
      <c r="B160" s="85">
        <v>4</v>
      </c>
      <c r="C160" s="121">
        <v>0.006988366963754304</v>
      </c>
      <c r="D160" s="85" t="s">
        <v>540</v>
      </c>
      <c r="E160" s="85" t="b">
        <v>0</v>
      </c>
      <c r="F160" s="85" t="b">
        <v>0</v>
      </c>
      <c r="G160" s="85" t="b">
        <v>0</v>
      </c>
    </row>
    <row r="161" spans="1:7" ht="15">
      <c r="A161" s="86" t="s">
        <v>738</v>
      </c>
      <c r="B161" s="85">
        <v>4</v>
      </c>
      <c r="C161" s="121">
        <v>0.006988366963754304</v>
      </c>
      <c r="D161" s="85" t="s">
        <v>540</v>
      </c>
      <c r="E161" s="85" t="b">
        <v>0</v>
      </c>
      <c r="F161" s="85" t="b">
        <v>0</v>
      </c>
      <c r="G161" s="85" t="b">
        <v>0</v>
      </c>
    </row>
    <row r="162" spans="1:7" ht="15">
      <c r="A162" s="86" t="s">
        <v>739</v>
      </c>
      <c r="B162" s="85">
        <v>4</v>
      </c>
      <c r="C162" s="121">
        <v>0.006988366963754304</v>
      </c>
      <c r="D162" s="85" t="s">
        <v>540</v>
      </c>
      <c r="E162" s="85" t="b">
        <v>0</v>
      </c>
      <c r="F162" s="85" t="b">
        <v>0</v>
      </c>
      <c r="G162" s="85" t="b">
        <v>0</v>
      </c>
    </row>
    <row r="163" spans="1:7" ht="15">
      <c r="A163" s="86" t="s">
        <v>740</v>
      </c>
      <c r="B163" s="85">
        <v>4</v>
      </c>
      <c r="C163" s="121">
        <v>0.006988366963754304</v>
      </c>
      <c r="D163" s="85" t="s">
        <v>540</v>
      </c>
      <c r="E163" s="85" t="b">
        <v>0</v>
      </c>
      <c r="F163" s="85" t="b">
        <v>0</v>
      </c>
      <c r="G163" s="85" t="b">
        <v>0</v>
      </c>
    </row>
    <row r="164" spans="1:7" ht="15">
      <c r="A164" s="86" t="s">
        <v>741</v>
      </c>
      <c r="B164" s="85">
        <v>4</v>
      </c>
      <c r="C164" s="121">
        <v>0.006988366963754304</v>
      </c>
      <c r="D164" s="85" t="s">
        <v>540</v>
      </c>
      <c r="E164" s="85" t="b">
        <v>0</v>
      </c>
      <c r="F164" s="85" t="b">
        <v>0</v>
      </c>
      <c r="G164" s="85" t="b">
        <v>0</v>
      </c>
    </row>
    <row r="165" spans="1:7" ht="15">
      <c r="A165" s="86" t="s">
        <v>742</v>
      </c>
      <c r="B165" s="85">
        <v>4</v>
      </c>
      <c r="C165" s="121">
        <v>0.006988366963754304</v>
      </c>
      <c r="D165" s="85" t="s">
        <v>540</v>
      </c>
      <c r="E165" s="85" t="b">
        <v>0</v>
      </c>
      <c r="F165" s="85" t="b">
        <v>0</v>
      </c>
      <c r="G165" s="85" t="b">
        <v>0</v>
      </c>
    </row>
    <row r="166" spans="1:7" ht="15">
      <c r="A166" s="86" t="s">
        <v>743</v>
      </c>
      <c r="B166" s="85">
        <v>4</v>
      </c>
      <c r="C166" s="121">
        <v>0.006988366963754304</v>
      </c>
      <c r="D166" s="85" t="s">
        <v>540</v>
      </c>
      <c r="E166" s="85" t="b">
        <v>0</v>
      </c>
      <c r="F166" s="85" t="b">
        <v>0</v>
      </c>
      <c r="G166" s="85" t="b">
        <v>0</v>
      </c>
    </row>
    <row r="167" spans="1:7" ht="15">
      <c r="A167" s="86" t="s">
        <v>744</v>
      </c>
      <c r="B167" s="85">
        <v>4</v>
      </c>
      <c r="C167" s="121">
        <v>0.006988366963754304</v>
      </c>
      <c r="D167" s="85" t="s">
        <v>540</v>
      </c>
      <c r="E167" s="85" t="b">
        <v>0</v>
      </c>
      <c r="F167" s="85" t="b">
        <v>0</v>
      </c>
      <c r="G167" s="85" t="b">
        <v>0</v>
      </c>
    </row>
    <row r="168" spans="1:7" ht="15">
      <c r="A168" s="86" t="s">
        <v>745</v>
      </c>
      <c r="B168" s="85">
        <v>4</v>
      </c>
      <c r="C168" s="121">
        <v>0.006988366963754304</v>
      </c>
      <c r="D168" s="85" t="s">
        <v>540</v>
      </c>
      <c r="E168" s="85" t="b">
        <v>0</v>
      </c>
      <c r="F168" s="85" t="b">
        <v>0</v>
      </c>
      <c r="G168" s="85" t="b">
        <v>0</v>
      </c>
    </row>
    <row r="169" spans="1:7" ht="15">
      <c r="A169" s="86" t="s">
        <v>746</v>
      </c>
      <c r="B169" s="85">
        <v>4</v>
      </c>
      <c r="C169" s="121">
        <v>0.006988366963754304</v>
      </c>
      <c r="D169" s="85" t="s">
        <v>540</v>
      </c>
      <c r="E169" s="85" t="b">
        <v>0</v>
      </c>
      <c r="F169" s="85" t="b">
        <v>0</v>
      </c>
      <c r="G169" s="85" t="b">
        <v>0</v>
      </c>
    </row>
    <row r="170" spans="1:7" ht="15">
      <c r="A170" s="86" t="s">
        <v>747</v>
      </c>
      <c r="B170" s="85">
        <v>4</v>
      </c>
      <c r="C170" s="121">
        <v>0.006988366963754304</v>
      </c>
      <c r="D170" s="85" t="s">
        <v>540</v>
      </c>
      <c r="E170" s="85" t="b">
        <v>0</v>
      </c>
      <c r="F170" s="85" t="b">
        <v>0</v>
      </c>
      <c r="G170" s="85" t="b">
        <v>0</v>
      </c>
    </row>
    <row r="171" spans="1:7" ht="15">
      <c r="A171" s="86" t="s">
        <v>748</v>
      </c>
      <c r="B171" s="85">
        <v>4</v>
      </c>
      <c r="C171" s="121">
        <v>0.006988366963754304</v>
      </c>
      <c r="D171" s="85" t="s">
        <v>540</v>
      </c>
      <c r="E171" s="85" t="b">
        <v>0</v>
      </c>
      <c r="F171" s="85" t="b">
        <v>0</v>
      </c>
      <c r="G171" s="85" t="b">
        <v>0</v>
      </c>
    </row>
    <row r="172" spans="1:7" ht="15">
      <c r="A172" s="86" t="s">
        <v>749</v>
      </c>
      <c r="B172" s="85">
        <v>4</v>
      </c>
      <c r="C172" s="121">
        <v>0.006988366963754304</v>
      </c>
      <c r="D172" s="85" t="s">
        <v>540</v>
      </c>
      <c r="E172" s="85" t="b">
        <v>0</v>
      </c>
      <c r="F172" s="85" t="b">
        <v>0</v>
      </c>
      <c r="G172" s="85" t="b">
        <v>0</v>
      </c>
    </row>
    <row r="173" spans="1:7" ht="15">
      <c r="A173" s="86" t="s">
        <v>750</v>
      </c>
      <c r="B173" s="85">
        <v>4</v>
      </c>
      <c r="C173" s="121">
        <v>0.006988366963754304</v>
      </c>
      <c r="D173" s="85" t="s">
        <v>540</v>
      </c>
      <c r="E173" s="85" t="b">
        <v>0</v>
      </c>
      <c r="F173" s="85" t="b">
        <v>0</v>
      </c>
      <c r="G173" s="85" t="b">
        <v>0</v>
      </c>
    </row>
    <row r="174" spans="1:7" ht="15">
      <c r="A174" s="86" t="s">
        <v>751</v>
      </c>
      <c r="B174" s="85">
        <v>4</v>
      </c>
      <c r="C174" s="121">
        <v>0.006988366963754304</v>
      </c>
      <c r="D174" s="85" t="s">
        <v>540</v>
      </c>
      <c r="E174" s="85" t="b">
        <v>0</v>
      </c>
      <c r="F174" s="85" t="b">
        <v>0</v>
      </c>
      <c r="G174" s="85" t="b">
        <v>0</v>
      </c>
    </row>
    <row r="175" spans="1:7" ht="15">
      <c r="A175" s="86" t="s">
        <v>752</v>
      </c>
      <c r="B175" s="85">
        <v>4</v>
      </c>
      <c r="C175" s="121">
        <v>0.006988366963754304</v>
      </c>
      <c r="D175" s="85" t="s">
        <v>540</v>
      </c>
      <c r="E175" s="85" t="b">
        <v>0</v>
      </c>
      <c r="F175" s="85" t="b">
        <v>0</v>
      </c>
      <c r="G175" s="85" t="b">
        <v>0</v>
      </c>
    </row>
    <row r="176" spans="1:7" ht="15">
      <c r="A176" s="86" t="s">
        <v>753</v>
      </c>
      <c r="B176" s="85">
        <v>4</v>
      </c>
      <c r="C176" s="121">
        <v>0.006988366963754304</v>
      </c>
      <c r="D176" s="85" t="s">
        <v>540</v>
      </c>
      <c r="E176" s="85" t="b">
        <v>0</v>
      </c>
      <c r="F176" s="85" t="b">
        <v>0</v>
      </c>
      <c r="G176" s="85" t="b">
        <v>0</v>
      </c>
    </row>
    <row r="177" spans="1:7" ht="15">
      <c r="A177" s="86" t="s">
        <v>754</v>
      </c>
      <c r="B177" s="85">
        <v>4</v>
      </c>
      <c r="C177" s="121">
        <v>0.006988366963754304</v>
      </c>
      <c r="D177" s="85" t="s">
        <v>540</v>
      </c>
      <c r="E177" s="85" t="b">
        <v>0</v>
      </c>
      <c r="F177" s="85" t="b">
        <v>0</v>
      </c>
      <c r="G177" s="85" t="b">
        <v>0</v>
      </c>
    </row>
    <row r="178" spans="1:7" ht="15">
      <c r="A178" s="86" t="s">
        <v>755</v>
      </c>
      <c r="B178" s="85">
        <v>4</v>
      </c>
      <c r="C178" s="121">
        <v>0.006988366963754304</v>
      </c>
      <c r="D178" s="85" t="s">
        <v>540</v>
      </c>
      <c r="E178" s="85" t="b">
        <v>0</v>
      </c>
      <c r="F178" s="85" t="b">
        <v>0</v>
      </c>
      <c r="G178" s="85" t="b">
        <v>0</v>
      </c>
    </row>
    <row r="179" spans="1:7" ht="15">
      <c r="A179" s="86" t="s">
        <v>756</v>
      </c>
      <c r="B179" s="85">
        <v>4</v>
      </c>
      <c r="C179" s="121">
        <v>0.006988366963754304</v>
      </c>
      <c r="D179" s="85" t="s">
        <v>540</v>
      </c>
      <c r="E179" s="85" t="b">
        <v>0</v>
      </c>
      <c r="F179" s="85" t="b">
        <v>0</v>
      </c>
      <c r="G179" s="85" t="b">
        <v>0</v>
      </c>
    </row>
    <row r="180" spans="1:7" ht="15">
      <c r="A180" s="86" t="s">
        <v>757</v>
      </c>
      <c r="B180" s="85">
        <v>4</v>
      </c>
      <c r="C180" s="121">
        <v>0.006988366963754304</v>
      </c>
      <c r="D180" s="85" t="s">
        <v>540</v>
      </c>
      <c r="E180" s="85" t="b">
        <v>0</v>
      </c>
      <c r="F180" s="85" t="b">
        <v>0</v>
      </c>
      <c r="G180" s="85" t="b">
        <v>0</v>
      </c>
    </row>
    <row r="181" spans="1:7" ht="15">
      <c r="A181" s="86" t="s">
        <v>758</v>
      </c>
      <c r="B181" s="85">
        <v>4</v>
      </c>
      <c r="C181" s="121">
        <v>0.006988366963754304</v>
      </c>
      <c r="D181" s="85" t="s">
        <v>540</v>
      </c>
      <c r="E181" s="85" t="b">
        <v>0</v>
      </c>
      <c r="F181" s="85" t="b">
        <v>0</v>
      </c>
      <c r="G181" s="85" t="b">
        <v>0</v>
      </c>
    </row>
    <row r="182" spans="1:7" ht="15">
      <c r="A182" s="86" t="s">
        <v>759</v>
      </c>
      <c r="B182" s="85">
        <v>4</v>
      </c>
      <c r="C182" s="121">
        <v>0.006988366963754304</v>
      </c>
      <c r="D182" s="85" t="s">
        <v>540</v>
      </c>
      <c r="E182" s="85" t="b">
        <v>0</v>
      </c>
      <c r="F182" s="85" t="b">
        <v>0</v>
      </c>
      <c r="G182" s="85" t="b">
        <v>0</v>
      </c>
    </row>
    <row r="183" spans="1:7" ht="15">
      <c r="A183" s="86" t="s">
        <v>760</v>
      </c>
      <c r="B183" s="85">
        <v>4</v>
      </c>
      <c r="C183" s="121">
        <v>0.006988366963754304</v>
      </c>
      <c r="D183" s="85" t="s">
        <v>540</v>
      </c>
      <c r="E183" s="85" t="b">
        <v>0</v>
      </c>
      <c r="F183" s="85" t="b">
        <v>0</v>
      </c>
      <c r="G183" s="85" t="b">
        <v>0</v>
      </c>
    </row>
    <row r="184" spans="1:7" ht="15">
      <c r="A184" s="86" t="s">
        <v>608</v>
      </c>
      <c r="B184" s="85">
        <v>3</v>
      </c>
      <c r="C184" s="121">
        <v>0.005919062220690774</v>
      </c>
      <c r="D184" s="85" t="s">
        <v>540</v>
      </c>
      <c r="E184" s="85" t="b">
        <v>0</v>
      </c>
      <c r="F184" s="85" t="b">
        <v>0</v>
      </c>
      <c r="G184" s="85" t="b">
        <v>0</v>
      </c>
    </row>
    <row r="185" spans="1:7" ht="15">
      <c r="A185" s="86" t="s">
        <v>603</v>
      </c>
      <c r="B185" s="85">
        <v>3</v>
      </c>
      <c r="C185" s="121">
        <v>0.005919062220690774</v>
      </c>
      <c r="D185" s="85" t="s">
        <v>540</v>
      </c>
      <c r="E185" s="85" t="b">
        <v>0</v>
      </c>
      <c r="F185" s="85" t="b">
        <v>0</v>
      </c>
      <c r="G185" s="85" t="b">
        <v>0</v>
      </c>
    </row>
    <row r="186" spans="1:7" ht="15">
      <c r="A186" s="86" t="s">
        <v>609</v>
      </c>
      <c r="B186" s="85">
        <v>3</v>
      </c>
      <c r="C186" s="121">
        <v>0.005919062220690774</v>
      </c>
      <c r="D186" s="85" t="s">
        <v>540</v>
      </c>
      <c r="E186" s="85" t="b">
        <v>0</v>
      </c>
      <c r="F186" s="85" t="b">
        <v>0</v>
      </c>
      <c r="G186" s="85" t="b">
        <v>0</v>
      </c>
    </row>
    <row r="187" spans="1:7" ht="15">
      <c r="A187" s="86" t="s">
        <v>761</v>
      </c>
      <c r="B187" s="85">
        <v>2</v>
      </c>
      <c r="C187" s="121">
        <v>0.004582899560227898</v>
      </c>
      <c r="D187" s="85" t="s">
        <v>540</v>
      </c>
      <c r="E187" s="85" t="b">
        <v>0</v>
      </c>
      <c r="F187" s="85" t="b">
        <v>0</v>
      </c>
      <c r="G187" s="85" t="b">
        <v>0</v>
      </c>
    </row>
    <row r="188" spans="1:7" ht="15">
      <c r="A188" s="86" t="s">
        <v>762</v>
      </c>
      <c r="B188" s="85">
        <v>2</v>
      </c>
      <c r="C188" s="121">
        <v>0.004582899560227898</v>
      </c>
      <c r="D188" s="85" t="s">
        <v>540</v>
      </c>
      <c r="E188" s="85" t="b">
        <v>0</v>
      </c>
      <c r="F188" s="85" t="b">
        <v>0</v>
      </c>
      <c r="G188" s="85" t="b">
        <v>0</v>
      </c>
    </row>
    <row r="189" spans="1:7" ht="15">
      <c r="A189" s="86" t="s">
        <v>763</v>
      </c>
      <c r="B189" s="85">
        <v>2</v>
      </c>
      <c r="C189" s="121">
        <v>0.004582899560227898</v>
      </c>
      <c r="D189" s="85" t="s">
        <v>540</v>
      </c>
      <c r="E189" s="85" t="b">
        <v>0</v>
      </c>
      <c r="F189" s="85" t="b">
        <v>0</v>
      </c>
      <c r="G189" s="85" t="b">
        <v>0</v>
      </c>
    </row>
    <row r="190" spans="1:7" ht="15">
      <c r="A190" s="86" t="s">
        <v>764</v>
      </c>
      <c r="B190" s="85">
        <v>2</v>
      </c>
      <c r="C190" s="121">
        <v>0.004582899560227898</v>
      </c>
      <c r="D190" s="85" t="s">
        <v>540</v>
      </c>
      <c r="E190" s="85" t="b">
        <v>0</v>
      </c>
      <c r="F190" s="85" t="b">
        <v>0</v>
      </c>
      <c r="G190" s="85" t="b">
        <v>0</v>
      </c>
    </row>
    <row r="191" spans="1:7" ht="15">
      <c r="A191" s="86" t="s">
        <v>765</v>
      </c>
      <c r="B191" s="85">
        <v>2</v>
      </c>
      <c r="C191" s="121">
        <v>0.004582899560227898</v>
      </c>
      <c r="D191" s="85" t="s">
        <v>540</v>
      </c>
      <c r="E191" s="85" t="b">
        <v>0</v>
      </c>
      <c r="F191" s="85" t="b">
        <v>0</v>
      </c>
      <c r="G191" s="85" t="b">
        <v>0</v>
      </c>
    </row>
    <row r="192" spans="1:7" ht="15">
      <c r="A192" s="86" t="s">
        <v>766</v>
      </c>
      <c r="B192" s="85">
        <v>2</v>
      </c>
      <c r="C192" s="121">
        <v>0.004582899560227898</v>
      </c>
      <c r="D192" s="85" t="s">
        <v>540</v>
      </c>
      <c r="E192" s="85" t="b">
        <v>0</v>
      </c>
      <c r="F192" s="85" t="b">
        <v>0</v>
      </c>
      <c r="G192" s="85" t="b">
        <v>0</v>
      </c>
    </row>
    <row r="193" spans="1:7" ht="15">
      <c r="A193" s="86" t="s">
        <v>767</v>
      </c>
      <c r="B193" s="85">
        <v>2</v>
      </c>
      <c r="C193" s="121">
        <v>0.004582899560227898</v>
      </c>
      <c r="D193" s="85" t="s">
        <v>540</v>
      </c>
      <c r="E193" s="85" t="b">
        <v>0</v>
      </c>
      <c r="F193" s="85" t="b">
        <v>0</v>
      </c>
      <c r="G193" s="85" t="b">
        <v>0</v>
      </c>
    </row>
    <row r="194" spans="1:7" ht="15">
      <c r="A194" s="86" t="s">
        <v>768</v>
      </c>
      <c r="B194" s="85">
        <v>2</v>
      </c>
      <c r="C194" s="121">
        <v>0.004582899560227898</v>
      </c>
      <c r="D194" s="85" t="s">
        <v>540</v>
      </c>
      <c r="E194" s="85" t="b">
        <v>0</v>
      </c>
      <c r="F194" s="85" t="b">
        <v>0</v>
      </c>
      <c r="G194" s="85" t="b">
        <v>0</v>
      </c>
    </row>
    <row r="195" spans="1:7" ht="15">
      <c r="A195" s="86" t="s">
        <v>607</v>
      </c>
      <c r="B195" s="85">
        <v>2</v>
      </c>
      <c r="C195" s="121">
        <v>0.004582899560227898</v>
      </c>
      <c r="D195" s="85" t="s">
        <v>540</v>
      </c>
      <c r="E195" s="85" t="b">
        <v>0</v>
      </c>
      <c r="F195" s="85" t="b">
        <v>0</v>
      </c>
      <c r="G195" s="85" t="b">
        <v>0</v>
      </c>
    </row>
    <row r="196" spans="1:7" ht="15">
      <c r="A196" s="86" t="s">
        <v>269</v>
      </c>
      <c r="B196" s="85">
        <v>2</v>
      </c>
      <c r="C196" s="121">
        <v>0.004582899560227898</v>
      </c>
      <c r="D196" s="85" t="s">
        <v>540</v>
      </c>
      <c r="E196" s="85" t="b">
        <v>0</v>
      </c>
      <c r="F196" s="85" t="b">
        <v>0</v>
      </c>
      <c r="G196" s="85" t="b">
        <v>0</v>
      </c>
    </row>
    <row r="197" spans="1:7" ht="15">
      <c r="A197" s="86" t="s">
        <v>769</v>
      </c>
      <c r="B197" s="85">
        <v>2</v>
      </c>
      <c r="C197" s="121">
        <v>0.004582899560227898</v>
      </c>
      <c r="D197" s="85" t="s">
        <v>540</v>
      </c>
      <c r="E197" s="85" t="b">
        <v>0</v>
      </c>
      <c r="F197" s="85" t="b">
        <v>0</v>
      </c>
      <c r="G197" s="85" t="b">
        <v>0</v>
      </c>
    </row>
    <row r="198" spans="1:7" ht="15">
      <c r="A198" s="86" t="s">
        <v>770</v>
      </c>
      <c r="B198" s="85">
        <v>2</v>
      </c>
      <c r="C198" s="121">
        <v>0.004582899560227898</v>
      </c>
      <c r="D198" s="85" t="s">
        <v>540</v>
      </c>
      <c r="E198" s="85" t="b">
        <v>0</v>
      </c>
      <c r="F198" s="85" t="b">
        <v>0</v>
      </c>
      <c r="G198" s="85" t="b">
        <v>0</v>
      </c>
    </row>
    <row r="199" spans="1:7" ht="15">
      <c r="A199" s="86" t="s">
        <v>771</v>
      </c>
      <c r="B199" s="85">
        <v>2</v>
      </c>
      <c r="C199" s="121">
        <v>0.004582899560227898</v>
      </c>
      <c r="D199" s="85" t="s">
        <v>540</v>
      </c>
      <c r="E199" s="85" t="b">
        <v>0</v>
      </c>
      <c r="F199" s="85" t="b">
        <v>0</v>
      </c>
      <c r="G199" s="85" t="b">
        <v>0</v>
      </c>
    </row>
    <row r="200" spans="1:7" ht="15">
      <c r="A200" s="86" t="s">
        <v>772</v>
      </c>
      <c r="B200" s="85">
        <v>2</v>
      </c>
      <c r="C200" s="121">
        <v>0.004582899560227898</v>
      </c>
      <c r="D200" s="85" t="s">
        <v>540</v>
      </c>
      <c r="E200" s="85" t="b">
        <v>0</v>
      </c>
      <c r="F200" s="85" t="b">
        <v>0</v>
      </c>
      <c r="G200" s="85" t="b">
        <v>0</v>
      </c>
    </row>
    <row r="201" spans="1:7" ht="15">
      <c r="A201" s="86" t="s">
        <v>773</v>
      </c>
      <c r="B201" s="85">
        <v>2</v>
      </c>
      <c r="C201" s="121">
        <v>0.004582899560227898</v>
      </c>
      <c r="D201" s="85" t="s">
        <v>540</v>
      </c>
      <c r="E201" s="85" t="b">
        <v>0</v>
      </c>
      <c r="F201" s="85" t="b">
        <v>0</v>
      </c>
      <c r="G201" s="85" t="b">
        <v>0</v>
      </c>
    </row>
    <row r="202" spans="1:7" ht="15">
      <c r="A202" s="86" t="s">
        <v>774</v>
      </c>
      <c r="B202" s="85">
        <v>2</v>
      </c>
      <c r="C202" s="121">
        <v>0.004582899560227898</v>
      </c>
      <c r="D202" s="85" t="s">
        <v>540</v>
      </c>
      <c r="E202" s="85" t="b">
        <v>0</v>
      </c>
      <c r="F202" s="85" t="b">
        <v>0</v>
      </c>
      <c r="G202" s="85" t="b">
        <v>0</v>
      </c>
    </row>
    <row r="203" spans="1:7" ht="15">
      <c r="A203" s="86" t="s">
        <v>775</v>
      </c>
      <c r="B203" s="85">
        <v>2</v>
      </c>
      <c r="C203" s="121">
        <v>0.004582899560227898</v>
      </c>
      <c r="D203" s="85" t="s">
        <v>540</v>
      </c>
      <c r="E203" s="85" t="b">
        <v>0</v>
      </c>
      <c r="F203" s="85" t="b">
        <v>0</v>
      </c>
      <c r="G203" s="85" t="b">
        <v>0</v>
      </c>
    </row>
    <row r="204" spans="1:7" ht="15">
      <c r="A204" s="86" t="s">
        <v>604</v>
      </c>
      <c r="B204" s="85">
        <v>2</v>
      </c>
      <c r="C204" s="121">
        <v>0.004582899560227898</v>
      </c>
      <c r="D204" s="85" t="s">
        <v>540</v>
      </c>
      <c r="E204" s="85" t="b">
        <v>0</v>
      </c>
      <c r="F204" s="85" t="b">
        <v>0</v>
      </c>
      <c r="G204" s="85" t="b">
        <v>0</v>
      </c>
    </row>
    <row r="205" spans="1:7" ht="15">
      <c r="A205" s="86" t="s">
        <v>776</v>
      </c>
      <c r="B205" s="85">
        <v>2</v>
      </c>
      <c r="C205" s="121">
        <v>0.004582899560227898</v>
      </c>
      <c r="D205" s="85" t="s">
        <v>540</v>
      </c>
      <c r="E205" s="85" t="b">
        <v>0</v>
      </c>
      <c r="F205" s="85" t="b">
        <v>0</v>
      </c>
      <c r="G205" s="85" t="b">
        <v>0</v>
      </c>
    </row>
    <row r="206" spans="1:7" ht="15">
      <c r="A206" s="86" t="s">
        <v>777</v>
      </c>
      <c r="B206" s="85">
        <v>2</v>
      </c>
      <c r="C206" s="121">
        <v>0.005671615638578644</v>
      </c>
      <c r="D206" s="85" t="s">
        <v>540</v>
      </c>
      <c r="E206" s="85" t="b">
        <v>0</v>
      </c>
      <c r="F206" s="85" t="b">
        <v>0</v>
      </c>
      <c r="G206" s="85" t="b">
        <v>0</v>
      </c>
    </row>
    <row r="207" spans="1:7" ht="15">
      <c r="A207" s="86" t="s">
        <v>605</v>
      </c>
      <c r="B207" s="85">
        <v>2</v>
      </c>
      <c r="C207" s="121">
        <v>0.004582899560227898</v>
      </c>
      <c r="D207" s="85" t="s">
        <v>540</v>
      </c>
      <c r="E207" s="85" t="b">
        <v>0</v>
      </c>
      <c r="F207" s="85" t="b">
        <v>0</v>
      </c>
      <c r="G207" s="85" t="b">
        <v>0</v>
      </c>
    </row>
    <row r="208" spans="1:7" ht="15">
      <c r="A208" s="86" t="s">
        <v>778</v>
      </c>
      <c r="B208" s="85">
        <v>2</v>
      </c>
      <c r="C208" s="121">
        <v>0.004582899560227898</v>
      </c>
      <c r="D208" s="85" t="s">
        <v>540</v>
      </c>
      <c r="E208" s="85" t="b">
        <v>0</v>
      </c>
      <c r="F208" s="85" t="b">
        <v>0</v>
      </c>
      <c r="G208" s="85" t="b">
        <v>0</v>
      </c>
    </row>
    <row r="209" spans="1:7" ht="15">
      <c r="A209" s="86" t="s">
        <v>606</v>
      </c>
      <c r="B209" s="85">
        <v>2</v>
      </c>
      <c r="C209" s="121">
        <v>0.004582899560227898</v>
      </c>
      <c r="D209" s="85" t="s">
        <v>540</v>
      </c>
      <c r="E209" s="85" t="b">
        <v>0</v>
      </c>
      <c r="F209" s="85" t="b">
        <v>0</v>
      </c>
      <c r="G209" s="85" t="b">
        <v>0</v>
      </c>
    </row>
    <row r="210" spans="1:7" ht="15">
      <c r="A210" s="86" t="s">
        <v>779</v>
      </c>
      <c r="B210" s="85">
        <v>2</v>
      </c>
      <c r="C210" s="121">
        <v>0.004582899560227898</v>
      </c>
      <c r="D210" s="85" t="s">
        <v>540</v>
      </c>
      <c r="E210" s="85" t="b">
        <v>0</v>
      </c>
      <c r="F210" s="85" t="b">
        <v>0</v>
      </c>
      <c r="G210" s="85" t="b">
        <v>0</v>
      </c>
    </row>
    <row r="211" spans="1:7" ht="15">
      <c r="A211" s="86" t="s">
        <v>780</v>
      </c>
      <c r="B211" s="85">
        <v>2</v>
      </c>
      <c r="C211" s="121">
        <v>0.004582899560227898</v>
      </c>
      <c r="D211" s="85" t="s">
        <v>540</v>
      </c>
      <c r="E211" s="85" t="b">
        <v>0</v>
      </c>
      <c r="F211" s="85" t="b">
        <v>0</v>
      </c>
      <c r="G211" s="85" t="b">
        <v>0</v>
      </c>
    </row>
    <row r="212" spans="1:7" ht="15">
      <c r="A212" s="86" t="s">
        <v>781</v>
      </c>
      <c r="B212" s="85">
        <v>2</v>
      </c>
      <c r="C212" s="121">
        <v>0.005671615638578644</v>
      </c>
      <c r="D212" s="85" t="s">
        <v>540</v>
      </c>
      <c r="E212" s="85" t="b">
        <v>0</v>
      </c>
      <c r="F212" s="85" t="b">
        <v>0</v>
      </c>
      <c r="G212" s="85" t="b">
        <v>0</v>
      </c>
    </row>
    <row r="213" spans="1:7" ht="15">
      <c r="A213" s="86" t="s">
        <v>782</v>
      </c>
      <c r="B213" s="85">
        <v>2</v>
      </c>
      <c r="C213" s="121">
        <v>0.004582899560227898</v>
      </c>
      <c r="D213" s="85" t="s">
        <v>540</v>
      </c>
      <c r="E213" s="85" t="b">
        <v>0</v>
      </c>
      <c r="F213" s="85" t="b">
        <v>0</v>
      </c>
      <c r="G213" s="85" t="b">
        <v>0</v>
      </c>
    </row>
    <row r="214" spans="1:7" ht="15">
      <c r="A214" s="86" t="s">
        <v>783</v>
      </c>
      <c r="B214" s="85">
        <v>2</v>
      </c>
      <c r="C214" s="121">
        <v>0.004582899560227898</v>
      </c>
      <c r="D214" s="85" t="s">
        <v>540</v>
      </c>
      <c r="E214" s="85" t="b">
        <v>0</v>
      </c>
      <c r="F214" s="85" t="b">
        <v>0</v>
      </c>
      <c r="G214" s="85" t="b">
        <v>0</v>
      </c>
    </row>
    <row r="215" spans="1:7" ht="15">
      <c r="A215" s="86" t="s">
        <v>784</v>
      </c>
      <c r="B215" s="85">
        <v>2</v>
      </c>
      <c r="C215" s="121">
        <v>0.004582899560227898</v>
      </c>
      <c r="D215" s="85" t="s">
        <v>540</v>
      </c>
      <c r="E215" s="85" t="b">
        <v>0</v>
      </c>
      <c r="F215" s="85" t="b">
        <v>0</v>
      </c>
      <c r="G215" s="85" t="b">
        <v>0</v>
      </c>
    </row>
    <row r="216" spans="1:7" ht="15">
      <c r="A216" s="86" t="s">
        <v>576</v>
      </c>
      <c r="B216" s="85">
        <v>2</v>
      </c>
      <c r="C216" s="121">
        <v>0.004582899560227898</v>
      </c>
      <c r="D216" s="85" t="s">
        <v>540</v>
      </c>
      <c r="E216" s="85" t="b">
        <v>0</v>
      </c>
      <c r="F216" s="85" t="b">
        <v>0</v>
      </c>
      <c r="G216" s="85" t="b">
        <v>0</v>
      </c>
    </row>
    <row r="217" spans="1:7" ht="15">
      <c r="A217" s="86" t="s">
        <v>785</v>
      </c>
      <c r="B217" s="85">
        <v>2</v>
      </c>
      <c r="C217" s="121">
        <v>0.004582899560227898</v>
      </c>
      <c r="D217" s="85" t="s">
        <v>540</v>
      </c>
      <c r="E217" s="85" t="b">
        <v>0</v>
      </c>
      <c r="F217" s="85" t="b">
        <v>0</v>
      </c>
      <c r="G217" s="85" t="b">
        <v>0</v>
      </c>
    </row>
    <row r="218" spans="1:7" ht="15">
      <c r="A218" s="86" t="s">
        <v>786</v>
      </c>
      <c r="B218" s="85">
        <v>2</v>
      </c>
      <c r="C218" s="121">
        <v>0.004582899560227898</v>
      </c>
      <c r="D218" s="85" t="s">
        <v>540</v>
      </c>
      <c r="E218" s="85" t="b">
        <v>0</v>
      </c>
      <c r="F218" s="85" t="b">
        <v>0</v>
      </c>
      <c r="G218" s="85" t="b">
        <v>0</v>
      </c>
    </row>
    <row r="219" spans="1:7" ht="15">
      <c r="A219" s="86" t="s">
        <v>787</v>
      </c>
      <c r="B219" s="85">
        <v>2</v>
      </c>
      <c r="C219" s="121">
        <v>0.004582899560227898</v>
      </c>
      <c r="D219" s="85" t="s">
        <v>540</v>
      </c>
      <c r="E219" s="85" t="b">
        <v>0</v>
      </c>
      <c r="F219" s="85" t="b">
        <v>0</v>
      </c>
      <c r="G219" s="85" t="b">
        <v>0</v>
      </c>
    </row>
    <row r="220" spans="1:7" ht="15">
      <c r="A220" s="86" t="s">
        <v>788</v>
      </c>
      <c r="B220" s="85">
        <v>2</v>
      </c>
      <c r="C220" s="121">
        <v>0.004582899560227898</v>
      </c>
      <c r="D220" s="85" t="s">
        <v>540</v>
      </c>
      <c r="E220" s="85" t="b">
        <v>0</v>
      </c>
      <c r="F220" s="85" t="b">
        <v>0</v>
      </c>
      <c r="G220" s="85" t="b">
        <v>0</v>
      </c>
    </row>
    <row r="221" spans="1:7" ht="15">
      <c r="A221" s="86" t="s">
        <v>789</v>
      </c>
      <c r="B221" s="85">
        <v>2</v>
      </c>
      <c r="C221" s="121">
        <v>0.004582899560227898</v>
      </c>
      <c r="D221" s="85" t="s">
        <v>540</v>
      </c>
      <c r="E221" s="85" t="b">
        <v>0</v>
      </c>
      <c r="F221" s="85" t="b">
        <v>0</v>
      </c>
      <c r="G221" s="85" t="b">
        <v>0</v>
      </c>
    </row>
    <row r="222" spans="1:7" ht="15">
      <c r="A222" s="86" t="s">
        <v>790</v>
      </c>
      <c r="B222" s="85">
        <v>2</v>
      </c>
      <c r="C222" s="121">
        <v>0.005671615638578644</v>
      </c>
      <c r="D222" s="85" t="s">
        <v>540</v>
      </c>
      <c r="E222" s="85" t="b">
        <v>0</v>
      </c>
      <c r="F222" s="85" t="b">
        <v>0</v>
      </c>
      <c r="G222" s="85" t="b">
        <v>0</v>
      </c>
    </row>
    <row r="223" spans="1:7" ht="15">
      <c r="A223" s="86" t="s">
        <v>791</v>
      </c>
      <c r="B223" s="85">
        <v>2</v>
      </c>
      <c r="C223" s="121">
        <v>0.004582899560227898</v>
      </c>
      <c r="D223" s="85" t="s">
        <v>540</v>
      </c>
      <c r="E223" s="85" t="b">
        <v>0</v>
      </c>
      <c r="F223" s="85" t="b">
        <v>0</v>
      </c>
      <c r="G223" s="85" t="b">
        <v>0</v>
      </c>
    </row>
    <row r="224" spans="1:7" ht="15">
      <c r="A224" s="86" t="s">
        <v>792</v>
      </c>
      <c r="B224" s="85">
        <v>2</v>
      </c>
      <c r="C224" s="121">
        <v>0.004582899560227898</v>
      </c>
      <c r="D224" s="85" t="s">
        <v>540</v>
      </c>
      <c r="E224" s="85" t="b">
        <v>0</v>
      </c>
      <c r="F224" s="85" t="b">
        <v>0</v>
      </c>
      <c r="G224" s="85" t="b">
        <v>0</v>
      </c>
    </row>
    <row r="225" spans="1:7" ht="15">
      <c r="A225" s="86" t="s">
        <v>793</v>
      </c>
      <c r="B225" s="85">
        <v>2</v>
      </c>
      <c r="C225" s="121">
        <v>0.004582899560227898</v>
      </c>
      <c r="D225" s="85" t="s">
        <v>540</v>
      </c>
      <c r="E225" s="85" t="b">
        <v>0</v>
      </c>
      <c r="F225" s="85" t="b">
        <v>0</v>
      </c>
      <c r="G225" s="85" t="b">
        <v>0</v>
      </c>
    </row>
    <row r="226" spans="1:7" ht="15">
      <c r="A226" s="86" t="s">
        <v>603</v>
      </c>
      <c r="B226" s="85">
        <v>4</v>
      </c>
      <c r="C226" s="121">
        <v>0</v>
      </c>
      <c r="D226" s="85" t="s">
        <v>541</v>
      </c>
      <c r="E226" s="85" t="b">
        <v>0</v>
      </c>
      <c r="F226" s="85" t="b">
        <v>0</v>
      </c>
      <c r="G226" s="85" t="b">
        <v>0</v>
      </c>
    </row>
    <row r="227" spans="1:7" ht="15">
      <c r="A227" s="86" t="s">
        <v>604</v>
      </c>
      <c r="B227" s="85">
        <v>4</v>
      </c>
      <c r="C227" s="121">
        <v>0</v>
      </c>
      <c r="D227" s="85" t="s">
        <v>541</v>
      </c>
      <c r="E227" s="85" t="b">
        <v>0</v>
      </c>
      <c r="F227" s="85" t="b">
        <v>0</v>
      </c>
      <c r="G227" s="85" t="b">
        <v>0</v>
      </c>
    </row>
    <row r="228" spans="1:7" ht="15">
      <c r="A228" s="86" t="s">
        <v>605</v>
      </c>
      <c r="B228" s="85">
        <v>4</v>
      </c>
      <c r="C228" s="121">
        <v>0</v>
      </c>
      <c r="D228" s="85" t="s">
        <v>541</v>
      </c>
      <c r="E228" s="85" t="b">
        <v>0</v>
      </c>
      <c r="F228" s="85" t="b">
        <v>0</v>
      </c>
      <c r="G228" s="85" t="b">
        <v>0</v>
      </c>
    </row>
    <row r="229" spans="1:7" ht="15">
      <c r="A229" s="86" t="s">
        <v>606</v>
      </c>
      <c r="B229" s="85">
        <v>4</v>
      </c>
      <c r="C229" s="121">
        <v>0</v>
      </c>
      <c r="D229" s="85" t="s">
        <v>541</v>
      </c>
      <c r="E229" s="85" t="b">
        <v>0</v>
      </c>
      <c r="F229" s="85" t="b">
        <v>0</v>
      </c>
      <c r="G229" s="85" t="b">
        <v>0</v>
      </c>
    </row>
    <row r="230" spans="1:7" ht="15">
      <c r="A230" s="86" t="s">
        <v>607</v>
      </c>
      <c r="B230" s="85">
        <v>4</v>
      </c>
      <c r="C230" s="121">
        <v>0</v>
      </c>
      <c r="D230" s="85" t="s">
        <v>541</v>
      </c>
      <c r="E230" s="85" t="b">
        <v>0</v>
      </c>
      <c r="F230" s="85" t="b">
        <v>0</v>
      </c>
      <c r="G230" s="85" t="b">
        <v>0</v>
      </c>
    </row>
    <row r="231" spans="1:7" ht="15">
      <c r="A231" s="86" t="s">
        <v>591</v>
      </c>
      <c r="B231" s="85">
        <v>4</v>
      </c>
      <c r="C231" s="121">
        <v>0</v>
      </c>
      <c r="D231" s="85" t="s">
        <v>541</v>
      </c>
      <c r="E231" s="85" t="b">
        <v>0</v>
      </c>
      <c r="F231" s="85" t="b">
        <v>0</v>
      </c>
      <c r="G231" s="85" t="b">
        <v>0</v>
      </c>
    </row>
    <row r="232" spans="1:7" ht="15">
      <c r="A232" s="86" t="s">
        <v>608</v>
      </c>
      <c r="B232" s="85">
        <v>4</v>
      </c>
      <c r="C232" s="121">
        <v>0</v>
      </c>
      <c r="D232" s="85" t="s">
        <v>541</v>
      </c>
      <c r="E232" s="85" t="b">
        <v>0</v>
      </c>
      <c r="F232" s="85" t="b">
        <v>0</v>
      </c>
      <c r="G232" s="85" t="b">
        <v>0</v>
      </c>
    </row>
    <row r="233" spans="1:7" ht="15">
      <c r="A233" s="86" t="s">
        <v>609</v>
      </c>
      <c r="B233" s="85">
        <v>4</v>
      </c>
      <c r="C233" s="121">
        <v>0</v>
      </c>
      <c r="D233" s="85" t="s">
        <v>541</v>
      </c>
      <c r="E233" s="85" t="b">
        <v>0</v>
      </c>
      <c r="F233" s="85" t="b">
        <v>0</v>
      </c>
      <c r="G233" s="85" t="b">
        <v>0</v>
      </c>
    </row>
    <row r="234" spans="1:7" ht="15">
      <c r="A234" s="86" t="s">
        <v>256</v>
      </c>
      <c r="B234" s="85">
        <v>3</v>
      </c>
      <c r="C234" s="121">
        <v>0.00986358446907631</v>
      </c>
      <c r="D234" s="85" t="s">
        <v>541</v>
      </c>
      <c r="E234" s="85" t="b">
        <v>0</v>
      </c>
      <c r="F234" s="85" t="b">
        <v>0</v>
      </c>
      <c r="G234" s="85" t="b">
        <v>0</v>
      </c>
    </row>
    <row r="235" spans="1:7" ht="15">
      <c r="A235" s="86" t="s">
        <v>257</v>
      </c>
      <c r="B235" s="85">
        <v>3</v>
      </c>
      <c r="C235" s="121">
        <v>0.00986358446907631</v>
      </c>
      <c r="D235" s="85" t="s">
        <v>541</v>
      </c>
      <c r="E235" s="85" t="b">
        <v>0</v>
      </c>
      <c r="F235" s="85" t="b">
        <v>0</v>
      </c>
      <c r="G23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2022-11-10T16:25:02Z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